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<sst xmlns="http://schemas.openxmlformats.org/spreadsheetml/2006/main" count="18575" uniqueCount="3513">
  <si>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</si>
  <si>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</si>
  <si>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</si>
  <si>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</si>
  <si>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</si>
  <si>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</si>
  <si>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</si>
  <si>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</si>
  <si>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</si>
  <si>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</si>
  <si>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</si>
  <si>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</si>
  <si>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</si>
  <si>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</si>
  <si>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</si>
  <si>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</si>
  <si>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</si>
  <si>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</si>
  <si>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</si>
  <si>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</si>
  <si>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</si>
  <si>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</si>
  <si>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</si>
  <si>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</si>
  <si>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</si>
  <si>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</si>
  <si>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</si>
  <si>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</si>
  <si>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</si>
  <si>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</si>
  <si>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</si>
  <si>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</si>
  <si>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</si>
  <si>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</si>
  <si>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</si>
  <si>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</si>
  <si>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</si>
  <si>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</si>
  <si>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</si>
  <si>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</si>
  <si>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</si>
  <si>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</si>
  <si>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</si>
  <si>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</si>
  <si>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</si>
  <si>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</si>
  <si>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</si>
  <si>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</si>
  <si>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</si>
  <si>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</si>
  <si>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</si>
  <si>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</si>
  <si>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</si>
  <si>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</si>
  <si>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</si>
  <si>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</si>
  <si>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</si>
  <si>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</si>
  <si>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</si>
  <si>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</si>
  <si>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</si>
  <si>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</si>
  <si>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</si>
  <si>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</si>
  <si>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</si>
  <si>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</si>
  <si>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</si>
  <si>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</si>
  <si>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</si>
  <si>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</si>
  <si>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</si>
  <si>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</si>
  <si>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</si>
  <si>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</si>
  <si>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</si>
  <si>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</si>
  <si>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</si>
  <si>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</si>
  <si>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</si>
  <si>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</si>
  <si>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</si>
  <si>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</si>
  <si>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</si>
  <si>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</si>
  <si>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</si>
  <si>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</si>
  <si>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</si>
  <si>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</si>
  <si>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</si>
  <si>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</si>
  <si>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</si>
  <si>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</si>
  <si>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</si>
  <si>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</si>
  <si>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</si>
  <si>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</si>
  <si>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</si>
  <si>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</si>
  <si>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</si>
  <si>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</si>
  <si>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</si>
  <si>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</si>
  <si>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</si>
  <si>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</si>
  <si>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</si>
  <si>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</si>
  <si>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</si>
  <si>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</si>
  <si>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</si>
  <si>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</si>
  <si>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</si>
  <si>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</si>
  <si>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</si>
  <si>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</si>
  <si>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</si>
  <si>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</si>
  <si>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</si>
  <si>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</si>
  <si>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</si>
  <si>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</si>
  <si>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</si>
  <si>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</si>
  <si>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</si>
  <si>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</si>
  <si>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</si>
  <si>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</si>
  <si>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</si>
  <si>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</si>
  <si>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</si>
  <si>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</si>
  <si>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</si>
  <si>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</si>
  <si>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</si>
  <si>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</si>
  <si>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</si>
  <si>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</si>
  <si>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</si>
  <si>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</si>
  <si>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</si>
  <si>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</si>
  <si>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</si>
  <si>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</si>
  <si>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</si>
  <si>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</si>
  <si>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</si>
  <si>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</si>
  <si>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</si>
  <si>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</si>
  <si>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</si>
  <si>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</si>
  <si>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</si>
  <si>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</si>
  <si>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</si>
  <si>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</si>
  <si>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</si>
  <si>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</si>
  <si>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</si>
  <si>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</si>
  <si>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</si>
  <si>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</si>
  <si>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</si>
  <si>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</si>
  <si>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</si>
  <si>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</si>
  <si>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</si>
  <si>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</si>
  <si>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</si>
  <si>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</si>
  <si>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</si>
  <si>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</si>
  <si>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</si>
  <si>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</si>
  <si>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</si>
  <si>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</si>
  <si>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</si>
  <si>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</si>
  <si>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</si>
  <si>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</si>
  <si>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</si>
  <si>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</si>
  <si>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</si>
  <si>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</si>
  <si>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</si>
  <si>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</si>
  <si>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</si>
  <si>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</si>
  <si>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</si>
  <si>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</si>
  <si>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</si>
  <si>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</si>
  <si>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</si>
  <si>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</si>
  <si>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</si>
  <si>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</si>
  <si>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</si>
  <si>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</si>
  <si>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</si>
  <si>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</si>
  <si>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</si>
  <si>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</si>
  <si>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</si>
  <si>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</si>
  <si>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</si>
  <si>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</si>
  <si>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</si>
  <si>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</si>
  <si>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</si>
  <si>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</si>
  <si>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</si>
  <si>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</si>
  <si>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</si>
  <si>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</si>
  <si>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</si>
  <si>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</si>
  <si>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</si>
  <si>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</si>
  <si>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</si>
  <si>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</si>
  <si>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</si>
  <si>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</si>
  <si>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</si>
  <si>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</si>
  <si>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</si>
  <si>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</si>
  <si>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</si>
  <si>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</si>
  <si>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</si>
  <si>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</si>
  <si>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</si>
  <si>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</si>
  <si>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</si>
  <si>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</si>
  <si>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</si>
  <si>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</si>
  <si>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</si>
  <si>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</si>
  <si>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</si>
  <si>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</si>
  <si>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</si>
  <si>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</si>
  <si>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</si>
  <si>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</si>
  <si>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</si>
  <si>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</si>
  <si>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</si>
  <si>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73</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</si>
  <si>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</si>
  <si>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</si>
  <si>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</si>
  <si>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 xml:space="preserve">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
  </si>
  <si>
    <t>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t>
  </si>
  <si>
    <t>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
  </si>
  <si>
    <t>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t>
  </si>
  <si>
    <t>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t>
  </si>
  <si>
    <t>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t>
  </si>
  <si>
    <t>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t>
  </si>
  <si>
    <t>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t>
  </si>
  <si>
    <t>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t>
  </si>
  <si>
    <t>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t>
  </si>
  <si>
    <t>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t>
  </si>
  <si>
    <t xml:space="preserve">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t>
  </si>
  <si>
    <t>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t>
  </si>
  <si>
    <t>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t>
  </si>
  <si>
    <t>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t>
  </si>
  <si>
    <t>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t>
  </si>
  <si>
    <t>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
  </si>
  <si>
    <t>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t>
  </si>
  <si>
    <t>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t>
  </si>
  <si>
    <t>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t>
  </si>
  <si>
    <t>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t>
  </si>
  <si>
    <t>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t>
  </si>
  <si>
    <t xml:space="preserve">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t>
  </si>
  <si>
    <t>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t>
  </si>
  <si>
    <t>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
  </si>
  <si>
    <t>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
  </si>
  <si>
    <t>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t>
  </si>
  <si>
    <t>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t>
  </si>
  <si>
    <t>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t>
  </si>
  <si>
    <t>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
  </si>
  <si>
    <t>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t>
  </si>
  <si>
    <t>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t>
  </si>
  <si>
    <t>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t>
  </si>
  <si>
    <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t>
  </si>
  <si>
    <t>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t>
  </si>
  <si>
    <t>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t>
  </si>
  <si>
    <t>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t>
  </si>
  <si>
    <t>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t>
  </si>
  <si>
    <t>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</si>
  <si>
    <t>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t>
  </si>
  <si>
    <t xml:space="preserv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t>
  </si>
  <si>
    <t>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t>
  </si>
  <si>
    <t>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t>
  </si>
  <si>
    <t>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t>
  </si>
  <si>
    <t>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t>
  </si>
  <si>
    <t>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t>
  </si>
  <si>
    <t xml:space="preserve">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t>
  </si>
  <si>
    <t>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t>
  </si>
  <si>
    <t xml:space="preserv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t>
  </si>
  <si>
    <t>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t>
  </si>
  <si>
    <t>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t>
  </si>
  <si>
    <t xml:space="preserv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zwingen▓AddVertexContent░False▓AddWordList░False&lt;/value&gt;
      &lt;/setting&gt;
      &lt;setting name="TimeSeriesUserSettings" serializeAs="String"&gt;
        &lt;value&gt;TimeColumnName░Publishet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&lt;NetworkTopItemsUserSettings&gt;
                &lt;NumberOfItemsToGet&gt;10&lt;/NumberOfItemsToGet&gt;
                &lt;WorksheetName&gt;Edges&lt;/WorksheetName&gt;
                &lt;TableName&gt;Edges&lt;/TableName&gt;
                &lt;ColumnName&gt;Video URL&lt;/ColumnName&gt;
                &lt;Delimiter&gt;None&lt;/Delimiter&gt;
              &lt;/NetworkTopItemsUserSettings&gt;
            &lt;/NetworkTopItemsUserSettingsToCalculate&gt;
          &lt;/NetworkTopItemsListUserSettings&gt;
        &lt;/value&gt;
      &lt;/setting&gt;
      &lt;setting name="OverallMetricsUserSettings" serializeAs="String"&gt;
        &lt;value&gt;ColumnNameForEdgeType░Comment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t>
  </si>
  <si>
    <t xml:space="preserve">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0 200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t>
  </si>
  <si>
    <t>="String"&gt;
        &lt;value&gt;Bezier&lt;/value&gt;
      &lt;/setting&gt;
      &lt;setting name="EdgeWidth" serializeAs="String"&gt;
        &lt;value&gt;8&lt;/value&gt;
      &lt;/setting&gt;
      &lt;setting name="AutoSelect" serializeAs="String"&gt;
        &lt;value&gt;True&lt;/value&gt;
      &lt;/setting&gt;
      &lt;setting name="LabelUserSettings" serializeAs="String"&gt;
        &lt;value&gt;Microsoft Sans Serif, 24pt White BottomCenter 50 2147483647 Black True 410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</si>
  <si>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t>
  </si>
  <si>
    <t>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Youtube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t>
  </si>
  <si>
    <t>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&lt;value&gt;CalculateSentiment░True▓TextColumnIsOnEdgeWorksheet░False▓TextColumnName░Tags▓CountByGroup░True▓SkipSingleTerms░True▓WordsToSkip░0 1 2 3 4 5 6 7 8 9 39 #39 a á à â å ä ã able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amp amp an and announce another any anybody anyhow anymore anyone anything anyway anyways anywhere ao apart apparently appear appreciate appropriate approximately aq ar are area areas aren aren't arent arise around arpa as aside ask asked asking asks aspx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 brief briefly bs bt but buy bv bw by bz c c'mon c's ca call came can can't cannot cant caption case cases cause causes cc cd certain certainly cf cg ch changes channel ci ck cl clear clearly click cm cmon cn co com come comes computer con concerning consequently consider considering contain containing contains copy corresponding could could've couldn couldn't couldnt course cr cry cs cu currently cv cx cy cz d ð dare daren't darent date de dear definitely describe described despite detail did didn didn't didnt differ different differently directly dj dk dm do does doesn doesn't doesnt doing don don't done dont doubtful down downed downing downs downwards due during ðÿ ðÿš dz e é è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href ht htm html html http http https hu hundred i ï i.e. i'd i'll i'm i've id ie if ignored ii il ill im immediate immediately importance important in inasmuch inc indeed index indicate indicated indicates information inner inside insofar instead int interest interested interesting interests into invention inward io iq ir is isn isn't isnt it it'd it'll it's itd itll its itse” itself ive j je jm jo join jp just k kanal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ó ò ö obtain obtained obviously of off official offiziell offizielle often oh ok okay old older oldest om omitted on once one one's ones only onto open opened opening opens opposite or ord order ordered ordering orders org other others otherwise ought oughtn't oughtnt our ours ourselves out outside over overall owing own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qa que quickly quite quot quot qv r ran rather rd re readily really reasonably recent recently ref refs regarding regardless regards related relatively research reserved respectively resulted resulting results right ring ro room rooms round rt ru run rw s sa said same saw say saying says sb sc sd se sec second secondly seconds section see seeing seem seemed seeming seems seen sees self selves sensible sent serious seriously seven s</t>
  </si>
  <si>
    <t xml:space="preserve">eventy several sg sh shall shan't shant she she'd she'll she's shed shell shes should should've shouldn shouldn't shouldnt show showed showing shown showns shows si side sides significant significantly similar similarly since sincere site six sixty sj sk sl slightly sm small smaller smallest sn so some somebody someday somehow someone somethan something sometime sometimes somewhat somewhere soon sorry specifically specified specify specifying sr ß st state states still stop strongly su sub subscribe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ú ù ü ua ug uk um un under underneath undoing unfortunately unless unlike unlikely until unto up upon ups upwards url us use used useful usefully usefulness uses using usually uucp uy uz v va value various vc ve versus very vg vi via video viz vn vol vols vs vu w want wanted wanting wants was wasn wasn't wasnt watch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youtu youtube youve yt yu z za zero zm zr▓SentimentList1Name░List1▓SentimentList2Name░List2▓SentimentList3Name░List3▓SentimentList1FriendlyName░Positive▓SentimentList2FriendlyName░Negative▓SentimentList3FriendlyName░(Add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t>
  </si>
  <si>
    <t>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t>
  </si>
  <si>
    <t>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t>
  </si>
  <si>
    <t>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t>
  </si>
  <si>
    <t>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t>
  </si>
  <si>
    <t>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t>
  </si>
  <si>
    <t>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t>
  </si>
  <si>
    <t>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t>
  </si>
  <si>
    <t>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t>
  </si>
  <si>
    <t xml:space="preserve">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t>
  </si>
  <si>
    <t xml:space="preserve">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t>
  </si>
  <si>
    <t>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&lt;setting name="OverallMetricsUserSettings" serializeAs="String"&gt;
        &lt;value&gt;ColumnNameForEdgeType░Comment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t>
  </si>
  <si>
    <t>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80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24pt White BottomCenter 40 2147483647 Black True 410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t>
  </si>
  <si>
    <t>Autofill Workbook Results</t>
  </si>
  <si>
    <t>Graph History</t>
  </si>
  <si>
    <t>Relationship</t>
  </si>
  <si>
    <t>y2WtUMvNjzQ</t>
  </si>
  <si>
    <t>XF_Kr9v6WRs</t>
  </si>
  <si>
    <t>9gku93laoec</t>
  </si>
  <si>
    <t>i2mdwmpLYLY</t>
  </si>
  <si>
    <t>VQti02x57bE</t>
  </si>
  <si>
    <t>2h55LrgNVZ4</t>
  </si>
  <si>
    <t>Rzxr9FeZf1g</t>
  </si>
  <si>
    <t>QgpfNScEd3M</t>
  </si>
  <si>
    <t>b03U6BYF9L0</t>
  </si>
  <si>
    <t>zXdy4Q8xlH0</t>
  </si>
  <si>
    <t>w1RHoTayPNc</t>
  </si>
  <si>
    <t>IbSCM1GAjA4</t>
  </si>
  <si>
    <t>D1GZrZKaw0o</t>
  </si>
  <si>
    <t>KeruO5AC7ec</t>
  </si>
  <si>
    <t>LzpCldPiT0c</t>
  </si>
  <si>
    <t>GZzO9PanHLU</t>
  </si>
  <si>
    <t>3cYbYBsLMSo</t>
  </si>
  <si>
    <t>dlnx89ZiAOE</t>
  </si>
  <si>
    <t>jNL0_FSrOPY</t>
  </si>
  <si>
    <t>uJRlvg_JG_g</t>
  </si>
  <si>
    <t>j3Xj6SNIY94</t>
  </si>
  <si>
    <t>t4Gcrc9lMog</t>
  </si>
  <si>
    <t>C5KcjucOLHE</t>
  </si>
  <si>
    <t>OBSfullrLFk</t>
  </si>
  <si>
    <t>pg1Cotr1fME</t>
  </si>
  <si>
    <t>mVb_OPns8ZQ</t>
  </si>
  <si>
    <t>peUVLEUj-AM</t>
  </si>
  <si>
    <t>9qYzmfo1xp0</t>
  </si>
  <si>
    <t>I7QZD9iseDA</t>
  </si>
  <si>
    <t>RhArakH5cTU</t>
  </si>
  <si>
    <t>APASP1YKH60</t>
  </si>
  <si>
    <t>PAKaVmcOPBY</t>
  </si>
  <si>
    <t>WJu7VzVtJiM</t>
  </si>
  <si>
    <t>gLDQr9i7LkM</t>
  </si>
  <si>
    <t>8JDuBDIy4C4</t>
  </si>
  <si>
    <t>Yh7-ylESSOg</t>
  </si>
  <si>
    <t>1IWAtvzE9rs</t>
  </si>
  <si>
    <t>xrZMYVDcjZI</t>
  </si>
  <si>
    <t>BlaHA4b4x-4</t>
  </si>
  <si>
    <t>ycBwyg6ccmk</t>
  </si>
  <si>
    <t>0uVempfe8zw</t>
  </si>
  <si>
    <t>lNq47C7hKAM</t>
  </si>
  <si>
    <t>Ya_trIAWIXA</t>
  </si>
  <si>
    <t>3nTsHMSe0aM</t>
  </si>
  <si>
    <t>vczzNIFMUjE</t>
  </si>
  <si>
    <t>kIIHkXZZs4M</t>
  </si>
  <si>
    <t>scDmziIwUEY</t>
  </si>
  <si>
    <t>ldUS0QOcEP0</t>
  </si>
  <si>
    <t>RFRN1WY98Ik</t>
  </si>
  <si>
    <t>KjTXvC2DfJI</t>
  </si>
  <si>
    <t>JXDo-73uaAI</t>
  </si>
  <si>
    <t>yhAyt-1VuCo</t>
  </si>
  <si>
    <t>AsLGoU7eQsM</t>
  </si>
  <si>
    <t>Ub3Xii_jJ-8</t>
  </si>
  <si>
    <t>_2WI_d-8V9k</t>
  </si>
  <si>
    <t>T_ClE_zExnw</t>
  </si>
  <si>
    <t>wCFqAADKPMo</t>
  </si>
  <si>
    <t>oXCqFp6oFL8</t>
  </si>
  <si>
    <t>lABHz3thEhQ</t>
  </si>
  <si>
    <t>tncjsUkqNyY</t>
  </si>
  <si>
    <t>Rd1NFN8DKVg</t>
  </si>
  <si>
    <t>MuJ3wkYvvx8</t>
  </si>
  <si>
    <t>fO0KoyQWthI</t>
  </si>
  <si>
    <t>G8ZP_Af0ArI</t>
  </si>
  <si>
    <t>RSk04n3HIt4</t>
  </si>
  <si>
    <t>Dus54BmqPF0</t>
  </si>
  <si>
    <t>XrVvGrPIauM</t>
  </si>
  <si>
    <t>8rn8PI2h96s</t>
  </si>
  <si>
    <t>CGz5JJHGhPI</t>
  </si>
  <si>
    <t>DshLw2zU4Ig</t>
  </si>
  <si>
    <t>y7cqMmP8FxA</t>
  </si>
  <si>
    <t>rb9wynggXjk</t>
  </si>
  <si>
    <t>msT1LTXnWWI</t>
  </si>
  <si>
    <t>WHiHDkpHZ2w</t>
  </si>
  <si>
    <t>h6BLvTSVdKk</t>
  </si>
  <si>
    <t>Z1fLOCJMvI4</t>
  </si>
  <si>
    <t>xrmOtfZllrU</t>
  </si>
  <si>
    <t>DQHMB7V9LtE</t>
  </si>
  <si>
    <t>32zh2VVt0zc</t>
  </si>
  <si>
    <t>vhcqouX49I0</t>
  </si>
  <si>
    <t>zlmarLZpsyQ</t>
  </si>
  <si>
    <t>NTKLRgkzrQE</t>
  </si>
  <si>
    <t>CcEwlL6PWBs</t>
  </si>
  <si>
    <t>hwwryUU7pQQ</t>
  </si>
  <si>
    <t>aiMstewMvSo</t>
  </si>
  <si>
    <t>nVAGDYDeADQ</t>
  </si>
  <si>
    <t>gZoYxZtjGyg</t>
  </si>
  <si>
    <t>V522Hs8E6NU</t>
  </si>
  <si>
    <t>HrUYKKaUDHo</t>
  </si>
  <si>
    <t>XrXzkPygrCo</t>
  </si>
  <si>
    <t>npYocgDntyY</t>
  </si>
  <si>
    <t>M5F2tU5V9Mw</t>
  </si>
  <si>
    <t>XbapWiUq94o</t>
  </si>
  <si>
    <t>urZLTobAfJc</t>
  </si>
  <si>
    <t>gpEXtTzz5Aw</t>
  </si>
  <si>
    <t>yqUFy-t4MlQ</t>
  </si>
  <si>
    <t>o-nCSXX4H24</t>
  </si>
  <si>
    <t>zacqRZH5t5s</t>
  </si>
  <si>
    <t>hhb4hb7HOKQ</t>
  </si>
  <si>
    <t>zBkVCpbNnkU</t>
  </si>
  <si>
    <t>WQptarOLSBU</t>
  </si>
  <si>
    <t>LYgG07JlguI</t>
  </si>
  <si>
    <t>79kUBiiXqrM</t>
  </si>
  <si>
    <t>v6KJWomiJa4</t>
  </si>
  <si>
    <t>cYGuWN1OhD8</t>
  </si>
  <si>
    <t>UqHh6TvGQIQ</t>
  </si>
  <si>
    <t>RQr4zytg3z0</t>
  </si>
  <si>
    <t>ppH3n4cXkF4</t>
  </si>
  <si>
    <t>bwAO2Uy-Rdg</t>
  </si>
  <si>
    <t>bueW1i9kQao</t>
  </si>
  <si>
    <t>dfdhaAg9sf4</t>
  </si>
  <si>
    <t>cLqlvts4jIs</t>
  </si>
  <si>
    <t>zSSoYmQS6Ng</t>
  </si>
  <si>
    <t>m5QNKjV-fys</t>
  </si>
  <si>
    <t>mcfREDQXJss</t>
  </si>
  <si>
    <t>vPDxQBEFUEo</t>
  </si>
  <si>
    <t>lvlso1fp-a8</t>
  </si>
  <si>
    <t>ZoOxPcdL1xU</t>
  </si>
  <si>
    <t>PMBg9A7IoJY</t>
  </si>
  <si>
    <t>bIOEkv7PibM</t>
  </si>
  <si>
    <t>51G9eU4430Y</t>
  </si>
  <si>
    <t>mM-xhJM8Cq0</t>
  </si>
  <si>
    <t>UXrr7SYdzmY</t>
  </si>
  <si>
    <t>RCGLyLUNMv8</t>
  </si>
  <si>
    <t>kqefPDnZCQI</t>
  </si>
  <si>
    <t>BDlBjJkRscg</t>
  </si>
  <si>
    <t>-oAK0Te6YFw</t>
  </si>
  <si>
    <t>z8JkLY1c8S4</t>
  </si>
  <si>
    <t>isROOsii0f8</t>
  </si>
  <si>
    <t>jf-mR7vDXXc</t>
  </si>
  <si>
    <t>Ei9qwwUHCjQ</t>
  </si>
  <si>
    <t>IthbU8Zaa30</t>
  </si>
  <si>
    <t>gGRz95Ry9ok</t>
  </si>
  <si>
    <t>zw89V42Yb8U</t>
  </si>
  <si>
    <t>ms4dPjuPdWM</t>
  </si>
  <si>
    <t>YYA38wXQ4dc</t>
  </si>
  <si>
    <t>_np5jeGVloY</t>
  </si>
  <si>
    <t>LNO-ZuV8URM</t>
  </si>
  <si>
    <t>UCSBNLFTZSo</t>
  </si>
  <si>
    <t>osOLmUaL6ck</t>
  </si>
  <si>
    <t>_OQUbNIrSf4</t>
  </si>
  <si>
    <t>gJllC8AXlRw</t>
  </si>
  <si>
    <t>YN9N5mZSFx4</t>
  </si>
  <si>
    <t>E1ZN_GJqnLY</t>
  </si>
  <si>
    <t>0F_360MvyPg</t>
  </si>
  <si>
    <t>EJpamV4cSoU</t>
  </si>
  <si>
    <t>1NCGoFxvbXI</t>
  </si>
  <si>
    <t>mMEhlPR09_A</t>
  </si>
  <si>
    <t>urWc4kKd2Vg</t>
  </si>
  <si>
    <t>qifqa9-bH3w</t>
  </si>
  <si>
    <t>fpaES0VnXaA</t>
  </si>
  <si>
    <t>LABGimhsEys</t>
  </si>
  <si>
    <t>gCYR7BWYhCU</t>
  </si>
  <si>
    <t>MQPx6WUNuNo</t>
  </si>
  <si>
    <t>H8xCV3bxHyE</t>
  </si>
  <si>
    <t>opRMrEfAIiI</t>
  </si>
  <si>
    <t>CqJPXVuqs2Y</t>
  </si>
  <si>
    <t>g3XTIYh6WAk</t>
  </si>
  <si>
    <t>sEQcp8WM0oI</t>
  </si>
  <si>
    <t>Vkks7EqWnhU</t>
  </si>
  <si>
    <t>tcijkFYJiJY</t>
  </si>
  <si>
    <t>4JhVvlQaG8c</t>
  </si>
  <si>
    <t>4PY0KzcyVJ8</t>
  </si>
  <si>
    <t>CCU8vpSeBtM</t>
  </si>
  <si>
    <t>RDocnbkHjhI</t>
  </si>
  <si>
    <t>4nPuZ9chE7s</t>
  </si>
  <si>
    <t>9UCdFbyL8y0</t>
  </si>
  <si>
    <t>Ju7Yt0LMiVk</t>
  </si>
  <si>
    <t>gcNKIGAodj8</t>
  </si>
  <si>
    <t>QmPLGt5rd_k</t>
  </si>
  <si>
    <t>uP4d9YtzkXk</t>
  </si>
  <si>
    <t>iHVI6X_f3rM</t>
  </si>
  <si>
    <t>GxFAjOC8Kt8</t>
  </si>
  <si>
    <t>FdVeDZt1ov4</t>
  </si>
  <si>
    <t>7_HxdCHqFiU</t>
  </si>
  <si>
    <t>CUhVKyRzR10</t>
  </si>
  <si>
    <t>8qvl5jK1K58</t>
  </si>
  <si>
    <t>y_hYgFWehDY</t>
  </si>
  <si>
    <t>m6X9TVebtxs</t>
  </si>
  <si>
    <t>smbwz5zhPYQ</t>
  </si>
  <si>
    <t>tELZEPcgKkE</t>
  </si>
  <si>
    <t>53jabSgqXM4</t>
  </si>
  <si>
    <t>PBGdr_RSSO0</t>
  </si>
  <si>
    <t>fnmxS3sO5RA</t>
  </si>
  <si>
    <t>iCAm3WVH8bE</t>
  </si>
  <si>
    <t>T9Zn0SUbSSI</t>
  </si>
  <si>
    <t>d9_2qcpe85w</t>
  </si>
  <si>
    <t>OqenQc09k-E</t>
  </si>
  <si>
    <t>Z2swde6Z97w</t>
  </si>
  <si>
    <t>hVu844ZcCdU</t>
  </si>
  <si>
    <t>93PUuemIvl0</t>
  </si>
  <si>
    <t>yQG07nq8ia0</t>
  </si>
  <si>
    <t>YWxwRlyjm9U</t>
  </si>
  <si>
    <t>TWpjc1QZg84</t>
  </si>
  <si>
    <t>qO5QOIIL_ZE</t>
  </si>
  <si>
    <t>mLHnUjhzv9E</t>
  </si>
  <si>
    <t>ffwVNyrTSUQ</t>
  </si>
  <si>
    <t>NaGndICPT8I</t>
  </si>
  <si>
    <t>eMrFV2rnHlo</t>
  </si>
  <si>
    <t>XbCqMTZcJek</t>
  </si>
  <si>
    <t>Qqc_ExxEcEY</t>
  </si>
  <si>
    <t>xNS6XpLhX2c</t>
  </si>
  <si>
    <t>tCyvptNFzHQ</t>
  </si>
  <si>
    <t>CTj_xoCuhPU</t>
  </si>
  <si>
    <t>FJ7iPn39i08</t>
  </si>
  <si>
    <t>rb7TVW77ZCs</t>
  </si>
  <si>
    <t>sMuo_pox7p0</t>
  </si>
  <si>
    <t>n9Xn6WCj0K8</t>
  </si>
  <si>
    <t>GzvfpyyZO9o</t>
  </si>
  <si>
    <t>Z5MjKrqbLGQ</t>
  </si>
  <si>
    <t>iHQ2pGqaI3o</t>
  </si>
  <si>
    <t>YqJ7KoygkC4</t>
  </si>
  <si>
    <t>VPOrnU3ImxI</t>
  </si>
  <si>
    <t>9VV1TfK3mmE</t>
  </si>
  <si>
    <t>y0opgc1WoS4</t>
  </si>
  <si>
    <t>fMsa7o48XBE</t>
  </si>
  <si>
    <t>7VG_s2PCH_c</t>
  </si>
  <si>
    <t>ZZus7cwhnIo</t>
  </si>
  <si>
    <t>ZqizB87kkhc</t>
  </si>
  <si>
    <t>ggtkzkoI3eM</t>
  </si>
  <si>
    <t>_d8PNlXHJ48</t>
  </si>
  <si>
    <t>XIJzc0FiVHA</t>
  </si>
  <si>
    <t>ULfqhCNHQPA</t>
  </si>
  <si>
    <t>MlnssseIo1k</t>
  </si>
  <si>
    <t>3aNhzLUL2ys</t>
  </si>
  <si>
    <t>6Ib2WMBmfFo</t>
  </si>
  <si>
    <t>xXjsn9L-SGI</t>
  </si>
  <si>
    <t>e3jlXm6CLns</t>
  </si>
  <si>
    <t>q67IWTQ55vM</t>
  </si>
  <si>
    <t>uql9B93h1Xc</t>
  </si>
  <si>
    <t>tquABLc3Hhs</t>
  </si>
  <si>
    <t>1qQE5Xwe7fs</t>
  </si>
  <si>
    <t>dS5TmfOwBnw</t>
  </si>
  <si>
    <t>kjFPUoIXd80</t>
  </si>
  <si>
    <t>GmHGUTNoL-I</t>
  </si>
  <si>
    <t>SAkp7oOTwK8</t>
  </si>
  <si>
    <t>EHQ4n980evI</t>
  </si>
  <si>
    <t>8pK5FuptsSQ</t>
  </si>
  <si>
    <t>VgnbRK8pij8</t>
  </si>
  <si>
    <t>uH_rIT0juiM</t>
  </si>
  <si>
    <t>XwFB22r9zRo</t>
  </si>
  <si>
    <t>rukhqdUk4SA</t>
  </si>
  <si>
    <t>BAIXmt58iBU</t>
  </si>
  <si>
    <t>0Yhaei1S5oQ</t>
  </si>
  <si>
    <t>FPEHm2x8bdE</t>
  </si>
  <si>
    <t>dD-yN2G5BY0</t>
  </si>
  <si>
    <t>8iHpZHOESf8</t>
  </si>
  <si>
    <t>7tzaWOdvGMw</t>
  </si>
  <si>
    <t>zZ3l1jgmYrY</t>
  </si>
  <si>
    <t>ABeBqbBy2Lo</t>
  </si>
  <si>
    <t>StrsvKSAbT8</t>
  </si>
  <si>
    <t>pxj0PRXaduI</t>
  </si>
  <si>
    <t>m_zFyXWxxMA</t>
  </si>
  <si>
    <t>hhXeUQOuRaw</t>
  </si>
  <si>
    <t>yS53AA_WaUk</t>
  </si>
  <si>
    <t>7FlzHiURdTs</t>
  </si>
  <si>
    <t>w6kUOjJ98cY</t>
  </si>
  <si>
    <t>hiduiTq1ei8</t>
  </si>
  <si>
    <t>L6w0SSidMIo</t>
  </si>
  <si>
    <t>Gs26bZTRkdU</t>
  </si>
  <si>
    <t>aLNhfVCa5qY</t>
  </si>
  <si>
    <t>2z35_1e1MtI</t>
  </si>
  <si>
    <t>sH4bi60alZU</t>
  </si>
  <si>
    <t>5BAKzzV8Pw4</t>
  </si>
  <si>
    <t>j6MrN9o0BfA</t>
  </si>
  <si>
    <t>CJxTlLzBWMM</t>
  </si>
  <si>
    <t>sk00epALZps</t>
  </si>
  <si>
    <t>ZdT6AOQsH2M</t>
  </si>
  <si>
    <t>5QY5pLQqIYM</t>
  </si>
  <si>
    <t>pYE2FnDsevM</t>
  </si>
  <si>
    <t>jtAkNf_b_TM</t>
  </si>
  <si>
    <t>AtCLwYFRp4o</t>
  </si>
  <si>
    <t>3DeZk8pzx8c</t>
  </si>
  <si>
    <t>HSQvwkVLPDM</t>
  </si>
  <si>
    <t>wsR6FUn5pgM</t>
  </si>
  <si>
    <t>zyxEo2kqo08</t>
  </si>
  <si>
    <t>JK_nMe-kU9Q</t>
  </si>
  <si>
    <t>G3fBWRol7Fs</t>
  </si>
  <si>
    <t>EzEr23XJwFY</t>
  </si>
  <si>
    <t>2lBqbREuyD8</t>
  </si>
  <si>
    <t>-jtALmT--rQ</t>
  </si>
  <si>
    <t>QNDLZoi3lo0</t>
  </si>
  <si>
    <t>XYviM5xevC8</t>
  </si>
  <si>
    <t>I2lQ_gFO3I0</t>
  </si>
  <si>
    <t>LyDKS5ubiDI</t>
  </si>
  <si>
    <t>AdJFE1sp4Fw</t>
  </si>
  <si>
    <t>8yqLqAlcrrE</t>
  </si>
  <si>
    <t>Y6iila6HedI</t>
  </si>
  <si>
    <t>yrR48pQTQhc</t>
  </si>
  <si>
    <t>S1Onniy08AY</t>
  </si>
  <si>
    <t>onDCvHtHSkY</t>
  </si>
  <si>
    <t>kRh1zXFKC_o</t>
  </si>
  <si>
    <t>gxSUqr3ouYA</t>
  </si>
  <si>
    <t>zNUPS919HKM</t>
  </si>
  <si>
    <t>TGx8rjgdIXk</t>
  </si>
  <si>
    <t>Q7yvvq-9ytE</t>
  </si>
  <si>
    <t>Qja4z1HGDQo</t>
  </si>
  <si>
    <t>DZAMKuXJOcg</t>
  </si>
  <si>
    <t>71X7a8eu73k</t>
  </si>
  <si>
    <t>FDVNdn0CvKI</t>
  </si>
  <si>
    <t>oqtfqVsFaqc</t>
  </si>
  <si>
    <t>_X8XtZZYkNA</t>
  </si>
  <si>
    <t>OTYfke545vI</t>
  </si>
  <si>
    <t>Cxqca4RQd_M</t>
  </si>
  <si>
    <t>tbZVyt65Jmw</t>
  </si>
  <si>
    <t>7lyLZyePlXs</t>
  </si>
  <si>
    <t>n7bZbBFYnfo</t>
  </si>
  <si>
    <t>Oj5hAazXcs8</t>
  </si>
  <si>
    <t>JDy95_eNPzM</t>
  </si>
  <si>
    <t>Agdvt9M3NJA</t>
  </si>
  <si>
    <t>YvZdXRP6Tig</t>
  </si>
  <si>
    <t>guh7i7tHeZk</t>
  </si>
  <si>
    <t>KSdU5B_fdVo</t>
  </si>
  <si>
    <t>FJeuK1Pl2bQ</t>
  </si>
  <si>
    <t>IPrndNZ4m6w</t>
  </si>
  <si>
    <t>tfVgHRPC7Ao</t>
  </si>
  <si>
    <t>S3vfHZI8VoI</t>
  </si>
  <si>
    <t>MYnjzsjeMK8</t>
  </si>
  <si>
    <t>vfDP2ONPPOU</t>
  </si>
  <si>
    <t>YPl0naO6GR0</t>
  </si>
  <si>
    <t>ETJs5moej9M</t>
  </si>
  <si>
    <t>JiTz2i4VHFw</t>
  </si>
  <si>
    <t>yei1uDOzH8Y</t>
  </si>
  <si>
    <t>jAhjPd4uNFY</t>
  </si>
  <si>
    <t>MjdpR-TY6QU</t>
  </si>
  <si>
    <t>xzyytRY5htk</t>
  </si>
  <si>
    <t>7TmcXYp8xu4</t>
  </si>
  <si>
    <t>8HslUzw35mc</t>
  </si>
  <si>
    <t>KyD8VIK032o</t>
  </si>
  <si>
    <t>EiYm20F9WXU</t>
  </si>
  <si>
    <t>-F1EOli_nn4</t>
  </si>
  <si>
    <t>Recommended Video</t>
  </si>
  <si>
    <t>Title</t>
  </si>
  <si>
    <t>Description</t>
  </si>
  <si>
    <t>Tags</t>
  </si>
  <si>
    <t>Author</t>
  </si>
  <si>
    <t>Created Date (UTC)</t>
  </si>
  <si>
    <t>Views</t>
  </si>
  <si>
    <t>Comments</t>
  </si>
  <si>
    <t>Likes Count</t>
  </si>
  <si>
    <t>Dislikes Count</t>
  </si>
  <si>
    <t>Custom Menu Item Text</t>
  </si>
  <si>
    <t>Custom Menu Item Action</t>
  </si>
  <si>
    <t>Responding To Your Letters! | Mail Time #1 | Doctor Mike</t>
  </si>
  <si>
    <t>A Doctor's Travel Guide | TRAVEL TIPS + VLOG | Doctor Mike</t>
  </si>
  <si>
    <t>Human Cloning is Terrifying! | Responding to Your Comments #11</t>
  </si>
  <si>
    <t>Should Doctors Have Tattoos? | Responding to Your Comments #9 | Doctor Mike</t>
  </si>
  <si>
    <t>Questions YOU Should Ask Your Doctor | Doctor Mike</t>
  </si>
  <si>
    <t>SENSORY DEPRIVATION IN A FLOTATION TANK | WHAT IS FLOAT THERAPY? | Doctor Mike</t>
  </si>
  <si>
    <t>Day In The Life Of A Doctor | My FIRST Hospital Vlog!</t>
  </si>
  <si>
    <t>Ask Doctor Mike ft. GABBIE HANNA | Why's My Body Crooked?</t>
  </si>
  <si>
    <t>My Take on NURSES | Hospital Vlog | Doctor Mike</t>
  </si>
  <si>
    <t>Kids Ask Awkward Health Questions! | Doctor Mike</t>
  </si>
  <si>
    <t>A Scientist Did WHAT?!? | Conspiracy Theory | Wednesday Checkup</t>
  </si>
  <si>
    <t>MEDICAL CONFESSIONS! Doctor Mike Vs. Juanpa Zurita</t>
  </si>
  <si>
    <t>Doctor Reacts to HILARIOUS Medical Memes #9</t>
  </si>
  <si>
    <t>7 Health Benefits of Green Tea &amp; How to Drink it | Doctor Mike</t>
  </si>
  <si>
    <t>Is Blood Really Blue? | Curbside Consult | Doctor Mike</t>
  </si>
  <si>
    <t>Real Doctor Reacts to CODE BLACK | Medical Drama Review | Doctor Mike</t>
  </si>
  <si>
    <t>How Much Coffee Is Too Much? | Responding to Your Comments #10</t>
  </si>
  <si>
    <t>My Thoughts on Plastic Surgery | Responding to Your Comments | Doctor Mike</t>
  </si>
  <si>
    <t>OWNING A DOG | Things to Know Before Getting a Puppy! | Doctor Mike</t>
  </si>
  <si>
    <t>ASK DOCTOR MIKE: MEDICAL MYTHS EXPOSED FT. MYLIFEASEVA</t>
  </si>
  <si>
    <t>How Instagram star says he went from shy, unconfident to 'Sexiest Doctor Alive'</t>
  </si>
  <si>
    <t>Doctor Reacts to John Oliver | Last Week Tonight: Bias in Medicine</t>
  </si>
  <si>
    <t>Real Doctor vs TV Doctor | Medical Drama Myths | Doctor Mike</t>
  </si>
  <si>
    <t>The Truth About Cracking Your Knuckles | Responding to Comments #15</t>
  </si>
  <si>
    <t>"Doctors Of Reddit" #2 | WEIRDEST Patient Stories</t>
  </si>
  <si>
    <t>The epidemic of the "I Know All" expert | Mikhail (Doctor Mike) Varshavski | TEDxMonteCarlo</t>
  </si>
  <si>
    <t>What is High Blood Pressure? | New Hypertension Guidelines! | Doctor Mike</t>
  </si>
  <si>
    <t>Doctor Reacts to Silly Medical Memes #6</t>
  </si>
  <si>
    <t>Doctor FAILS Idiot Test | Wednesday Checkup</t>
  </si>
  <si>
    <t>Doctor Mike On Diets: Intermittent Fasting | Diet Review</t>
  </si>
  <si>
    <t>"Doctors of Reddit" #3: Second Opinions</t>
  </si>
  <si>
    <t>How I Got Into MED SCHOOL | My Pre-Med Journey | Doctor Mike</t>
  </si>
  <si>
    <t>My Thoughts On Marijuana | Responding to Your Comments! | Doctor Mike</t>
  </si>
  <si>
    <t>ARE VITAMINS FAKE NEWS? I Doctor Mike</t>
  </si>
  <si>
    <t>Real Doctor Reacts to THE GOOD DOCTOR | Medical Drama Review | Doctor Mike</t>
  </si>
  <si>
    <t>Apple Cider Vinegar Benefits? | Responding to Your Comments | Doctor Mike</t>
  </si>
  <si>
    <t>Doctor Reacts to Reckless Medical Memes #11</t>
  </si>
  <si>
    <t>CURBSIDE CONSULT NYC | Ask Doctor Mike</t>
  </si>
  <si>
    <t>Probiotics Benefits + Myths | Improve Gut Health | Doctor Mike</t>
  </si>
  <si>
    <t>A Day in the Life: Siberian Husky Edition | Doctor Mike</t>
  </si>
  <si>
    <t>Real Doctor Reacts to HOUSE M.D. | Medical Drama Review | Doctor Mike</t>
  </si>
  <si>
    <t>A Patient Filed A Complaint! | Wednesday Checkup | Doctor Mike</t>
  </si>
  <si>
    <t>Top 10 Misleading Food Label Claims | Nutrition Labels BUSTED!!!</t>
  </si>
  <si>
    <t>My Thoughts On Vaping + ASMR | Responding to Your Comments | Doctor Mike</t>
  </si>
  <si>
    <t>Doctor Mike on Diets: Ketogenic Diet | Diet Review</t>
  </si>
  <si>
    <t>50 Facts About Me | Doctor Mike</t>
  </si>
  <si>
    <t>Anti Vaxxers Getting Owned Online</t>
  </si>
  <si>
    <t>r/sbubby Best Posts</t>
  </si>
  <si>
    <t>Anti Vaxxer Mom Asks The Most Stupid Question On Facebook</t>
  </si>
  <si>
    <t>r/choosingbeggars - BEST POSTS #1</t>
  </si>
  <si>
    <t>People Getting Owned Online #4</t>
  </si>
  <si>
    <t>People Getting Owned Online #2</t>
  </si>
  <si>
    <t>I Joined An Anti-Vax Facebook Group</t>
  </si>
  <si>
    <t>r/facepalm - BEST POSTS #2</t>
  </si>
  <si>
    <t>r/VaxxHappened | Anti-Vaxxer Laughs When Her Child Gets Rotavirus | episode 1</t>
  </si>
  <si>
    <t>r/fatlogic - BEST POSTS #4</t>
  </si>
  <si>
    <t>Vegans Getting Owned Online #2</t>
  </si>
  <si>
    <t>r/facepalm - BEST POSTS #3</t>
  </si>
  <si>
    <t>ANTI-VAXXERS ARE OUT OF CONTROL (r/vaxxhappened)</t>
  </si>
  <si>
    <t>Flat Earth Memes That Drive Flat Earthers Crazy</t>
  </si>
  <si>
    <t>People Getting Owned Online #1</t>
  </si>
  <si>
    <t>r/fatlogic - BEST POSTS #5</t>
  </si>
  <si>
    <t>BEST WHOLESOME MEMES V15</t>
  </si>
  <si>
    <t>Doctors Share "HOW are you STILL ALIVE?" Stories</t>
  </si>
  <si>
    <t>r/quityourbullshit - BEST POSTS #1</t>
  </si>
  <si>
    <t>r/Entitledparents ENTITLED MOMMY VS ARMY SERGEANT!</t>
  </si>
  <si>
    <t>Bragging Of How Smart You Are (r/iamverysmart) #3</t>
  </si>
  <si>
    <t>Antivaxxers Are Taking Over | r/VaxxHappened</t>
  </si>
  <si>
    <t>r/choosingbeggars - BEST POSTS #2</t>
  </si>
  <si>
    <t>Doctor Reacts to: WILD MEDICAL MEMES EP. 3</t>
  </si>
  <si>
    <t>Do All Christians Think the Same?</t>
  </si>
  <si>
    <t>Vegans Getting Owned Online</t>
  </si>
  <si>
    <t>Anti-Vaxxers need to be stopped | r/insanepeoplefacebook Pt.8</t>
  </si>
  <si>
    <t>Entitled millennial snowflake gets owned by hotel owner</t>
  </si>
  <si>
    <t>Multilinguals Share The Cringeworthy Times They Understood A Conversation They Weren't Meant To</t>
  </si>
  <si>
    <t>Return of the Antivaxxers | r/VaxxHappened</t>
  </si>
  <si>
    <t>Students Share The Most Ridiculous Rule Their Teachers Ever Implemented</t>
  </si>
  <si>
    <t>Doctors Share The WORST Anti Vax Stories  - (r/AskReddit)</t>
  </si>
  <si>
    <t>Combating Anti-Vaxxers | VaxxHappened Pt.2</t>
  </si>
  <si>
    <t>Anti Vaxxers Getting Owned Online #2</t>
  </si>
  <si>
    <t>Anti-vaxxers exposed: Hidden camera investigation (Marketplace)</t>
  </si>
  <si>
    <t>This County Banned Unvaccinated Kids From Public Spaces (HBO)</t>
  </si>
  <si>
    <t>10 Anti-Vaccine Movement Facts - WMNews Ep. 14</t>
  </si>
  <si>
    <t>A Message for the Anti-Vaccine Movement</t>
  </si>
  <si>
    <t>Anti-Vaxxers In Texas Would Rather Have Liberty Than Safety (HBO)</t>
  </si>
  <si>
    <t>The Science of Anti-Vaccination</t>
  </si>
  <si>
    <t>Vegans | House M.D.</t>
  </si>
  <si>
    <t>Anti Vaxxers back at it again  | r/vaxxhappened</t>
  </si>
  <si>
    <t>House Vs. Anti-Vaxxer | House M.D.</t>
  </si>
  <si>
    <t>Ohio teen defies mother and gets vaccinated</t>
  </si>
  <si>
    <t>How we conquered the deadly smallpox virus - Simona Zompi</t>
  </si>
  <si>
    <t>Why Anti Vaxxers are Dead Wrong</t>
  </si>
  <si>
    <t>Doctor Reacts to Middle Ground: Pro-Vaccine vs Anti-Vaccine</t>
  </si>
  <si>
    <t>Bill Nye Responds to Anti-Science Tweets</t>
  </si>
  <si>
    <t>Debunking Anti-Vaxxers</t>
  </si>
  <si>
    <t>The Side Effects of Vaccines - How High is the Risk?</t>
  </si>
  <si>
    <t>Pro-Vaccine vs Anti-Vaccine: Should Your Kids Get Vaccinated?</t>
  </si>
  <si>
    <t>House vs. Anti-vaxxer</t>
  </si>
  <si>
    <t>Real Doctor Reacts to THE GOOD DOCTOR #3 | Medical Drama Review</t>
  </si>
  <si>
    <t>house md you're fired</t>
  </si>
  <si>
    <t>House MD - Funny Moments: Season 1 (HD)</t>
  </si>
  <si>
    <t>House MD: Bilingual Backfire</t>
  </si>
  <si>
    <t>Hugh Laurie - House M.D, Audition Tape</t>
  </si>
  <si>
    <t>House M.D. gratification dissorder</t>
  </si>
  <si>
    <t>Dr. House - Minute Diagnoses</t>
  </si>
  <si>
    <t>Best of house clinic hours pt1</t>
  </si>
  <si>
    <t>Lupus!</t>
  </si>
  <si>
    <t>Wilson's Heart | House M.D.</t>
  </si>
  <si>
    <t>House Employs Foreman's Brother | House M.D.</t>
  </si>
  <si>
    <t>Inhaler Fail | House M.D.</t>
  </si>
  <si>
    <t>Unplanned Parenthood | House M.D.</t>
  </si>
  <si>
    <t>This Means War! | House M.D.</t>
  </si>
  <si>
    <t>Stalked  And Bullied For A Diagnosis | House M.D.</t>
  </si>
  <si>
    <t>Wilson's Long Lost Son | House M.D.</t>
  </si>
  <si>
    <t>House The Home Wrecker | House M.D.</t>
  </si>
  <si>
    <t>Mama's Little Helper | House M.D.</t>
  </si>
  <si>
    <t>Boombox Diagnosis | House M.D.</t>
  </si>
  <si>
    <t>Finding His Softer Side | House M.D.</t>
  </si>
  <si>
    <t>Failure To Communicate | House M.D.</t>
  </si>
  <si>
    <t>Thirteen - "I'm Not Coming Back" | House M.D.</t>
  </si>
  <si>
    <t>Black patient doesn't trust targeted medicine House MD S2E3</t>
  </si>
  <si>
    <t>House's Funeral | House M.D.</t>
  </si>
  <si>
    <t>House's Therapist | House M.D.</t>
  </si>
  <si>
    <t>The Man In Her Life  | House M.D.</t>
  </si>
  <si>
    <t>Cuddy Is Diagnosed With Cancer | House M.D.</t>
  </si>
  <si>
    <t>I Don't Need Needy | House M.D.</t>
  </si>
  <si>
    <t>House Trains His Protégé | House M.D.</t>
  </si>
  <si>
    <t>When House's Diagnosis Becomes Art | House M.D.</t>
  </si>
  <si>
    <t>The Orange Man | House M.D.</t>
  </si>
  <si>
    <t>Why Do You Care About My Theory? | House M.D.</t>
  </si>
  <si>
    <t>Best Of Breaking And Entering | House M.D.</t>
  </si>
  <si>
    <t>House Gets His Team Back | House M.D.</t>
  </si>
  <si>
    <t>When House Knows You're Lying  | House M.D.</t>
  </si>
  <si>
    <t>house md funny clinic hours s3.wmv</t>
  </si>
  <si>
    <t>House Was Right | House M.D.</t>
  </si>
  <si>
    <t>Superstitions | House M.D.</t>
  </si>
  <si>
    <t>Little Flirt | House M.D.</t>
  </si>
  <si>
    <t>House's New Cane | House M.D.</t>
  </si>
  <si>
    <t>Truth Or Dare  | House M.D.</t>
  </si>
  <si>
    <t>Weber's Lecture | House M.D.</t>
  </si>
  <si>
    <t>Patient Duty | House M.D.</t>
  </si>
  <si>
    <t>Grow Out Of The Freak Show | House M.D.</t>
  </si>
  <si>
    <t>Secret Santa | House M.D.</t>
  </si>
  <si>
    <t>Where's My Million Dollars!?  | House M.D.</t>
  </si>
  <si>
    <t>Immaculate Conception | House M.D.</t>
  </si>
  <si>
    <t>House Vs. God | House M.D.</t>
  </si>
  <si>
    <t>Funniest Clinic Duties | House M.D.</t>
  </si>
  <si>
    <t>Jimmy Kimmel's Update on the Anti-Vaccination Discussion</t>
  </si>
  <si>
    <t>Jake Byrd at Trump Inauguration</t>
  </si>
  <si>
    <t>Celebrities Read Mean Tweets #8</t>
  </si>
  <si>
    <t>Kylie Jenner Lied About Her Lips</t>
  </si>
  <si>
    <t>Jimmy Kimmel Puts Neil Patrick Harris on the Spot After the Oscars</t>
  </si>
  <si>
    <t>Generation Gap with Cousin Sal</t>
  </si>
  <si>
    <t>What is Your Password?</t>
  </si>
  <si>
    <t>Jennifer Aniston vs. Lisa Kudrow in Celebrity Curse Off</t>
  </si>
  <si>
    <t>Pot Quiz - South by Southwest Edition</t>
  </si>
  <si>
    <t>Jimmy Kimmel vs Matt Damon: The Full History Of Their Feud | ⭐OSSA</t>
  </si>
  <si>
    <t>Reggie Miller Talked Trash to Michael Jordan Once</t>
  </si>
  <si>
    <t>Mother in vaccination fight loses primary custody of son</t>
  </si>
  <si>
    <t>Have You Ever Smoked Pot?</t>
  </si>
  <si>
    <t>Gordon Ramsay Is Too Fit for a Chef</t>
  </si>
  <si>
    <t>Jimmy Kimmel the Uber Driver</t>
  </si>
  <si>
    <t>Mean Tweets - President Obama Edition</t>
  </si>
  <si>
    <t>Matt Damon and Jimmy Kimmel go to Couples Therapy</t>
  </si>
  <si>
    <t>Jimmy Kimmel and Scientists on Climate Change</t>
  </si>
  <si>
    <t>Russian Trolls Are Fueling The Anti Vaxxer Movement</t>
  </si>
  <si>
    <t>Jake Byrd at the Flat Earth Conference</t>
  </si>
  <si>
    <t>Jimmy Kimmel Asks President Barack Obama About His Daily Life</t>
  </si>
  <si>
    <t>Ben Affleck Sneaks Matt Damon Onto “Jimmy Kimmel Live!"</t>
  </si>
  <si>
    <t>The modern anti-vaxxer movement, explained</t>
  </si>
  <si>
    <t>Jon Stewart Returns With Advice From 1918 And Thoughts On Trump's Handling Of The Coronavirus</t>
  </si>
  <si>
    <t>Doctors Share Worst Anti-Vaxx Moms Experiences</t>
  </si>
  <si>
    <t>I regret not vaccinating my kid</t>
  </si>
  <si>
    <t>Trump Pretends Coronavirus Doesn’t Exist: A Closer Look</t>
  </si>
  <si>
    <t>Jon Stewart: Let's Address The President As #SwampyDon</t>
  </si>
  <si>
    <t>California Vaccine Law: Science Versus The Anti-Vaxxers</t>
  </si>
  <si>
    <t>Measles outbreak sparks fears, renews tensions over mandatory vaccination</t>
  </si>
  <si>
    <t>Anti Vaccine Nurse Stirs Up Emotional Reaction</t>
  </si>
  <si>
    <t>Anti-vaccination movement helps measles outbreak spread</t>
  </si>
  <si>
    <t>The Story of Dolly the Cloned Sheep | Retro Report | The New York Times</t>
  </si>
  <si>
    <t>Should Children Be Banned From School if They Don't Have the Measles Vaccine? | This Morning</t>
  </si>
  <si>
    <t>Anti-Anti-Vaxxers | April 3, 2019 Act 2 | Full Frontal on TBS</t>
  </si>
  <si>
    <t>The vaccine fight: A mother’s battle against anti-vaxxers in California</t>
  </si>
  <si>
    <t>Trying To Find A Doctor at an Anti Vaccine Rally</t>
  </si>
  <si>
    <t>Anti-Vaxxers And Fear Caused Minnesota's Measles Outbreak (HBO)</t>
  </si>
  <si>
    <t>18-year-old explains why he defied anti-vaxxer mother to get vaccinated</t>
  </si>
  <si>
    <t>Anti-Vaxxers Protest Outside New Jersey Senate to Oppose Vaccination Bill | NowThis</t>
  </si>
  <si>
    <t>Why measles is back in the US</t>
  </si>
  <si>
    <t>Why the anti-vaccination movement is wrong - BBC Newsnight</t>
  </si>
  <si>
    <t>The Story of Electricity   Full Episode</t>
  </si>
  <si>
    <t>10 Biggest Anti-Vaccine Сelebrities: Donald Trump, Jim Carrey And Others | ⭐OSSA</t>
  </si>
  <si>
    <t>Measles: To vaccinate or not?</t>
  </si>
  <si>
    <t>Analyzing The Vaccine Debate In The U.S. | MSNBC</t>
  </si>
  <si>
    <t>Doctor Fact-Checks PLANDEMIC Conspiracy</t>
  </si>
  <si>
    <t>Growing number of parents refusing vaccinations</t>
  </si>
  <si>
    <t>Vaccines do not cause autism, they save lives</t>
  </si>
  <si>
    <t>Doctor issues ultimatum for anti-vaccine crowd</t>
  </si>
  <si>
    <t>How Risky Are Vaccines?</t>
  </si>
  <si>
    <t>Child Vaccinations - The Doctors Debate</t>
  </si>
  <si>
    <t>Why are we afraid of vaccines? (and why we shouldn't be)</t>
  </si>
  <si>
    <t>To Vaccinate or Not? Two Mothers 'Debate'</t>
  </si>
  <si>
    <t>The Death Of Kings - Episode 3  | Plantagenets |  BBC Documentary</t>
  </si>
  <si>
    <t>Anti-Vaxxers Are Putting Way Too Many Kids At Risk</t>
  </si>
  <si>
    <t>What I learned from parents who don't vaccinate their kids | Jennifer Reich | TEDxMileHigh</t>
  </si>
  <si>
    <t>Robert DeNiro Debates Autism's Link To Vaccines | TODAY</t>
  </si>
  <si>
    <t>How do vaccines work? - Kelwalin Dhanasarnsombut</t>
  </si>
  <si>
    <t>Cancer survivor fears anti-vax parents are putting sick kids at risk</t>
  </si>
  <si>
    <t>Teen Who Rebelled Against Anti-Vaxx Parents Testifies to Congress | NowThis</t>
  </si>
  <si>
    <t>The origins of the anti-vaccine movement</t>
  </si>
  <si>
    <t>How Anti-Vaxxer’s Logical Fallacies Brought Measles Back, a Fool House Rock | NYT Opinion</t>
  </si>
  <si>
    <t>WATCH: Teen explains why he defied mother's anti-vaccination ideas</t>
  </si>
  <si>
    <t>If You're an Anti-Vaxxer, You're an Idiot | The Russell Howard Hour</t>
  </si>
  <si>
    <t>FRONTLINE | The Vaccine War | PBS</t>
  </si>
  <si>
    <t>Measles Explained — Vaccinate or Not?</t>
  </si>
  <si>
    <t>Vaccines: An Unhealthy Skepticism | Measles Virus Outbreak 2015 | Retro Report</t>
  </si>
  <si>
    <t>Vaccines: Last Week Tonight with John Oliver (HBO)</t>
  </si>
  <si>
    <t>Brexit: Are we ready for the next six months? DISCUSSION - BBC Newsnight</t>
  </si>
  <si>
    <t>Controversial researcher claims link between vaccine and autism  | 60 Minutes Australia</t>
  </si>
  <si>
    <t>Why Parents Fear Vaccines | Tara Haelle | TEDxOslo</t>
  </si>
  <si>
    <t>How vaccines train the immune system in ways no one expected | Christine Stabell Benn | TEDxAarhus</t>
  </si>
  <si>
    <t>Will Brexit lead to a united Ireland? - BBC Newsnight</t>
  </si>
  <si>
    <t>John Cleese on Brexit, newspapers and why he's leaving the UK - BBC Newsnight</t>
  </si>
  <si>
    <t>Rob Schneider clarifies his position on vaccines</t>
  </si>
  <si>
    <t>Why Vaccines Work</t>
  </si>
  <si>
    <t>The Truth About Vaccine Safety</t>
  </si>
  <si>
    <t>Melinda Messenger Angers Dr Chris for Not Giving her Daughter the HPV Vaccine | This Morning</t>
  </si>
  <si>
    <t>How 6 Rare Diseases Are Changing Everyday Medicine</t>
  </si>
  <si>
    <t>What Will the World Look Like, 2°C Warmer?</t>
  </si>
  <si>
    <t>Can I Die From Too Much Water? Blood? Oxygen?</t>
  </si>
  <si>
    <t>7 Ways We Know What's Inside the Earth</t>
  </si>
  <si>
    <t>Moore's Law and The Secret World Of Ones And Zeroes</t>
  </si>
  <si>
    <t>SciShow: Sugar Compilation</t>
  </si>
  <si>
    <t>How Measles Made a Comeback</t>
  </si>
  <si>
    <t>Why We Have Pain, &amp; How We Kill It</t>
  </si>
  <si>
    <t>3 Weird Things That Domestication Did to Dogs</t>
  </si>
  <si>
    <t>7 Organs You Could Totally Live Without</t>
  </si>
  <si>
    <t>4 Psychological Terms That You're Using Incorrectly</t>
  </si>
  <si>
    <t>Obesity</t>
  </si>
  <si>
    <t>Monogamy</t>
  </si>
  <si>
    <t>5 Inventions Showing Us the Future of Solar Energy</t>
  </si>
  <si>
    <t>7 of the Strangest Allergies</t>
  </si>
  <si>
    <t>The Science of Flint's Water Crisis</t>
  </si>
  <si>
    <t>Japan's Ominous Dancing Cats and the Disaster That Followed</t>
  </si>
  <si>
    <t>Anti-Vaccination Movement &amp; Dunning-Kruger Effect | Vaccine Hesitancy</t>
  </si>
  <si>
    <t>The Science of Overpopulation</t>
  </si>
  <si>
    <t>7 Super Toxic U.S. Sites</t>
  </si>
  <si>
    <t>Why We Haven't Cured Cancer</t>
  </si>
  <si>
    <t>5 Psychology Experiments You Couldn't Do Today</t>
  </si>
  <si>
    <t>Human Parasites</t>
  </si>
  <si>
    <t>The Worst Nobel Prize Ever Awarded</t>
  </si>
  <si>
    <t>6ish of Your Everyday Actions, Explained | Compilations</t>
  </si>
  <si>
    <t>5 Scientists with Ideas That Nobody Believed ... Who Were Right</t>
  </si>
  <si>
    <t>10 Dangerous Fashion Trends</t>
  </si>
  <si>
    <t>Oklo, the Two Billion Year Old Nuclear Reactor</t>
  </si>
  <si>
    <t>Honey: Bacteria's Worst Enemy</t>
  </si>
  <si>
    <t>Why People Do So Many Weird Things on the Internet | Compilation</t>
  </si>
  <si>
    <t>The Teenage Brain Explained</t>
  </si>
  <si>
    <t>6 Popular "Home Remedies" That Don't Actually Work</t>
  </si>
  <si>
    <t>8 Survival Myths That Will Definitely Make Things Worse</t>
  </si>
  <si>
    <t>The Science of Sleep</t>
  </si>
  <si>
    <t>Top 5 Deadliest Substances on Earth</t>
  </si>
  <si>
    <t>Why are GMOs Bad?</t>
  </si>
  <si>
    <t>6 Common Misconceptions About Cancer</t>
  </si>
  <si>
    <t>5 Things That Make You a Mosquito Magnet</t>
  </si>
  <si>
    <t>Kimmel Writer is a Hoarder</t>
  </si>
  <si>
    <t>Jimmy Kimmel Remembers Kobe Bryant</t>
  </si>
  <si>
    <t>An Unwanted Visit from the Demon Matt Damon</t>
  </si>
  <si>
    <t>Fierce DACA Opponents Meet DREAMer Family Face to Face</t>
  </si>
  <si>
    <t>Jimmy Kimmel’s Daughter is Just Like Trump</t>
  </si>
  <si>
    <t>Shia LaBeouf on His Arrest</t>
  </si>
  <si>
    <t>Hair Stylists React to Trump’s Hair Flapping in the Wind</t>
  </si>
  <si>
    <t>Measles Outbreak Renews Debate Over Vaccinations | The View</t>
  </si>
  <si>
    <t>Jimmy Kimmel’s Quarantine Monologue – Trump Struggles at West Point &amp; Celebrates 74th Birthday</t>
  </si>
  <si>
    <t>Richard Madden on Hiding His Genitalia</t>
  </si>
  <si>
    <t>Robert Kennedy Jr. on 'Controversial' Vaccines, Trump, and climate change</t>
  </si>
  <si>
    <t>The Sticking Point: The Anti-Vaxxer Movement - Late Night with Seth Meyers</t>
  </si>
  <si>
    <t>Can Scientists and Religious Leaders See Eye to Eye?</t>
  </si>
  <si>
    <t>What's a GMO?</t>
  </si>
  <si>
    <t>Cate Blanchett’s Ears Popped After 19 Years</t>
  </si>
  <si>
    <t>Teachers Reveal What They Hate About Their Jobs #WhatIHate</t>
  </si>
  <si>
    <t>Jimmy Kimmel Texts His Niece About One Direction Split</t>
  </si>
  <si>
    <t>We Ask Kids How Trump is Doing</t>
  </si>
  <si>
    <t>People Apologize to Their Teachers</t>
  </si>
  <si>
    <t>Jimmy's Accidental Selfie Prank</t>
  </si>
  <si>
    <t>Pedestrian Question - What is Gluten?</t>
  </si>
  <si>
    <t>Emily Blunt Takes the REAL U.S. Citizenship Test</t>
  </si>
  <si>
    <t>Gordon Ramsay Gives Jimmy Kimmel a Blind Taste Test</t>
  </si>
  <si>
    <t>Pedestrian Question - Do You Have a Black Friend?</t>
  </si>
  <si>
    <t>Kids Explain Why Women Are Paid Less Than Men</t>
  </si>
  <si>
    <t>Mila Kunis Against Men Saying "We Are Pregnant"</t>
  </si>
  <si>
    <t>Can You Name a Country?</t>
  </si>
  <si>
    <t>This ≠ That</t>
  </si>
  <si>
    <t>Could The Jedi Exist? (Star Wars Science)</t>
  </si>
  <si>
    <t>Should You Trust Your Gut Instinct?</t>
  </si>
  <si>
    <t>Flat Earthers vs Scientists: Can We Trust Science?</t>
  </si>
  <si>
    <t>Why Don't We All Have Cancer?</t>
  </si>
  <si>
    <t>You Are Not The Majority</t>
  </si>
  <si>
    <t>Mom vs. Dad: What Did You Inherit?</t>
  </si>
  <si>
    <t>The Science of HIV/AIDS</t>
  </si>
  <si>
    <t>What Happens When There Is A Pandemic? | CORONAVIRUS</t>
  </si>
  <si>
    <t>Are You Smarter Than Average?</t>
  </si>
  <si>
    <t>What Actually Happens If You Get Coronavirus?</t>
  </si>
  <si>
    <t>If Google Was A Guy (Full Series)</t>
  </si>
  <si>
    <t>This Is Your Body Over 24 Hours</t>
  </si>
  <si>
    <t>What If We Just Burned All Our Trash?</t>
  </si>
  <si>
    <t>Should You Stop Wearing Tampons?</t>
  </si>
  <si>
    <t>What Happens When You Freeze To Death?</t>
  </si>
  <si>
    <t>Response to Globebusters - The Earth Still Isn't Flat</t>
  </si>
  <si>
    <t>Could We Stop An Asteroid? Feat. Bill Nye</t>
  </si>
  <si>
    <t>Why You Shouldn’t Fear Death</t>
  </si>
  <si>
    <t>What If Humans Disappeared?</t>
  </si>
  <si>
    <t>Will This Trick Your Mind? (Artificial Intelligence TEST)</t>
  </si>
  <si>
    <t>Childbirth vs Getting Kicked in the Balls</t>
  </si>
  <si>
    <t>This Much Will Kill You pt.2</t>
  </si>
  <si>
    <t>The real reason conspiracy theories work</t>
  </si>
  <si>
    <t>What If The World Lost Oxygen For 5 Seconds?</t>
  </si>
  <si>
    <t>Why Flat Earthers Are Dead Wrong</t>
  </si>
  <si>
    <t>Can You Spot The Liar?</t>
  </si>
  <si>
    <t>Which Diets Actually Work?</t>
  </si>
  <si>
    <t>What if you never took off your Apple AirPods Pro?</t>
  </si>
  <si>
    <t>Brain Tricks - This Is How Your Brain Works</t>
  </si>
  <si>
    <t>Adam Ruins Everything - Most Controversial Ruins (Mashup) | truTV</t>
  </si>
  <si>
    <t>Genetic Engineering Will Change Everything Forever – CRISPR</t>
  </si>
  <si>
    <t>How to Cure Aging – During Your Lifetime?</t>
  </si>
  <si>
    <t>What If The Sun Disappeared For One Month?</t>
  </si>
  <si>
    <t>Are GMOs Good or Bad? Genetic Engineering &amp; Our Food</t>
  </si>
  <si>
    <t>Homeopathy Explained – Gentle Healing or Reckless Fraud?</t>
  </si>
  <si>
    <t>The 10 Things That All Flat Earthers Say</t>
  </si>
  <si>
    <t>How To Fall Asleep In 2 Minutes</t>
  </si>
  <si>
    <t>The Thing About Vaccines... | Vaccine Controversies | Doctor Mike</t>
  </si>
  <si>
    <t>I opened the PO Box and you guys flooded it! I am so excited to bring you the first video of Mail Time! In this video I open the letters and packages you sent to my P.O. box.
I am sorry I wasn't able to get to all of your letters/packages on camera but I still very much appreciate the fact that you cared enough to send me stuff. 
Oh and very importantly please don't spend a lot of your hard earned money on this as the last thing I want is for you to spend money on me. Your support is all that matters!!
Please check out my other videos as we cover all sorts of subjects including nutrition, mental health, supplements, and more on my channel! 
Please SUBSCRIBE for new videos every Wednesday 8pm &amp; Sunday 11am EST ▶ https://goo.gl/87kYq6
Let’s connect: 
IG https://goo.gl/41ZS7w
Twitter https://goo.gl/kzmGs5
Facebook https://goo.gl/QH4nJS
Contact Email: DoctorMikeMedia@gmail.com
P.O. Box (send me stuffs):
340 W 42nd St # 2695
NY, NY 10108
** The information in this video is not intended 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professional.
Music by DJ Quads
https://soundcloud.com/aka-dj-quads
#mailtime #fanmail</t>
  </si>
  <si>
    <t>Hey guys, this week I am traveling so I decided to give you my list of healthy travel tips - A doctor's travel guide. From boosting your immune system to fighting jet lag to getting travel vaccinations, you'll find all of these travel tips in this video filmed on the go- vlog style! Let me know what you think about this format in the comments down below. You may also see a familiar face or two in the video so make sure to watch to completion and give this video a like + share! 
El Salvador Trip Video - https://www.youtube.com/watch?v=RvAN3OE2P-o
Don’t forget to subscribe for new videos every Sunday ▶  https://goo.gl/87kYq6
Let’s connect:
IG https://goo.gl/41ZS7w
Twitter https://goo.gl/kzmGs5
Facebook https://goo.gl/QH4nJS
Contact Email: DoctorMikeMedia@Gmail.com</t>
  </si>
  <si>
    <t>We are back at it responding to your comments and questions via this monthly video series. I love reading and responding to your comments and as you can tell I'll jump into the comments section with a reply or a heart quite often. If one of the questions I answered was not detailed enough or you want more info on the subject please let me know so that I can make a dedicated video giving you all of the info!
 A few favorite topics from this video are:
1) Human Cloning
2) Saunas Healthy?
3) Birth Control Methods
4) My Thicc Thighs
5) Ask a Doctor
6) Pringles
7) Merch Status? 
Doctors are traditionally unreachable and I want to change that. So hop into this video’s and any other of my video’s comment section and ask dr mike! I want to see your username pop up on my next responding to comments video. 
If you have an idea of something you want me to cover in depth, please let me know because I take your requests seriously. We will be back with more Medical Drama Review Series in a couple of weeks so please submit more names of shows/episodes you'd like for me to watch.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
** The information in this video is not intended 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professional
Select tracks by Joakim Karud:
https://soundcloud.com/joakimkarud</t>
  </si>
  <si>
    <t>We are back at it responding to your comments and questions via this monthly video series. I love reading and responding to your comments and as you can tell I'll jump into the comments section with a reply or a heart quite often. If one of the questions I answered was not detailed enough or you want more info on the subject please let me know so that I can make a dedicated video giving you all of the info!
A couple favorite questions/comments from this video are 
1) Should doctors have tattoos?
2) Wearing glasses hurts vision?
3) No Nut November?
4) Circumcision?
5) Waking up during surgery?
6) Getting nervous during tests?
7) High school Doctor Mike?
8) Whats the deal with birth control?
9) Concussions 
Doctors are traditionally unreachable and I want to change that. So hop into this video’s and any other of my video’s comment section and ask dr mike! I want to see your username pop up on my next responding to comments video. 
If you have an idea of something you want me to cover in depth, please let me know because I take your requests seriously. We will be back with more Medical Drama Review Series in a couple of weeks so please submit more names of shows/episodes you'd like for me to watch.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
** The information in this video is not intended 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professional.
Music by Dizaro
https://soundcloud.com/dizarofr</t>
  </si>
  <si>
    <t>Hey guys! Here are 10 important questions you should ask your doctor to get the most out of your visit. If you have any questions for me, leave them down below in the comment section. Don’t forget to subscribe for a new video every Sunday ▶ https://goo.gl/tC5TRA
Questions you should be asking your doctor:
- Am I contagious?
- What websites can I trust?
- Why should I take this medication?
- What are the side effects?
- What is this test for?
- When should I follow up?
- What would you recommend to your family?
- What should I focus on?
- Can I have a chaperone?
- How much experience do you have treating patients with this condition?
Let’s connect:
IG https://goo.gl/41ZS7w
Twitter https://goo.gl/kzmGs5
Facebook https://goo.gl/QH4nJS
Email: Doctormikemedia@gmail.com
Music by Lakey Inspired
https://soundcloud.com/lakeyinspired</t>
  </si>
  <si>
    <t>Hey guys!  Have you heard of float tanks or restricted environmental stimulation therapy (REST)? There have been a lot of claims made about the health benefits of floating. Also, I've gotten some questions about them recently, so I decided to try it out for myself. I hope you enjoy, and definitely let me know if you want more videos like this in the future by giving the video a like and a share.
Subscribe HERE ▶  https://goo.gl/87kYq6   
Let’s connect:
IG https://goo.gl/41ZS7w
Twitter https://goo.gl/kzmGs5
Facebook https://goo.gl/QH4nJS
Contact Email: DoctorMikeMedia@Gmail.com
Music by Ryan Little -- https://soundcloud.com/iamryanlittle</t>
  </si>
  <si>
    <t>I have finally vlogged a full day at work and we saved her life! As you know I've been meaning to do this for the longest time but I wanted to do with high production value. However, in order to do that, I had to secure thousands of dollars of insurance, clear with several legal teams, and it overall became too much of a nuisance to plan. I just got my iPhone 11 PRO with a 4K front camera so I decided to put it to the test and film with you guys to show you a day in the life of a doctor! I hope you enjoy and if you want more of this series please like + subscribe! 
If you have an idea of something you want me to cover in-depth, please let me know because I take your requests seriously. We will be back with more Memes/Medical Drama Reviews/Responding to comments in a couple of weeks so please submit more names of shows/episodes you'd like for me to watch. Love you all! 
- Doctor Mike Varshavski
Please SUBSCRIBE for new videos every Sunday 11am EST ▶  https://goo.gl/87kYq6 
Let’s connect:
IG https://goo.gl/41ZS7w - Doctor Mike &amp; Dr. Mike
Reddit https://www.reddit.com/r/DoctorMike/
Twitter https://goo.gl/kzmGs5 - Real Doctor Mike
Facebook https://goo.gl/QH4nJS - Real Doctor Mike
Contact Email: DoctorMikeMedia@Gmail.com
P.O. Box (send me stuffs):
340 W 42nd St # 2695
NY, NY 10108
** The information in this video is not intended nor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professional **
#ADayInTheLife #Doctor</t>
  </si>
  <si>
    <t>CATCH ME IN THE HOSPITAL (VLOG): https://youtu.be/LzpCldPiT0c
Let's all welcome Gabbie Hanna to the Ask Doctor Mike Series!!! This was such a fun episode to record and we actually had such a productive conversation on mental health I think we have enough for another dedicated mental health video after this one. 
Gabbie and I met via Twitter not too long ago when she asked what happens to organs after surgery. After my response and her reaction we knew we had to collab and give you guys sone video content. Within this video we touch on topics like
- Medical Myths
- Embarrassing health questions 
- Crooked bodies
- Vitamins
- Body Odor
- Snoring and Sleep Apnea
- Skin Cancer and Tanning
- Excessive Sweating
+ 
More!
Please Follow The Gabbie Show and be on the lookout for her Vegan video that we collabed on as well!!! 
https://www.youtube.com/user/TheGabbieShow
If you want me to collab with a YouTuber you enjoy watching please jump into the comments and let me know. Also twitter is a great place to connect us so click on my socials down right down below. Love you all! 
SUBSCRIBE for new videos every Wednesday 8pm EST &amp; Sunday 11am EST ▶  https://goo.gl/87kYq6 
Let’s connect:
IG https://goo.gl/41ZS7w - Doctor Mike
Reddit https://www.reddit.com/r/DoctorMike/
Twitter https://goo.gl/kzmGs5 - Real Doctor Mike
Facebook https://goo.gl/QH4nJS - Real Doctor Mike
Contact Email: DoctorMikeMedia@Gmail.com 
P.O. Box: 
340 W 42nd St # 2695
NY, NY 10108 
Dr. Mikhail Varshavski D.O. ( dr mike )</t>
  </si>
  <si>
    <t>Since I began watching medical dramas for the reacts series, I've found more and more that nurses get overlooked within media. Being a family medicine physician I can very much empathize with the situation. The dedication and contribution to healthcare from both fields is incredibly understated.
Studying to become a nurse is a noble undertaking and it is a career with so many positives that I decided to make a dedicated video to all the amazing nurses out there. Instead of just me talking about nurses I decided to vlog with some of my staff I've been working with for the last few years to give you some first-hand insights into the career. Obviously, some of the nurses are a bit camera shy, which is understandable but I think they did a great job highlighting whats its like to be a nurse and in general about being a nurse. 
I know you guys have wanted a hospital vlog for some time now but as you can imagine vlogging in a hospital can be quite difficult with patient privacy and all. But for nurses week 2018 I had to make an exception and interview my colleagues. Also at the end of the video, you'll see many of the doctors I've worked or am still working with. 
So, on this kickoff for Nurses Awareness/Appreciation week I again from the bottom of my heart want to say:
THANK YOU!
- Doctor Mike Varshavski D.O.
P.S. If you have an idea of something you want me to cover in depth, please let me know because I take your requests seriously. We will be back with more Medical Drama Review Series next week so please submit more names of shows/episodes you'd like for me to watch. Love you all!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340 W 42nd St # 2695
NY, NY 10108
Music by:
DJ QUADS
https://soundcloud.com/aka-dj-quads
JOAKIM KARUD
https://soundcloud.com/joakimkarud</t>
  </si>
  <si>
    <t>I never thought I would include my nephews into a YT video but these guys were staying with me for a bit so we decided to turn on the camera and see what would happen. Steve and Dan both just started High School and Ari is in middle school.
If you have questions or have comments about the video please jump into the comments section so that we can discuss. 
I will be back with another video this coming Wednesday at 8pm EST &amp; Sunday at 11am EST, so subscribe and hit those posting notifications!!!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
** The information in this video is not intended 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professional**</t>
  </si>
  <si>
    <t>When I first heard about the gene edited babies being born I could not believe it. I am not one to be worried or be pessimistic but to hear that genetics can now be altered has put fear in my mind.
In this video, I will be discussing the conspiracy theory of mine that this genetic editing is currently going on across the world and that there may be some scary consequences as a result. I briefly touch on CRISPR gene editing and the ethical concerns behind the procedure.
Let me know your thoughts down below on whether you agree or disagree with my concerns and my conspiracy theory. Thanks for watching!!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t>
  </si>
  <si>
    <t>During my latest LA trip I hit up Juanpa Zurita to collab and I thought of no better game to play than medical confessions! This is a spin on the game true confessions from late-night TV. This one's full of guaranteed laughs! 
Juanpa's Channel: https://www.youtube.com/channel/UCpuSRwCaWi-VqTlYviNW3hQ
Juanpa's Twitter: https://twitter.com/ElJuanpaZurita?s=20
Juanpa's IG: https://www.instagram.com/eljuanpazurita/?hl=en
If you have an idea of something you want me to cover in-depth, please let me know because I take your requests seriously. We will be back with more Medical Drama Review/Responding to comments Series in a couple of weeks, so please submit more names of shows/questions you'd like for me to watch/answer. I love you all! - Doctor Mike Varshavski
Please SUBSCRIBE for new videos every Sunday 11am EST &amp; Wednesday 5p ▶ https://goo.gl/87kYq6 
Let's connect:
IG https://goo.gl/41ZS7w - Doctor Mike
Reddit https://www.reddit.com/r/DoctorMike
Twitter https://goo.gl/kzmGs5 - Real Doctor Mike
Facebook https://goo.gl/QH4nJS - Real Doctor Mike
Contact Email: DoctorMikeMedia@Gmail.com
P.O. Box (send me stuffs):
340 W 42nd St # 2695NY, NY 10108
** The information in this video is not intended nor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t>
  </si>
  <si>
    <t>If you want more MEME REVIEW click HERE: https://bit.ly/2NhCoWf
Medical memes or Doctor Memes are a great way to get a laugh whether or not you are part of the medical community. I think that they are incredibly relatable as you can catch the humor even as a patient. I will say that some of the memes can be mean and if taken out of context can even seem rude BUT we need to understand that this is medical satire. Being able to laugh at ourselves and our troubles is a healthy habit to practice. 
I really enjoy reacting to these memes and I know that there are millions more out there that are as funny. Please if you enjoy this series let me know by liking, commenting, and sharing this video with your friends/family. If I see that you enjoyed it I will put out another post on my IG to send me the best doctor memes and nursing memes so that we can all share a laugh. #DoctorMikeMedicalMemeReview
As they say, laughter is the best medicine, so let's laugh away together! 
If you have an idea of something you want me to cover in-depth, please let me know because I take your requests seriously. We will be back with more Medical Drama Review/Responding to comments Series in a couple of weeks so please submit more names of shows/questions you'd like for me to watch/answer.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
http://teamtrees.org/
** The information in this video is not intended nor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
#teamtrees</t>
  </si>
  <si>
    <t>Hey, guys! Today, I’ll be telling you about the 7 scientifically proven health benefits of green tea and how to drink it to maximize its effects. Remember what you drink is just as, if not more important than what you don’t drink! So if you replace an unhealthy soda with a green tea, you will see even more health benefits. Share with your friends/family and give this video a like! Don’t forget to subscribe for new videos every Sunday ▶  https://goo.gl/87kYq6
Let’s connect:
IG https://goo.gl/41ZS7w
Twitter https://goo.gl/kzmGs5
Facebook https://goo.gl/QH4nJS
Contact Email: DoctorMikeMedia@Gmail.com
P.O. Box: 
340 W 42nd St # 2695
NY, NY 10108
Music by:
https://soundcloud.com/aka-dj-quads</t>
  </si>
  <si>
    <t>WE ARE BACK WITH ANOTHER CURBSIDE CONSULT EPiSODE!!!! Let's get this to 50,000 LIKES!!!!
This time I partnered with Experience Kissimmee and hit the streets of Kissimmee, FL to talk street medicine. This is one of my favorite videos to film because it really accomplishes a lot of my goals.
- Make Quality Health Information Easy &amp; Fun to Access
- Expand upon the few minutes that patients get with their doctors to give general explanations
- Show that doctors are humans too and we like to have fun! 
Within this episode we touched on these subjects:
- Weight loss
- Preeclampsia
- Aspartame
- Is blood really blue?
- Microbiome
- Chicken Noodle Soup for Viruses 
&amp; More! 
I would love to do more curbside consult episodes. Please leave me your thoughts down below! 
If there’s something that you’re curious about and would like me to explore in a video, please let me know because I take your requests seriously. We’ve got some really great videos coming up in the next
few weeks so be sure to subscribe to stay up to date! Love you all!
- Doctor Mike Varshavski 
Contact Info for Kissimmee Sponsors:
Experience Kissimmee - https://bit.ly/2OWXqJr
Orlando Vineland Premium Outlets - https://bit.ly/2PjtHtM
Celebration Farmer’s Market Facebook- https://bit.ly/2y0THmO
 Gaylord Palms for accommodations - https://bit.ly/2zGALvW
Please SUBSCRIBE for new videos every Wednesday 8pm &amp; Sunday 11am EST ▶ https://goo.gl/87kYq6
Let’s connect: 
IG https://goo.gl/41ZS7w
Twitter https://goo.gl/kzmGs5
Facebook https://goo.gl/QH4nJS
Contact Email: DoctorMikeMedia@gmail.com
P.O. Box: 
340 W 42nd St # 2695
NY, NY 10108
** The information in this video is not intended or implied to be a substitute for professional medical advice, diagnosis or treatment. All content, including text, graphics, images, and information, contained in this video is for general information purposes only and does not replace a consultation with your own doctor.
Music by:
DJ Quads
https://soundcloud.com/aka-dj-quads
Julian Avila
https://soundcloud.com/julian_avila
This video is sponsored by Experience Kissimmee</t>
  </si>
  <si>
    <t>Next up on the medical drama review series is Code Black. Funny story about this show. For some reason, the YouTube algorithm labeled your comments recommending Code Black as spam. So when I went into my comments review section I saw hundreds of comments pushing to make a code black reaction video. 
This is not as popular of a hospital drama show in ratings compared to monsters like House or Grey's anatomy but it still has a large fanbase and does well on CBS. After watching the show I was pleasantly surprised at not only how accurate code black is but also how much I enjoyed it. It really felt as if a doctor wrote the script and then it was fluffed up instead of the other way around. If you like this show please let me know in the comments so that I can watch and react to more episodes (suggestions welcome).
Anyway, I hope you enjoy this episode of Real Doctor Watches Code Black / Real Doctor Reacts to Code Black. If you want me to continue making this medical drama review series please like the video and leave me a comment on which tv drama or show you'd like for me to review next. Love you all! 
SUBSCRIBE for new videos every Sunday ▶  https://goo.gl/87kYq6 
Let’s connect:
IG https://goo.gl/41ZS7w - Doctor Mike
Reddit https://www.reddit.com/r/DoctorMike/
Twitter https://goo.gl/kzmGs5 - Real Doctor Mike
Facebook https://goo.gl/QH4nJS - Real Doctor Mike
Contact Email: DoctorMikeMedia@Gmail.com 
P.O. Box: 
340 W 42nd St # 2695
NY, NY 10108
Dr. Mikhail Varshavski D.O.</t>
  </si>
  <si>
    <t>We're back at it responding to comments!  Keep them coming!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
** The information in this video is not intended 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professional</t>
  </si>
  <si>
    <t>We are back at it responding to your comments and questions via this monthly video series. I love reading and responding to your comments and as you can tell I'll jump into the comments section with a reply or a heart quite often.
A couple favorite questions/comments from this video are 
1) My thoughts on plastic surgery or cosmetic surgery
2) How much protein for muscle building
3) Can a zombie apocalypse happen?
4) Workout music choice?
5) Boxing and brain damage?
6) How often I work out?
7) Hair Grooming video request
8) What is a good medical resource?
Doctors are traditionally unreachable and I want to change that. So hop into this video’s and any other of my video’s comment section and ask dr mike! I want to see your username pop up on my next responding to comments video. 
If you have an idea of something you want me to cover in depth, please let me know because I take your requests seriously. We will be back with more Medical Drama Review Series in a couple of weeks so please submit more names of shows/episodes you'd like for me to watch.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340 W 42nd St # 2695
NY, NY 10108
Questions are answered for entertainment purposes only. All parties are directed to consult with their physicians before making any kind of healthcare-related changes. 
Music by:
DJ Quads
https://soundcloud.com/aka-dj-quads
Joakim Karud
https://soundcloud.com/joakimkarud
Lakey Inspired
https://soundcloud.com/lakeyinspired</t>
  </si>
  <si>
    <t>Hey guys, I was taking a look at my videos and I began to feel like I have only highlighted the good/fun stuff of owning a dog without discussing what it's really like getting a puppy. After all, It's not all sunshine and rainbows, there are days I'm scrubbing dog doo-doo off of my floor. So, I decided to make a video of 5 things you NEED to know before getting a puppy. I guess you can call this the less than glamorous, behind-the-scenes part of dog ownership; basically, everything I do in taking care of dog If you are considering getting a puppy you must watch this to be prepared for a new puppy. Also, if you know someone who wants to get a puppy this is a MUST share. I hope you like it =] 
Don’t forget to subscribe for a new video every Sunday ▶  https://goo.gl/87kYq6   
Let’s connect:
IG https://goo.gl/41ZS7w
Twitter https://goo.gl/kzmGs5
Facebook https://goo.gl/QH4nJS
Email: DoctorMikeMedia@Gmail.com
Bear's Social Media:
https://goo.gl/JqeXu6
Roxy's Social Media:
https://goo.gl/SQxnPX
Music:
Joakim Karud:
https://soundcloud.com/joakimkarud
DJ Quads:
https://soundcloud.com/aka-dj-quads</t>
  </si>
  <si>
    <t>Hi, guys! I’m excited to launch a new mini-series on my channel called Ask Doctor Mike. In this episode, I’m answering medical questions that Eva from MyLifeAsEva has always wanted to ask and exposing some medical myths along the way. 
Hope you enjoyed our collab! Check out Eva's video here -- https://youtu.be/n5u3tgDtBjU 
I love reading your comments so leave your thoughts below :) 
Let’s connect:
IG https://goo.gl/41ZS7w
Twitter https://goo.gl/kzmGs5
Facebook https://goo.gl/QH4nJS
Contact Email: DoctorMikeMedia@Gmail.com
P.O. Box: 
340 W 42nd St # 2695
NY, NY 10108
A Full Fat Production 
http://fullfatentertainment.com/</t>
  </si>
  <si>
    <t>Dr. Mike Varshavski, who was named New York City's most eligible bachelor and called the sexiest doctor alive by People magazine, has 2.6 million Instagram followers.</t>
  </si>
  <si>
    <t>John Oliver discussed medical bias on his latest episode and you requested that I react to it. This episode is slightly different than most of my other reaction videos as I gave a watch before doing the reaction video in order to vet the research discussed on the program. If you'd like for me to cover this topic in more detail please do comment below.
Original Video: https://youtu.be/TATSAHJKRd8
Diversity Video: https://youtu.be/KWkF2N4BFRA
If you have an idea of something you want me to cover in-depth, please let me know because I take your requests seriously. We will be back with more Doctor Reacts Series, Memes, &amp; Responding to Comments so please submit more names of shows/episodes &amp; questions you'd like for me to watch.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to open on camera):
340 W 42nd St # 2695
NY, NY 10108
** The information in this video is not intended nor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professional **</t>
  </si>
  <si>
    <t>It probably doesn’t surprise you to hear that I often get asked about the reality of the popular doctor tv shows like Grey’s Anatomy, House, ER, Good Doctor, Scrubs, etc. In this video, I tackle the most perpetuated tv medical drama myths about working as a doctor in a hospital. It's pretty funny because technically I am a TV doctor because I work in news but I hope to you it's clear I am referring to fictional tv doctors! 
If you watch until the end you’ll know that I have never watched a full Grey’s Anatomy episode and if you guys get this video to 10k likes, I will watch a full episode and record my reactions as a stand-alone YT video! I'll call it Real Doctor Watches Grey's Anatomy! Now go smash those like and share buttons!!! Also, don’t forget that I will be doing a monthly video reading the comments you leave so go ahead, jump into the comments section. Love you all!
SUBSCRIBE for new videos every Sunday ▶  https://goo.gl/87kYq6 
Let’s connect:
IG https://goo.gl/41ZS7w
Twitter https://goo.gl/kzmGs5
Facebook https://goo.gl/QH4nJS
Contact Email: DoctorMikeMedia@Gmail.com
P.O. Box: 
340 W 42nd St # 2695
NY, NY 10108
Music:
Lakey Inspired
https://soundcloud.com/lakeyinspired
Joakim Karud
https://soundcloud.com/joakimkarud</t>
  </si>
  <si>
    <t>Trying on Doctor Halloween Costumes _xD83D__xDE02_-  https://youtu.be/zT8DYVBX4Xk
We are back at it responding to your comments and questions via this monthly video series. I love reading and responding to your comments and as you can tell I'll jump into the comments section with a reply or a heart quite often. If one of the questions I answered was not detailed enough or you want more info on the subject please let me know so that I can make a dedicated video giving you all of the info!
 A few favorite topics from this video are:
1) Cracking knuckles
2) My patients
3) CPR and Ribs
4) Bear Pup
5) Compression Headache
6) Stress and Grey Hair
7) Cold Sores and Canker Sores
Doctors are traditionally unreachable and I want to change that. So hop into this video’s and any other of my video’s comment section and ask dr mike! I want to see your username pop up on my next responding to comments video. 
If you have an idea of something you want me to cover in-depth, please let me know because I take your requests seriously. We will be back with more Medical Drama Review Series in a couple of weeks so please submit more names of shows/episodes you'd like for me to watch.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
** The information in this video is not intended 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t>
  </si>
  <si>
    <t>CATCH ME IN THE HOSPITAL (VLOG): https://youtu.be/LzpCldPiT0c
In this SR I will be chatting with you guys about published videos, medical topics, and more. I hope you can use it as a safe space to chat all things health. It is a great place to submit memes, episodes, and polls! 
Join my SubReddit Here: https://www.reddit.com/r/DoctorMike
Original REDDIT reaction video: https://youtu.be/L1I4YaxhExg
Here is a link to the "Doctors of Reddit" thread I discussed: https://bit.ly/2Y01cX1
If you have an idea of something you want me to cover in-depth, please let me know because I take your requests seriously. We will be back with more Doctor Reacts Series, Memes, &amp; Responding to Comments so please submit more names of shows/episodes &amp; questions you'd like for me to watch.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to open on camera):
340 W 42nd St # 2695
NY, NY 10108
** The information in this video is not intended nor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professional **</t>
  </si>
  <si>
    <t>It is said that the more you learn, the less you know. However according to Mikhail Varshavski, also known as the social media star "Doctor Mike", we have too many people who believe they know it all -- also referred to as "I Know All" (IKA) experts. In his passionate talk, Doctor Mike asks us to celebrate doctors who are self-aware and say "I don't know". He also draws the importance on asking the right questions and being aware of medical research limitations and conclusions. Dr. Mikhail Varshavski D.O., is a New York-based doctor focusing on family and preventative medicine. Better known as "Doctor Mike", he is a social media entrepreneur, philanthropist, and a doctor with purpose, stressing the importance of preventative medicine by highlighting his experiences through his unique journey. Doctor Mike started documenting his medical journey through his popular social media platforms to motivate students to pursue their medical training. Doctor Mike graduated from the New York Institute of Technology in 2014 with a B.S in Life Sciences and a Doctorate in Osteopathic Medicine via an accelerated 7-year track. On June 30, 2017, he completed his 3-year Family Medicine Residency at the Atlantic Health System-Overlook Medical Center in Summit, NJ. This talk was given at a TEDx event using the TED conference format but independently organized by a local community. Learn more at https://www.ted.com/tedx</t>
  </si>
  <si>
    <t>Hey, guys! I'm switching things up this week and giving you a simple breakdown of what hypertension or high blood pressure is all about. A very common question I get from my patients is, what is high blood pressure or what is hypertension and they are the same question! Doctors refer to hypertension as the silent killer and for a good reason! High blood pressure increases risks of many diseases and shortens your life significantly. I also discuss the new hypertension guidelines and how they impact your high blood pressure treatment. Many hypertension treatments are available and need to be discussed with your family medicine doctor. I also touch upon high blood pressure causes as there are natural ways to treat hypertension. High blood pressure is a complex topic with almost no symptoms and if there's anything I missed in the video, hit me in the comments section. Please share this video with your friends and family and give it a like! Stay healthy and happy!
DASH Diet Info: https://familydoctor.org/the-dash-diet-healthy-eating-to-control-your-blood-pressure/
Don’t forget to subscribe for new videos every Sunday ▶ https://goo.gl/87kYq6
Let’s connect:
IG https://goo.gl/41ZS7w
Twitter https://goo.gl/kzmGs5
Facebook https://goo.gl/QH4nJS
Contact Email: DoctorMikeMedia@Gmail.com</t>
  </si>
  <si>
    <t>CATCH ME IN THE HOSPITAL (VLOG): https://youtu.be/LzpCldPiT0c
WELCOME TO MEDICAL MEME REVIEW EP 6!!!! 
Medical memes or Doctor Memes are a great way to get a laugh whether or not you are part of the medical community. I think that they are incredibly relatable as you can catch the humor even as a patient. I will say that some of the memes can be dark and if taken out of context can even seem offensive BUT we need to understand that this is medical satire. Being able to laugh at ourselves and our troubles is a healthy habit to practice. 
I really enjoy reacting to these memes and I know that there are millions more out there that are as funny. Please if you enjoy this series let me know by liking, commenting, and sharing this video with your friends/family. If I see that you enjoyed it I will put out another post on my IG to send me the best doctor memes and nursing memes so that we can all share a laugh. #DoctorMikeMedicalMemeReview
As they say, laughter is the best medicine, so let's laugh away together! 
If you have an idea of something you want me to cover in depth, please let me know because I take your requests seriously. We will be back with more Medical Drama Review Series in a couple of weeks so please submit more names of shows/episodes you'd like for me to watch.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
** The information in this video is not intended 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professional **
#medicalmemereview</t>
  </si>
  <si>
    <t>Doctors aren't mental maestros on every topic!  In this video, watch me dabble with random "idiot tests" that I find around the interwebs :)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t>
  </si>
  <si>
    <t>Hey guys!  I've seen over and over questions and comments regarding dieting so I decided to start a series where I conduct a diet review in detail. I know many of you want to lose weight and there are many videos on weight loss out there. But I want to give you an honest doctor's take on fasting or time restricted eating. 
I kicked off the series with the very popular, intermittent fasting or time-restricted eating. It's claim to fame is that helps burn belly fat/ lose your belly and it does so through fast weight loss. But is fast weight loss even healthy? 
Anyway, I could go into more detail covering the smallest intricacies of the diet but I did not want to weigh down the video, both literally and figuratively. Please let me know if this is too little, too much, or just the right amount of information about intermittent fasting. 
Also, I want you to remember that diets are not all about weight loss but more importantly about eating healthy. I sincerely hope you enjoy, and definitely let me know if you want more videos like this by giving it a like and a share.
Subscribe HERE ▶  https://goo.gl/87kYq6   
Let’s connect:
IG https://goo.gl/41ZS7w
Twitter https://goo.gl/kzmGs5
Facebook https://goo.gl/QH4nJS
Contact Email: DoctorMikeMedia@Gmail.com
P.O. Box: 
340 W 42nd St # 2695
NY, NY 10108
Music by Ryan Little
https://soundcloud.com/iamryanlittle</t>
  </si>
  <si>
    <t>Continuing with the medical Reddit thread series this episode is on second opinions that saved lives! Responding to Reddit threads is a great way to learn and have a good time so smash that like the button to let me know you're on board! 
If you have an idea of something you want me to cover in-depth, please let me know because I take your requests seriously. We will be back with more Medical Drama Review/Responding to comments Series in a couple of weeks, so please submit more names of shows/questions you'd like for me to watch/answer.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
** The information in this video is not intended nor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t>
  </si>
  <si>
    <t>Hey, guys! I know that a lot of you have been requesting a video of my pre-med or med school journey. Although I have unique pre med experience as I did an accelerated 7-year program, there is still a lot of insight for me to share with you,. This video covers everything from high school to college all the way to med school. Basically how I got into medical school and my premed journey. 
Initially, this video was over 2 hours long and we were able to cut it down to 20 minutes so I can expect for you to have some questions left unanswered. Leave me your medical school questions and comments down below as you know I love to respond to them in my monthly videos. 
Subscribe for new videos every Sunday ▶ https://goo.gl/tC5TRA
Let’s connect:
IG: Doctor Mike- https://goo.gl/41ZS7w 
Twitter https://goo.gl/kzmGs5
Facebook https://goo.gl/QH4nJS
Contact Email: DoctorMikeMedia@Gmail.com
P.O. Box: 
340 W 42nd St # 2695
NY, NY 10108
Filmed on location in YouTube Space NY</t>
  </si>
  <si>
    <t>We are back at it responding to your comments and questions via this monthly video series. I love reading and responding to your comments and as you can tell I'll jump into the comments section with a reply or a heart quite often. If one of the questions I answered was not detailed enough or you want more info on the subject please let me know so that I can make a dedicated video giving you all of the info!
A couple favorite questions/comments from this video are 
1) What's the deal with recreational marijuana
2) Should I create Merch?
3) Should I start a PO box?
4) Why is it bad to say "quiet" in a hospital?
5) How to increase your height naturally?
6) Is it normal to talk during my sleep?
7) Tongue depressors?
8) Cardio without legs?
9) What are Roxy and bear upto?
Doctors are traditionally unreachable and I want to change that. So hop into this video’s and any other of my video’s comment section and ask dr mike! I want to see your username pop up on my next responding to comments video. 
If you have an idea of something you want me to cover in depth, please let me know because I take your requests seriously. We will be back with more Medical Drama Review Series in a couple of weeks so please submit more names of shows/episodes you'd like for me to watch.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Questions are answered for entertainment purposes only. All parties are directed to consult with their physicians before making any kind of healthcare-related changes.</t>
  </si>
  <si>
    <t>Hi, guys! There’s a lot of misinformation out there on the topic of vitamins. Today, I’m focusing on two major vitamins that are causing a stir in this conversation: vitamin D and vitamin B12. Specifically, what’s true about vitamins D and B12 and what’s fake news? 
Subscribe for new videos every Sunday ▶ https://goo.gl/tC5TRA
Let me know what type of health and wellness topics you want to hear about in future videos by leaving a comment below! :)
Let’s connect:
IG https://goo.gl/41ZS7w
Twitter https://goo.gl/kzmGs5
Facebook https://goo.gl/QH4nJS
Contact Email: DoctorMikeMedia@Gmail.com
A Full Fat Production 
http://fullfatentertainment.com/</t>
  </si>
  <si>
    <t>NEWEST MEDICAL MEME REVIEW: https://youtu.be/vm4cGcvzm9A
NEWEST GOOD DOCTOR REVIEW: https://youtu.be/KCpWv0A5bVc
Wow! Thank you so much for supporting the Real Doctor Reacts to series. I said that if you get the grey's anatomy video to 15k likes I'll do another episode and you CRUSHED it by getting it 200k+ likes. I dove into the comments section to see what medical tv drama you wanted me to review next and it seemed like the good doctor was the obvious choice. Get ready TV Doctors, because Dr. Mike is coming for you =] 
Full disclosure, I have never watched an episode of the good doctor on ABC so I decided to go ahead and start my tv medical drama review off with the first episode ( good doctor 1x01 ) of the series. I was really curious myself to see if the good doctor is a medically accurate show.
I really did enjoy this medical tv show because I think it did a lot of things well. It gave an interesting look into what life is like a for a surgeon and a resident. Being a surgical resident is not an easy job and to make the situation even more complex Dr. Sean Murphy has autism so they did a great job of breaking down these circumstances.
I hope you enjoy this episode of Real Doctor Watches The Good Doctor / Real Doctor Reacts to the Good Doctor. If you want me to continue making this tv medical drama series please like the video and leave me a comment on which medical tv show or episode you'd like for me to review next. Love you all! 
SUBSCRIBE for new videos every Sunday ▶  https://goo.gl/87kYq6 
Let’s connect:
IG https://goo.gl/41ZS7w - Doctor Mike
Reddit https://www.reddit.com/r/DoctorMike/
Twitter https://goo.gl/kzmGs5 - Real Doctor Mike
Facebook https://goo.gl/QH4nJS - Real Doctor Mike
Contact Email: DoctorMikeMedia@Gmail.com
P.O. Box: 
340 W 42nd St # 2695
NY, NY 10108
Music by Joakim Karud
https://soundcloud.com/joakimkarud</t>
  </si>
  <si>
    <t>HEY FOLKS! 
We are back at it responding to your comments and questions via this monthly video series. I love reading and responding to your comments and as you can tell I'll jump into the comments section with a reply or a heart quite often. If one of the questions I answered was not detailed enough or you want more info on the subject please let me know so that I can make a dedicated video giving you all of the info!
A couple favorite questions/comments from this video are 
1) What Happens I get struck by lighting 
2) Should Doctors treat relatives or friends?
3) What are some Apple Cider Health Benefits?
4) What does it mean to be underweight?
5) Should I start a podcast?
6) What do doctors dream about"?
7) What is the Science behind being lactose intolerant
8) How do I talk to my doctor about my anxiety/depression?
9) How often to shower if you have eczema?
Doctors are traditionally unreachable and I want to change that. So hop into this video’s and any other of my video’s comment section and ask dr mike! I want to see your username pop up on my next responding to comments video. 
If you have an idea of something you want me to cover in depth, please let me know because I take your requests seriously. We will be back with more Medical Drama Review Series in a couple of weeks so please submit more names of shows/episodes you'd like for me to watch.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Questions are answered for entertainment purposes only. All parties are directed to consult with their physicians before making any kind of healthcare-related changes. 
Select songs by Joakim Karud:
https://soundcloud.com/joakimkarud
#applecidervinegar #respondingtocomments</t>
  </si>
  <si>
    <t>If you want more MEME REVIEW click HERE: https://bit.ly/2NhCoWf
Medical memes or Doctor Memes are a great way to get a laugh whether or not you are part of the medical community. I think that they are incredibly relatable as you can catch the humor even as a patient. I will say that some of the memes can be mean and if taken out of context can even seem rude BUT we need to understand that this is medical satire. Being able to laugh at ourselves and our troubles is a healthy habit to practice. 
I really enjoy reacting to these memes and I know that there are millions more out there that are as funny. Please if you enjoy this series let me know by liking, commenting, and sharing this video with your friends/family. If I see that you enjoyed it I will put out another post on my IG to send me the best doctor memes and nursing memes so that we can all share a laugh. #DoctorMikeMedicalMemeReview
As they say, laughter is the best medicine, so let's laugh away together! 
If you have an idea of something you want me to cover in-depth, please let me know because I take your requests seriously. We will be back with more Medical Drama Review/Responding to comments Series in a couple of weeks so please submit more names of shows/questions you'd like for me to watch/answer.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
** The information in this video is not intended nor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t>
  </si>
  <si>
    <t>Hey, guys! Welcome to another installment of Ask Doctor Mike. You've seen street magic, now get ready for street medicine. We took to the streets of NYC and offered passersby a curbside consult! Do you guys want to see more curbside consult videos? Let me know in the comments below. Don’t forget to subscribe for new videos every Sunday ▶  https://goo.gl/87kYq6
Questions answered for entertainment purposes only. All parties were directed to consult with their physicians before implementing advice given. 
Let’s connect:
IG https://goo.gl/41ZS7w
Twitter https://goo.gl/kzmGs5
Facebook https://goo.gl/QH4nJS
Contact Email: DoctorMikeMedia@Gmail.com</t>
  </si>
  <si>
    <t>This week's episode is all about probiotics benefits and myths. The discovery of the microbiome has started off a huge cascade of new research as well as the launch of some questionable health products. I think that the idea that we are covered inside and out by bacteria, with the majority of it being helpful, is pretty mind-blowing. 
I decided to make this video because I've seen your comments and questions on the subject, usually in the in the form of "how can I improve my gut?" Also, I've noticed that my patients have begun taking these supplements to cure everything from a weight gain, to a weakened immune system to acne. 
As you probably already know I am a healthy skeptic and believe that just because we see some correlations between disease and good bacteria it is not as simple as putting those bacteria into a capsule. I firmly believe in the next 20-30 years we will unlock some fascinating secrets about our gut that will redefine how we think about our health. 
If there’s something that you’re curious about and would like me to explore in a video, please let me know because I take your requests seriously. We’ve got some really great videos coming up in the next
few weeks so be sure to subscribe to stay up to date! Love you all!
- Doctor Mike Varshavski
Please SUBSCRIBE for new videos every Sunday 11am EST ▶ https://goo.gl/87kYq6
Let’s connect: 
IG https://goo.gl/41ZS7w
Twitter https://goo.gl/kzmGs5
Facebook https://goo.gl/QH4nJS
Contact Email: DoctorMikeMedia@Gmail.com
P.O. Box: 
340 W 42nd St # 2695
NY, NY 10108
Sources for further reading:
https://www.aafp.org/afp/2017/0801/p170.html
https://www.aafp.org/afp/2017/0801/p170-s1.html
https://www.bbc.com/news/health-45434753
https://www.ncbi.nlm.nih.gov/pmc/articles/PMC4367209/
https://www.ncbi.nlm.nih.gov/pmc/articles/PMC5641835/
Music by Julian Avila:
https://soundcloud.com/julian_avila
Animations by Vincent Blando:
https://www.instagram.com/toonbog
** The information in this video is not intended or implied to be a substitute for professional medical advice, diagnosis or treatment. All content, including text, graphics, images, and information, contained in this video is for general information purposes only and does not replace a consultation with your doctor.
#microbiome #probiotics #guthealth</t>
  </si>
  <si>
    <t>Huge shout out to Whistle for partnering with me and Roxy on this video! Hope you guys enjoyed dropping in on a day in the life of a husky. Comment below if you’d like to see more vlog style videos
featuring Roxy and we’ll make it happen! 
If you liked Roxy’s GPS Tracker &amp; Activity Monitor, click this
link https://www.whistle.com/?utm_source=youtube&amp;utm_medium=video&amp;utm_campaign=drmike_sept_2017&amp;utm_content=&amp;discount= and use the code ROXY to get 25% off. 
Don’t forget to subscribe for new
videos every Sunday ▶ https://goo.gl/tC5TRA
Let’s connect:
IG https://goo.gl/41ZS7w
Twitter https://goo.gl/kzmGs5
Facebook https://goo.gl/QH4nJS
Contact Email: DoctorMikeMedia@Gmail.com
P.O. Box: 
340 W 42nd St # 2695
NY, NY 10108</t>
  </si>
  <si>
    <t>Once again I dove into the comments section to see what medical tv drama you wanted me to review next and it seemed like Dr. House or House M.D. was the next most popular choice. Get ready TV Doctors, because Dr. Mike is coming for you =] 
Full disclosure, I have watched a few episodes of House before but this was probably 10 years ago so I decided to go ahead and start this tv medical drama review off with the first episode ( House MD episode 1 ) of the series. I was really curious to see the difference in watching the show now that I am a licensed doctor. The last time I watched the program I was in high school and knew a tenth of the medical knowledge I know now! 
Honestly, I love this medical tv show series because I think it allows us to laugh at some of the crazy situations Hugh Laurie gets himself into. Plus It gave an interesting look at what life is like as an infectious disease doctor especially one as highly regarded as Dr. House. Obviously, the way that he practices medicine is not realistic or accurate because we don't break into people's homes nor do we treat them without explaining what we are doing. All in all, I think Dr. House is a must watch tv show if you're into medical dramas just for laughs alone.
I hope you enjoy this episode of Real Doctor Watches House M.D. / Real Doctor Reacts to House M.D. If you want me to continue making this series please like the video and leave me a comment on which show or episode you'd like for me to review next. Love you all!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340 W 42nd St # 2695
NY, NY 10108
Music by DJ Quads
https://soundcloud.com/aka-dj-quads</t>
  </si>
  <si>
    <t>For this week's Wednesday Checkup, I wanted to share a story with you about how a patient encounter did not go as planned in my office. I thought I did everything right but the outcome was not what I expected. 
In life, there are many times when we have good intentions where the outcomes are bad. During those times we need to evaluate why that happened so that we can avoid repeating the same mistake over again.
If you have an idea of something you want me to cover in depth, please let me know because I take your requests seriously. We will be back with more Medical Drama Review Series this Sunday so please submit more names of shows/episodes you'd like for me to watch.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t>
  </si>
  <si>
    <t>Hey, guys! Terms like “all natural” and “low fat” are often slapped on food that may not be healthy for you. Being a savvy consumer these days means not always taking a food labels claim at face value. In today’s video, I cover the top 10 misleading nutrition labels claims and what they actually mean for your health. Make sure to share this video with your friends and family and don’t forget to subscribe for new videos every Sunday ▶ https://goo.gl/tC5TRA
Let’s connect:
IG https://goo.gl/41ZS7w
Twitter https://goo.gl/kzmGs5
Facebook https://goo.gl/QH4nJS
Contact Email: DoctorMikeMedia@Gmail.com</t>
  </si>
  <si>
    <t>**Update** As you can probably tell I answer these questions completely relying on my knowledge and we don’t do extra takes. In the Vaping question I mistakenly said it’s Propylene Glycol that causes popcorn lung, when it is actually diacetyl (found in some flavorings). I will constantly try to improve my knowledge and give you the most honest, evidence based medicine info. Thanks for watching, love you all! 
We are back at it responding to your comments and questions via this monthly video series. I love reading and responding to your comments and as you can tell I'll jump into the comments section with a reply or a heart quite often.
A couple favorite questions/comments from this video are 
1) Why do men have nipples?
2) Why do doctors smoke?
3) What are the health effects of vaping aka what are my thoughts on vaping ?
4) What medical procedure makes me nauseous?
5) Is pimping easy?
6) Do I have doctor's handwriting?
7) Can doctors prescribe themselves medications? 
8) My thought on makeup
9) Will I ever make an ASMR video?
Doctors are traditionally unreachable and I want to change that. So hop into this video’s and any other of my video’s comment section and ask dr mike! I want to see your username pop up on my next responding to comments video. 
If you have an idea of something you want me to cover in depth, please let me know because I take your requests seriously. We will be back with more Medical Drama Review Series in a couple of weeks so please submit more names of shows/episodes you'd like for me to watch.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340 W 42nd St # 2695
NY, NY 10108
Questions are answered for entertainment purposes only. All parties are directed to consult with their physicians before making any kind of healthcare-related changes. 
Music by
DJ Quads
https://soundcloud.com/aka-dj-quads
Lakey Inspired
https://soundcloud.com/lakeyinspired
Pryces
https://soundcloud.com/pryced
https://www.instagram.com/pryces_music/</t>
  </si>
  <si>
    <t>Hey guys! I am back with the next installment of my diet review series. This week I am covering the incredibly popular ketogenic diet. Within the last year or two, the keto diet has soared in popularity and I can understand why. It is a simple diet where counting calories isn't important (who wants to count calories) and you get to eat a bunch of really delicious foods.   
If you are curious, the name of the diet comes from the ketone bodies produced within your body as a result of switching your body to fuel itself through fats instead of carbs. This is also referred to as a state of ketosis.
Video Breakdown:
Opener- 0:23
Nutrition Basics- 0:28
How it Works- 1:05
Keto Claims- 2:12
Potential Harms- 5:07
Final Thoughts- 5:27
Bloopers- 6:18
I know many of you want to lose weight and there are tons of videos on weight loss out there. But I want to give you an honest doctor's take on the keto diet, which is essentially a high fat low carb diet. Its claim to fame is that helps to burn body fat for energy, therefore helping you lose weight quickly. But is fast weight loss even healthy? + Is this the best weight loss diet?
Anyway, I could go into more detail covering the smallest intricacies of the diet but I did not want to weigh down the video, both literally and figuratively. Please let me know if this is too little, too much, or just the right amount of information about intermittent fasting. 
Also, I want you to remember that diets are not all about weight loss but more importantly about eating healthy. So let's get started with the Keto diet explained / Ketogenic diet explained diet review! 
I sincerely hope you enjoy, and definitely let me know if you want more videos like this by giving it a like and a share.
SUBSCRIBE for new videos every Sunday ▶  https://goo.gl/87kYq6 
SOCIAL: 
IG https://goo.gl/41ZS7w - Doctor Mike
Reddit https://www.reddit.com/r/DoctorMike/
Twitter https://goo.gl/kzmGs5 - Real Doctor Mike
Facebook https://goo.gl/QH4nJS - Real Doctor Mike
Contact Email: DoctorMikeMedia@Gmail.com 
P.O. Box: 
340 W 42nd St # 2695
NY, NY 10108
Dr. Mikhail Varshavski D.O.</t>
  </si>
  <si>
    <t>Hey, guys! Today, I’m sharing with you 50 facts about me. Let’s get to know each other a little better! Comment below with some interesting facts about you. Do you want to see more tag or challenge videos? Let me know in the comments below! Subscribe for new videos every Sunday ▶  https://goo.gl/87kYq6
Let’s connect:
IG https://goo.gl/41ZS7w
Twitter https://goo.gl/kzmGs5
Facebook https://goo.gl/QH4nJS
Contact Email: DoctorMikeMedia@Gmail.com
P.O. Box: 
340 W 42nd St # 2695
NY, NY 10108
A Full Fat Production 
http://fullfatentertainment.com/</t>
  </si>
  <si>
    <t>There is nothing more logical than anti-vaxx logic!
Memes Card Game: https://goo.gl/47yYDU
Memes Coloring Book: https://goo.gl/ocvoEX
- - - - - - - - - - - - - - - - - - - - - - - - - - - - - - - - - - -
Subscribe to my channel: https://goo.gl/MtMNCA</t>
  </si>
  <si>
    <t>Thanks for watching my video! Go and check out my other videos on my channel!
-------------------------------------------------------------------------------------------------------------
Second Channel: https://www.youtube.com/channel/UCg33Q6kqFtcUeoMZKf6_eRA
Patreon: https://www.patreon.com/giofilms
Merchandise: https://giofilms.merchforall.com/
SubReddit: https://www.reddit.com/r/giofilms/
Instagram: https://www.instagram.com/giofilmsyt/
Twitter: https://twitter.com/FilmsGio
Discord Server: https://discord.gg/rApyjv3
For business inquiries: giofilmsbusiness@gmail.com
-------------------------------------------------------------------------------------------------------------
Creator of my Profile and Background: https://www.instagram.com/wegan_bakon/
-------------------------------------------------------------------------------------------------------------
Intro Music:
Background Music: 
Outro Music: https://www.youtube.com/watch?v=_hbnMgHgZfs</t>
  </si>
  <si>
    <t>Mom ask stupid question on Facebook. Comments go crazy!
Memes Card Game: https://goo.gl/47yYDU
Memes Coloring Book: https://goo.gl/ocvoEX
- - - - - - - - - - - - - - - - - - - - - - - - - - - - - - - - - - -
Subscribe to my channel: https://goo.gl/MtMNCA</t>
  </si>
  <si>
    <t>If you want to comment on this video, you need to pay $5. I'm not gonna tell you until afterwards though.
Memes Card Game: https://goo.gl/47yYDU
Memes Coloring Book: https://goo.gl/ocvoEX
- - - - - - - - - - - - - - - - - - - - - - - - - - - - - - - - - - -
Subscribe to my channel: https://goo.gl/MtMNCA</t>
  </si>
  <si>
    <t>Never go on social media, never get owned!
Memes Card Game: https://goo.gl/47yYDU
Memes Coloring Book: https://goo.gl/ocvoEX
- - - - - - - - - - - - - - - - - - - - - - - - - - - - - - - - - - -
Subscribe to my channel: https://goo.gl/bD5hG4</t>
  </si>
  <si>
    <t>Watch out kids, the internet is coming for you!
Memes Card Game: https://goo.gl/47yYDU
Memes Coloring Book: https://goo.gl/ocvoEX
- - - - - - - - - - - - - - - - - - - - - - - - - - - - - - - - - - -
Subscribe to my channel: https://goo.gl/MtMNCA</t>
  </si>
  <si>
    <t>Sources &amp; Further Reading:
https://medium.com/@visualvaccines/graphic-proof-that-vaccines-work-with-sources-61c199429c8c
http://tylervigen.com/spurious-correlations
http://vk.ovg.ox.ac.uk/vaccine-development
https://www.reddit.com/r/vaxxhappened/ 
https://www.nhs.uk/conditions/vaccinations/
https://www.nhs.uk/conditions/vaccinations/how-vaccines-work/ 
https://www.livescience.com/32617-how-do-vaccines-work.html
http://vk.ovg.ox.ac.uk/how-do-vaccines-work
---------------------------
MERCH: https://teespring.com/stores/racheloates 
Instagram: https://www.instagram.com/rachel0ates
Twitter: https://twitter.com/rachel0ates
Facebook: https://www.facebook.com/rachel0ates
Podcast: http://thehereandhow.com/
---------------------------
PO Box
LETTERS: 
Rachel Oates
Unit 16588
PO Box 6945
London
W1A 6US
PARCELS:
Rachel Oates 
Unit 16588
Courier Point
13 Freeland Park
Wareham Road
Poole
Dorset
BH16 6FH
UK.
Sorry they're different addresses, it's the one downside to the PO Box company I use! 
---------------------------
A huge thank you to these guys for supporting me on Patreon this month ♥♥♥
Gambit and his Chauffeur
Deshauwn
Christian Berg
Rachel B Royer
Jadeon Sheppard
Corthee
Jaylee Moore
Sir Michael Moore
Christian Opitz
Sage Villarreal
Greg Ladd
Spencer Young
Loren Hart
Zachary Wallace
Lord of Therring 
Mark Dauner
Tanja Eisenberg
John R 
Simon Lundh 
Bric Mahlum 
Kaitlyn Smart 
Brent Kelley 
Dustin Libby 
Manny Dylan Music 
Jessica Little 
Peter de Vries 
Jacconchen 
Mark Williams
Klaus-Peter Hammerschmidt
David G 
AstralXC 
Becky Lashua 
Stuart Bower
Tennomusha 
Kevin Conrad 
Michael Sommers
Matt 
Chris Cox 
Alan Stevens 
Chris Butler 
Michael Butchin 
James Curtis 
James Classen 
Andrew Jennings 
Rachael Cooper
Pegasos 
Kaisha Young 
Yamile Reyes 
Tyler james cleghorn 
Bastian Hamilton
Sarah Nicole 
Helene de Marcellus 
Abrie Fourie
Chuong the Film Critic
Eden Meirow 
Titania Grewe 
Tim Boie 
L McKinnon 
EventHorizon 
Brianna Danielle 
ultima9
Silvan Wespi 
Stephen moorhouse  
Susan Schindler-Lorito 
Pilot 
DawnOfPagolia 
Brant Lafrenz 
Daniel Loughmiller 
Kevin Breen 
Hycron1234 
Robert Butler 
Martine Wærås
Nameless600 
Alison Ryland 
TaterThoughts 
Abigail Boyd 
Sean Blackwell 
Rebecca Welch 
Alex Gillott 
Tia 
kelly nicholls 
Matthew N 
James Hale
Riley Cox 
Pixelated Skeptic 
Craig Stone 
Barry Smith 
Jeannie Ashelin 
Katie Klebba
Leanne Rath 
Vanessa Nassberger
Jeremy Frens 
Brenda
Marlon Robertson
You guys are incredible!! ♥ 
---------------------------
Patreon: https://www.patreon.com/racheloates
Don't feel like you have to donate, but please know I'm super-grateful to anyone who does ♥ 
It really gives me the opportunity to re-invest back into my channel and continue to improve me content for you guys. Plus, I can finally be financially stable again and stop disapointing my parents ;) 
---------------------------
End Music: Jensation - Delicious 
https://soundcloud.com/nocopyrightsounds/jensation-delicious-ncs-release</t>
  </si>
  <si>
    <t>Do you put your palm on your face, or your face in your palm?
Memes Card Game: https://goo.gl/47yYDU
Memes Coloring Book: https://goo.gl/ocvoEX
- - - - - - - - - - - - - - - - - - - - - - - - - - - - - - - - - - -
Subscribe to my channel: https://goo.gl/MtMNCA</t>
  </si>
  <si>
    <t>Does this make you mad?
It should...
Playlist and Music Links Below
======================================================
The Complete Oz Collection: https://www.youtube.com/watch?v=oKvLOe31GZU&amp;index=2&amp;list=PLSQgqYizymW_2owmiP0GF392_1xT50hpb&amp;t=0s
======================================================
► Music Credit: LAKEY INSPIRED
Music By: LAKEY INSPIRED @ https://soundcloud.com/lakeyinspired
Official "LAKEY INSPIRED" YouTube Channel HERE - https://www.youtube.com/channel/UCOmy...
License for commercial use: Creative Commons Attribution 3.0 Unported "Share Alike" (CC BY-SA 3.0) License.
Full License HERE - https://creativecommons.org/licenses/...
Music promoted by NCM https://goo.gl/fh3rEJ 
––– ♪♫ FREE DOWNLOAD ♫♪ –––
► Download "Going Up" for free HERE - https://soundcloud.com/lakeyinspired/...
––– ♪♫ Artists' Links ♫♪ –––
► Music by: LAKEY INSPIRED
• SUBSCRIBE to the LAKEY INSPIRED YouTube channel HERE - https://www.youtube.com/channel/UCOmy...
• Follow LAKEY INSPIRED on SoundCloud HERE - https://soundcloud.com/lakeyinspired
• Follow LAKEY INSPIRED on Instagram HERE - https://www.instagram.com/lakeyinspired/
• Follow LAKEY INSPIRED on Spotify HERE - https://open.spotify.com/artist/3zDGj...
• Support LAKEY INSPIRED on Patreon HERE - (Optional) https://www.patreon.com/lakeyinspired
► Song List:
- 0:01 Track Name: "Holding On"
 By LAKEY INSPIRED
 Original upload HERE - https://www.youtube.com/watch?v=7viTImN05Qw
- 2:26 Track Name: "In My Dreams"
 By LAKEY INSPIRED
 Original upload HERE - https://www.youtube.com/watch?v=niypn52akHA
- 6:10 Track Name: A Walk On The Moon
 By LAKEY INSPIRED
 Original upload HERE - https://soundcloud.com/lakeyinspired/a-walk-on-the-moon</t>
  </si>
  <si>
    <t>How can you possibly survive without chips?
Memes Card Game: https://goo.gl/47yYDU
Memes Coloring Book: https://goo.gl/ocvoEX
- - - - - - - - - - - - - - - - - - - - - - - - - - - - - - - - - - -
Subscribe to my channel: https://goo.gl/MtMNCA</t>
  </si>
  <si>
    <t>I ate a carrot today. Am I now a vegan?
Memes Card Game: https://goo.gl/47yYDU
Memes Coloring Book: https://goo.gl/ocvoEX
- - - - - - - - - - - - - - - - - - - - - - - - - - - - - - - - - - -
Subscribe to my channel: https://goo.gl/MtMNCA</t>
  </si>
  <si>
    <t>Watch out for the stupidity head!
Memes Card Game: https://goo.gl/47yYDU
Memes Coloring Book: https://goo.gl/ocvoEX
- - - - - - - - - - - - - - - - - - - - - - - - - - - - - - - - - - -
Subscribe to my channel: https://goo.gl/MtMNCA</t>
  </si>
  <si>
    <t>Subreddit of the day: r/vaxxhappened
▼ OwO▼
►Hello friends and thanks for stopping by! I upload videos every Monday, Thursday, and Saturday 10am PST (dedicated Anti MLM Mondays for weekly hunbot cringe). 
►Want to watch more of my videos? Check out my second channel here: https://bit.ly/2Br2VvO
--------------------------------------------------------------------------
Let's be friends:
►Snapchat: http://bit.ly/2fQI6yQ
►Instagram: http://bit.ly/1R5mYTC
►Twitter: http://bit.ly/1R5n65v
--------------------------------------------------------------------------
►My Microphone: AT2020
►My Cameras: Canon T3i, Canon G7X, iPhone 8+
►My Editors: Audacity, Adobe Premiere Pro, Wondershare Filmora
--------------------------------------------------------------------------
You made it all the way to the bottom of my description box so, hello there.</t>
  </si>
  <si>
    <t>I love making these meme videos :)
- - - - - - - - - - - - - - - - - - - - - - - - - - - - - - - - - - -
Subscribe to my channel: https://goo.gl/bD5hG4</t>
  </si>
  <si>
    <t>Never say or do anything on the internet. It will get combined into videos and posted to youtube.
Memes Card Game: https://goo.gl/47yYDU
Memes Coloring Book: https://goo.gl/ocvoEX
- - - - - - - - - - - - - - - - - - - - - - - - - - - - - - - - - - -
Subscribe to my channel: https://goo.gl/MtMNCA</t>
  </si>
  <si>
    <t>Weight doesn't exists! It is a myth!
Memes Card Game: https://goo.gl/47yYDU
Memes Coloring Book: https://goo.gl/ocvoEX
- - - - - - - - - - - - - - - - - - - - - - - - - - - - - - - - - - -
Subscribe to my channel: https://goo.gl/MtMNCA</t>
  </si>
  <si>
    <t>Best wholesome memes for a bad day - watch with your family or friends at school or work to brighten up your day :D
Watch previous wholesome meme episodes (binge watch) ► https://www.youtube.com/playlist?list=PLV7oOsXh3LN9XRyJe_nQgeDhOkcKYi15A
For more spongebob, dog &amp; cat memes please like the vid &amp; subscribe
Daily new &amp; funny dank memes , SUBSCRIBE for more ultimate, dank doodle memes &amp; funniest best meme compilation of 2019
family &amp; kid friendly reddit memes to watch instead of</t>
  </si>
  <si>
    <t>Doctors of reddit, what made you say "how are you still alive"? - r/Askreddit
 Do NOT click - https://bit.ly/2F3Ohea</t>
  </si>
  <si>
    <t>Ever lied on the internet? If you have, why? What is the point? Make me understand the people in this video.
Memes Card Game: https://goo.gl/47yYDU
Memes Coloring Book: https://goo.gl/ocvoEX
- - - - - - - - - - - - - - - - - - - - - - - - - - - - - - - - - - -
Subscribe to my channel: https://goo.gl/MtMNCA</t>
  </si>
  <si>
    <t>r/Entitledparents think they can take on everybody, including an army sergeant! Well, turns out that this entitled mommy isn't nearly as tough as she thinks she is, because this army sergeant is tired of her attitude and puts her in her place! The entitled mother gets publicly embarrassed and ARRESTED because of her horrible behavior! This is definitely one of the better r/entitledparents videos, so enjoy this batch of funny Reddit posts!
_xD83D__xDC97_ Support Me: http://bit.ly/supportRSLASH
_xD83D__xDC6A_ r/Entitledparents "SHUT UP AND TAKE MY BABY!" https://www.youtube.com/watch?v=HBcBFVNcbE4&amp;list=PLQWFBACAObMj6W6NyJvSBp_kj2HI33iXN&amp;index=5
_xD83D__xDD25_ r/Entitledparents "GIVE ME YOUR HOUSE! I NEEEEED IT!" Funny Reddit Posts https://www.youtube.com/watch?v=mOuzZeNB-DU&amp;list=PLQWFBACAObMjlfKOmAQJjolwbVBeAvNfW&amp;index=3
_xD83D__xDD14_ Subscribe! https://bit.ly/2E3A8i6
_xD83D__xDC4D_ Like this video if you want to see more!
_xD83D__xDCAC_ Join my Discord: https://discord.gg/Rtwc9ZC
_xD83D__xDC26_ Follow me on Twitter: https://twitter.com/rslashyt
#reddit #entitledparents #funnyredditposts
Credit
EDIT: Removed the first story
nikknox, https://bit.ly/2WcCwK1
HomelesssNinja, https://bit.ly/2GQJkHU
"Sneaky Snitch" Kevin MacLeod (incompetech.com)
License: CC By Attribution 3.0</t>
  </si>
  <si>
    <t>I once solved a puzzle in 5 hours. Pretty impressive since it said 3+ years on the box.
Memes Card Game: https://goo.gl/47yYDU
Memes Coloring Book: https://goo.gl/ocvoEX
- - - - - - - - - - - - - - - - - - - - - - - - - - - - - - - - - - -
Subscribe to my channel: https://goo.gl/MtMNCA</t>
  </si>
  <si>
    <t>Koalee's channel:
https://www.youtube.com/channel/UCzk5ht4dIwQvJFgjXMaKUSA
Twitter: @SoftKoreYT
Snapchat: softkoreyt
My second channel:
https://www.youtube.com/channel/UCA9Aj0tmc68eowe03NZAiXw</t>
  </si>
  <si>
    <t>Ask to get your comment pinned, and I will heart it.
Memes Card Game: https://goo.gl/47yYDU
Memes Coloring Book: https://goo.gl/ocvoEX
- - - - - - - - - - - - - - - - - - - - - - - - - - - - - - - - - - -
Subscribe to my channel: https://goo.gl/MtMNCA</t>
  </si>
  <si>
    <t>WELCOME TO MEDICAL MEME REVIEW EP 3!!!! 
Medical memes are a great way to get a laugh whether or not you are part of the medical community. I think that they are incredibly relatable as you can catch the humor even as a patient. I will say that some of the memes can be dark and if taken out of context can even seem offensive BUT we need to understand that this is medical satire. Being able to laugh at ourselves and our troubles is a healthy habit to practice. 
I really enjoy reacting to these memes and I know that there are millions more out there that are as funny. Please if you enjoy this series let me know by liking, commenting, and sharing this video with your friends/family. If I see that you enjoyed it I will put out another post on my IG to send me the best doctor memes and nursing memes so that we can all share a laugh. 
As they say, laughter is the best medicine, so let's laugh away together! 
If you have an idea of something you want me to cover in depth, please let me know because I take your requests seriously. We will be back with more Medical Drama Review Series in a couple of weeks so please submit more names of shows/episodes you'd like for me to watch.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
** The information in this video is not intended 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professional**</t>
  </si>
  <si>
    <t>SUBSCRIBE for more! http://bit.ly/SUBSCRIBEjubilee
Watch more Spectrum: http://bit.ly/WatchSpectrumJubilee
Be in a Jubilee video: http://bit.ly/JubileeCasting
Join our company! http://bit.ly/JubileeCareers
Follow us on INSTAGRAM: https://www.instagram.com/jubileemedia/
Are you a loyal Jubilee fan? Join our Facebook group: https://www.facebook.com/groups/407942859721012/
| ABOUT |
Jubilee exists to bridge people together and inspire love through compelling stories. We create shareable human-centric videos that create connection, challenge assumptions, and touch the soul.
Ultimately, we aim to inspire people to LIVE DEEPER.
| SOCIAL |
Jubilee Facebook: https://www.facebook.com/jubileemedia
Jubilee Instagram: https://www.instagram.com/jubileemedia/
Jubilee Twitter: https://www.twitter.com/jubileemedia
Jubilee Website: https://www.jubileemedia.com
For brands interested in partnering with Jubilee, email us:
hello@jubileemedia.com
Help us caption &amp; translate this video!
https://amara.org/v/oT6g/
FEATURING:
Jason- @pastorjasonkim
Tyler- @tmuck
Nicole- @laalawstudent
T’Rayus- @trayusj</t>
  </si>
  <si>
    <t>Yes, I am a youtuber. No, I don't have a youtube channel.. We exist.
Memes Card Game: https://goo.gl/47yYDU
Memes Coloring Book: https://goo.gl/ocvoEX
- - - - - - - - - - - - - - - - - - - - - - - - - - - - - - - - - - -
Subscribe to my channel: https://goo.gl/MtMNCA</t>
  </si>
  <si>
    <t>discord: https://discord.io/Soft-Kore
Twitter: @SoftKoreYT
Snapchat: softkoreyt
Merch: 
https://shop.spreadshirt.com/soft-kore?noCache=true
My gaming channel:
https://www.youtube.com/channel/UCA9Aj0tmc68eowe03NZAiXw</t>
  </si>
  <si>
    <t>http://thepresentationcoach.com.au/
Hey viewers, a few people have reached out to comment that although they enjoyed the video, I had overstepped the boundary by commenting on her eye. At the time I wasn’t aware of her surgery but she had corrective surgery which is the reason for the eye looking the way it does. I of course want to keep doing videos and I apologise that I have offended viewers with my comment. 
I have a team of ONE, What you see in all these videos is a result of hours of self taught tutorials from Writing and scripting, filming, Studio set up, and of course EDITING...have I told you how long it takes to edit these videos? anyhooo, I don't have any sponsors or affiliates and derive all of my income purely from Youtube monetisation. Hopwever if you would like to donate money to keep these videos going you can do so via
PAYPAL
paypal.me/Pauschmann
Published 2018
Cameras Used:
iPhone 6/7
Canon 80D
Canon XA20
----------------------------
Microphone used for my voiceover: Rode NT USB (http://amzn.to/2qohzvW)
This video is made with Adobe Premiere Pro CC (http://bit.ly/2oyNfR9)
----------------------------
I will post weekly, so please subscribe my channel, STAY TUNED! 
▶Follow me on Twitter: https://twitter.com/pauschmanagement
▶Follow me on Facebook: https://www.facebook.com/thepointtv
▶Follow me on Instagram: https://www.instagram.com/thepointtv
▶Visit my other website http://www.geraldpauschmann
FAIR USE NOTICE
This video may contain copyrighted material; the use of which has not been specifically authorized by the copyright owner. We are making such material available for the purposes of criticism, comment, review and news reporting which constitute the 'fair use' of any such copyrighted material as provided for in section 107 of the US Copyright Law. Not withstanding the provisions of sections 106 and 106A, the fair use of a copyrighted work for purposes such as criticism, comment, review and news reporting is not an infringement of copyright.</t>
  </si>
  <si>
    <t>Multilinguals, what's your "they didn't realise I could understand their language" story?
Subscribe for more Brainy Memes and Tumblr Posts.
Background Music ► 
Batty McFadden - Slower by Kevin MacLeod is licensed under a Creative Commons Attribution license (https://creativecommons.org/licenses/by/4.0/)
Artist: http://incompetech.com/
Thanks for watching, liking, and commenting!</t>
  </si>
  <si>
    <t>Minecraft mondays:
https://www.youtube.com/watch?v=lv5J6Fic_cQ
Patreon:
https://www.patreon.com/KoreYT
Twitter: @SoftKoreYT
Snapchat: softkoreyt
My second channel:
https://www.youtube.com/channel/UCA9Aj0tmc68eowe03NZAiXw</t>
  </si>
  <si>
    <t>What dumb rule did you have at your school? - r/AskReddit
Subscribe for more Brainy Memes and Tumblr Posts.
Binge watch all the Funny AskReddit posts from the beginning: ► https://www.youtube.com/playlist?list=PLt8teu27UuQiTTF_yJXi0mG9w8phi2YLP
Background Music ► https://www.youtube.com/watch?v=IQRRfNJUTtw
Thanks for watching, liking, and commenting!</t>
  </si>
  <si>
    <t>Doctors of Reddit, what are some of your anti-vax parent stories?
Share your own stories in the comments section below! 
►Check Out My Second Channel! - Dr Reddit
https://bit.ly/2m46H91
► Source:
https://www.reddit.com/br87g0
► Background Music:
serious music (dk name)
Thank you for watching! If you enjoyed the video, hit like, If you would like to see more, feel free to subscribe :) 
Socials:
► Discord: https://discord.gg/3vfB4pe
~ Sir Reddit</t>
  </si>
  <si>
    <t>Doing it for the views uwu
Twitter: @SoftKoreYT
Snapchat: softkoreyt
Merch: 
https://shop.spreadshirt.com/soft-kore?noCache=true
My gaming channel:
https://www.youtube.com/channel/UCA9Aj0tmc68eowe03NZAiXw</t>
  </si>
  <si>
    <t>If you vaccinate, you are safe against stupidity, the most dangerous disease of them all.
Memes Card Game: https://goo.gl/47yYDU
Memes Coloring Book: https://goo.gl/ocvoEX
- - - - - - - - - - - - - - - - - - - - - - - - - - - - - - - - - - -
Subscribe to my channel: https://goo.gl/MtMNCA</t>
  </si>
  <si>
    <t>CORRECTION: An earlier version of this story mistakenly quoted a CBC journalist as saying: "Now, we've gotta quid pro quo." In fact, he said: "That way, it's not a ... quid pro quo, I guess." The quotes have been corrected and additional parts of the conversation have been added between 9:21 and 9:52.
Marketplace goes undercover and dives into one of the world's most harmful misinformation campaigns: the anti-vaccination movement. We expose how and why the most prolific false claims spread online and how you could be affected without even knowing it.
To read more: http://cbc.ca/1.5429805
»»» Subscribe to CBC News to watch more videos: http://bit.ly/1RreYWS
Connect with CBC News Online:
For breaking news, video, audio and in-depth coverage: http://bit.ly/1Z0m6iX
Find CBC News on Facebook: http://bit.ly/1WjG36m
Follow CBC News on Twitter: http://bit.ly/1sA5P9H
For breaking news on Twitter: http://bit.ly/1WjDyks
Follow CBC News on Instagram: http://bit.ly/1Z0iE7O
Download the CBC News app for iOS: http://apple.co/25mpsUz
Download the CBC News app for Android: http://bit.ly/1XxuozZ
»»»»»»»»»»»»»»»»»»
For more than 75 years, CBC News has been the source Canadians turn to, to keep them informed about their communities, their country and their world. Through regional and national programming on multiple platforms, including CBC Television, CBC News Network, CBC Radio, CBCNews.ca, mobile and on-demand, CBC News and its internationally recognized team of award-winning journalists deliver the breaking stories, the issues, the analyses and the personalities that matter to Canadians.</t>
  </si>
  <si>
    <t>Joe Hendrick’s sons are part of a growing number of children in the US who have not been vaccinated. Their family has decided against vaccines for reasons that mix a firm belief in personal freedom with scientifically-unconfirmed concerns about what’s inside vaccines. But unlike most unvaccinated families, Joe’s family is facing a first-of-its-kind ultimatum: get your kids vaccinated or keep the out of all public places.
Last week, Rockland County, New York instituted a thirty day ban on unvaccinated children in public spaces, including schools. The county declared a state of emergency after six months of uncooperative people hanging up the phone, closing the door on inspectors, and refusing to report cases.
Dr. Patricia Ruppert, the Rockland County Health Commissioner, says there have been 161 confirmed cases of measles and that there are likely many more that they don’t know about. While 98% of the cases to date have been among Orthodox Jewish residents who live in tight-knit enclaves, the health department is fighting to communicate to the county that every single unvaccinated person, regardless of faith, bears responsibility for potential spread.
In the interim, Joe Hendrick has chosen homeschooling over vaccination. He's now juggling that with his job and a two-week old newborn child. When asked if having a new baby had given him any second thoughts, Joe explained that he felt emboldened. "I'd rather move and make sure my family is safe and, you know, we have the right to choose for ourselves instead of being forced into something that could potentially hurt my child."
VICE News traveled to Rockland County, where officials are trying to reach people who have put personal choice over public health.
Subscribe to VICE News here: http://bit.ly/Subscribe-to-VICE-News
Check out VICE News for more: http://vicenews.com
Follow VICE News here:
Facebook: https://www.facebook.com/vicenews
Twitter: https://twitter.com/vicenews
Tumblr: http://vicenews.tumblr.com/
Instagram: http://instagram.com/vicenews
More videos from the VICE network: https://www.fb.com/vicevideo</t>
  </si>
  <si>
    <t>After an outbreak of Measles in the United States, public scrutiny in that country has refocused on the Anti-Vaccination movement, as a philosophical debate rages between defenders of personal freedom and proponents of public health legislation. Welcome to WatchMojo News, the weekly series from http://www.WatchMojo.com that breaks down news stories that might be on your radar. In this instalment, we’re counting down 10 crucial facts you should know about the Anti-Vaccine movement.  
Check us out at http://www.Twitter.com/WatchMojo, http://instagram.com/watchmojo and http://www.Facebook.com/WatchMojo. Also, check out our interactive Suggestion Tool at http://www.WatchMojo.com/suggest 
If you want to suggest an idea for a WatchMojo video, check out our interactive Suggestion Tool at http://www.WatchMojo.com/suggest :)
Want a WatchMojo cup, mug, t-shirts, pen, sticker and even a water bottle?  Get them all when you order your MojoBox gift set here:
http://watchmojo.com/store/
WatchMojo is a leading producer of reference online video content, covering the People, Places and Trends you care about.
We update DAILY with 2-3 Top 10 lists, Origins, Biographies, Versus clips on movies, video games, music, pop culture and more!
anti vaccination</t>
  </si>
  <si>
    <t>Jimmy feels that all of this anti-vaccination silliness is starting to snowball, so he invited some real doctors to address it. These are actual medical professionals so hear them out and then decide for yourself.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A Message for the Anti-Vaccine Movement
http://youtu.be/QgpfNScEd3M</t>
  </si>
  <si>
    <t>Baseless claims about a link between vaccines and developmental disorders have fueled the so called “anti-vaxxer” movement for years now. But in Texas, the anti-vaxxers are motivated by something else: an unconditional commitment to personal freedom—even at the expense of public health. VICE News Tonight correspondent Arielle Duhaime-Ross travels to three cities in Texas to speak with people on either side of this fight.
Subscribe to VICE News here: http://bit.ly/Subscribe-to-VICE-News
Check out VICE News for more: http://vicenews.com
Follow VICE News here:
Facebook: https://www.facebook.com/vicenews
Twitter: https://twitter.com/vicenews
Tumblr: http://vicenews.tumblr.com/
Instagram: http://instagram.com/vicenews
More videos from the VICE network: https://www.fb.com/vicevideo</t>
  </si>
  <si>
    <t>Fewer children in the United States are getting vaccinated. That’s bad news for those kids, and also for public health in general. Often, the response is to argue and debate and get angry at people who are we see as making terrible, irrational decisions. Instead of doing that, let’s use science to understand why this is happening in the first place.
Hosted by: Hank Green
----------
Like SciShow? Want to help support us, and also get things to put on your walls, cover your torso and hold your liquids? Check out our awesome products over at DFTBA Records: http://dftba.com/scishow
Or help support us by subscribing to our page on Subbable: https://subbable.com/scishow
----------
Looking for SciShow elsewhere on the internet?
Facebook: http://www.facebook.com/scishow
Twitter: http://www.twitter.com/scishow
Tumblr: http://scishow.tumblr.com
Instagram: http://instagram.com/thescishow
Sources:
Meta-Analysis of the Safety of Vaccines: http://pediatrics.aappublications.org/content/134/2/325
The Internet and the Psychology of Vaccination Decisions: http://www.eurosurveillance.org/ViewArticle.aspx?ArticleId=19849
Naturalness Bias: http://www.ncbi.nlm.nih.gov/pubmed/18319507
Omission Bias and Vaccines: http://mdm.sagepub.com/content/14/2/118
Difficulty in changing minds once they’re made: http://pediatrics.aappublications.org/content/early/2014/02/25/peds.2013-2365
Onset Patterns of Autism: http://www.ncbi.nlm.nih.gov/pmc/articles/PMC2857525/
Bad is Stronger than Good - Negativity Bias: http://assets.csom.umn.edu/assets/71516.pdf
Parental Vaccine Decision Making: http://www.ncbi.nlm.nih.gov/pubmed/24011751
Read more about Risk Perception: https://en.wikipedia.org/wiki/Risk_perception
And Explanatory Style: https://en.wikipedia.org/wiki/Explanatory_style
http://www.ninds.nih.gov/disorders/autism/detail_autism.htm</t>
  </si>
  <si>
    <t>House tries to get to the bottom of a vegan man's digestive problems. His wife isn't too pleased with the answer House gives her.
Season 3 Episode 22 - Resignation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</si>
  <si>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Twitter: @SoftKoreYT
Snapchat: softkoreyt
Merch: 
https://shop.spreadshirt.com/soft-kore?noCache=true
My gaming channel:
https://www.youtube.com/channel/UCA9Aj0tmc68eowe03NZAiXw</t>
  </si>
  <si>
    <t>When a young mother brings her child into the clinic, House can't help but educate her on the dangers of not vaccinating children.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</si>
  <si>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Disproven and dubious theories about the safety of childhood vaccines are pitting an Ohio mother against her teenage son. High school senior Ethan Lindenberger recently defied his mother and got vaccinated, saying his parents' misguided beliefs put his health, and the health of his younger siblings, at risk. Dr. Tara Narula reports.
Watch "CBS This Morning" HERE: http://bit.ly/1T88yAR
Download the CBS News app on iOS HERE: https://apple.co/1tRNnUy
Download the CBS News app on Android HERE: https://bit.ly/1IcphuX
Like "CBS This Morning" on Facebook HERE: http://on.fb.me/1LhtdvI
Follow "CBS This Morning" on Twitter HERE: http://bit.ly/1Xj5W3p
Follow "CBS This Morning" on Instagram HERE: http://bit.ly/1Q7NGnY
Get new episodes of shows you love across devices the next day, stream local news live, and watch full seasons of CBS fan favorites anytime, anywhere with CBS All Access. Try it free! http://bit.ly/1OQA29B
Delivered by Norah O’Donnell, Gayle King, John Dickerson, and Bianna Golodryga, "CBS This Morning" offers a thoughtful, substantive and insightful source of news and information to a daily audience of 3 million viewers. The Emmy Award-winning broadcast presents a mix of daily news, coverage of developing stories of national and global significance, and interviews with leading figures in politics, business and entertainment. Check local listings for "CBS This Morning" broadcast times.</t>
  </si>
  <si>
    <t>View full lesson: http://ed.ted.com/lessons/how-we-conquered-the-deadly-smallpox-virus-simona-zompi
For 10,000 years, humanity suffered from the scourge of smallpox. The virus killed almost a third of its victims within two weeks and left survivors horribly scarred. But Simona Zompi commends the brave souls -- a Buddhist nun, a boy, a cow, a dairymaid and physician Edward Jenner -- who first stopped the spread of this disastrous disease, to make us smallpox-free today.
Lesson by Simona Zompi, animation by Augenblick Studios.</t>
  </si>
  <si>
    <t>Anti Vaxxers are people who refuse to vaccinate their children from contagious diseases, even though there are vaccinations readily available, and in today's video we're going to show you why they are dead wrong. Vaccinations have been able to help save many lives and they are something we should be grateful for, but not everybody thinks so. Let's see what science has t say to prove Anti Vaxxers wrong once and for all. 
Check out my new channel I Am: https://www.youtube.com/channel/UCH5YmeRhiQZt9_5Eky3A2og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https://pastebin.com/zXJPWKvy
All videos are based on publicly available information unless otherwise noted.</t>
  </si>
  <si>
    <t>Detox Tea is a lie! - https://youtu.be/HbUo1bmEUg4
Many of you have messaged me on IG, Twitter, and FB asking me to respond to this new video between Pro-Vaccine and Anti-Vaccine arguments. This is a hotly debated topic so lets please be respectful in the comments! 
Jubilee Media has an excellent series called Middle Ground where they have folks with opposing beliefs on controversial topics sit beside one another to discuss their views. I have long been a fan of this type of moderated content and applaud Jubilee for setting this up.
Link to full video: https://youtu.be/WQptarOLSBU
Link to Subscribe to Jubilee: http://bit.ly/SUBSCRIBEjubilee 
Let me know your thoughts! I will be back with another video this coming Sunday at 11am EST, so subscribe and hit those posting notifications!!!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
| SOCIAL FOR JUBILEE |
Jubilee Facebook: https://www.facebook.com/jubileemedia
Jubilee Instagram: https://www.instagram.com/jubileemedia/
Jubilee Twitter: https://www.twitter.com/jubileemedia
Jubilee Website: https://www.jubileemedia.com
** The information in this video is not intended 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professional**</t>
  </si>
  <si>
    <t>Bill Nye "The Science Guy" wants everyone to understand science, even if they don't love it. So PopSci curated a list of anti-science tweets and had Bill respond to them with real science...and he didn't hold back 
SUBSCRIBE! for more Popular Science on YouTube ►► http://pops.ci/yt-sub
--
Producer/Cinematographer/Editor:
Jason Lederman
Producer/Cinematographer/Editor:
Tom McNamara
Tweets Compiled by:
Rachel Feltman
--
FOLLOW POPULAR SCIENCE
https://www.popsci.com
Facebook: https://www.facebook.com/popsci
Twitter: https://www.twitter.com/popsci
Instagram: https://www.instagram.com/popsci
Snapchat: https://www.snapchat.com/add/popularscience
Pinterest: https://www.pinterest.com/popularscience</t>
  </si>
  <si>
    <t>Here's what to say to anti-vaxxers!
Check out Bill and Melinda Gates Annual Letter:
http://b-gat.es/2Cfph0j 
Subscribe, it's free! http://bit.ly/asapsci
Created by: Mitchell Moffit and Gregory Brown
Written by: Amanda Edwards, Annik Carson, Rachel Salt, Greg Brown, &amp; Mitch Moffit
Illustrated by: Max Simmons
Edited by: Sel Ghebrehiwot &amp; Mitch Moffit
FOLLOW US!
Instagram and Twitter: @whalewatchmeplz and @mitchellmoffit 
Clickable: http://bit.ly/16F1jeC and http://bit.ly/15J7ube
AsapINSTAGRAM: https://instagram.com/asapscience/
Snapchat: realasapscience
Facebook: http://facebook.com/AsapSCIENCE
Twitter: http://twitter.com/AsapSCIENCE
Tumblr: http://asapscience.tumblr.com
SNAPCHAT US 'whalewatchmeplz' and 'pixelmitch'
Created by Mitchell Moffit (twitter @mitchellmoffit) and Gregory Brown (twitter @whalewatchmeplz).
Send us stuff!
ASAPSCIENCE INC.
P.O. Box 93, Toronto P
Toronto, ON, M5S2S6
Further Reading/References:
https://www.cdc.gov/vaccines/parents/tools/parents-guide/parents-guide-part4.html
http://www.chop.edu/centers-programs/vaccine-education-center/vaccine-ingredients/aluminum 
https://www.ncbi.nlm.nih.gov/pubmed/22099159 
http://www.who.int/vaccine_safety/committee/topics/adjuvants/Jun_2012/en/ 
https://www.cdc.gov/vaccines/hcp/conversations/downloads/vacsafe-understand-color-office.pdf 
https://www.cdc.gov/vaccinesafety/concerns/multiple-vaccines-immunity.html
https://www.ncbi.nlm.nih.gov/pmc/articles/PMC4406568/ 
https://www.livescience.com/54078-hygiene-hypothesis.html 
https://blogs.scientificamerican.com/roots-of-unity/understand-the-measles-outbreak-with-this-one-weird-number/
https://www.cdc.gov/measles/about/complications.html
https://www.cdc.gov/measles/about/history.html 
https://www.orau.gov/cdcynergy/web/im/Content/activeinformation/resources/IM_what_would_hpn.pdf 
https://www.theatlantic.com/business/archive/2015/02/vaccines-are-profitable-so-what/385214/ 
https://www.cdc.gov/mmwr/preview/mmwrhtml/mm6316a4.htm 
https://www.cdc.gov/flu/about/qa/misconceptions.htm 
https://www.cdc.gov/flu/about/qa/vaccineeffect.htm
http://pediatrics.aappublications.org/content/early/2017/03/30/peds.2016-4244?sso=1&amp;sso_redirect_count=1&amp;nfstatus=401&amp;nftoken=00000000-0000-0000-0000-000000000000&amp;nfstatusdescription=ERROR%3a+No+local+token 
https://www.cdc.gov/vaccinesafety/concerns/multiple-vaccines-immunity.html https://www.ncbi.nlm.nih.gov/pubmed/23847024
https://www.ncbi.nlm.nih.gov/pubmed/16567978
https://www.ncbi.nlm.nih.gov/pubmed/15951359
https://www.ncbi.nlm.nih.gov/pubmed/11731639
https://newrepublic.com/article/122367/why-are-vaccination-rates-dropping-america 
https://www.cdc.gov/mmwr/preview/mmwrhtml/mm6406a5.htm 
http://fortune.com/2015/02/12/californias-measles-vaccination/ 
https://www.vaccines.gov/basics/work/index.html 
http://www.vaccineinformation.org/how-vaccines-work/ 
http://vk.ovg.ox.ac.uk/herd-immunity 
http://www.who.int/csr/disease/smallpox/vaccines/en/ 
https://jamanetwork.com/journals/jama/fullarticle/209448 
https://www.cdc.gov/vaccines/parents/tools/parents-guide/parents-guide-part4.html 
https://www.cps.ca/en/documents/position/autistic-spectrum-disorder-no-causal-relationship-with-vaccines 
https://www.autismspeaks.org/science/science-news/no-mmr-autism-link-large-study-vaccinated-vs-unvaccinated-kids 
https://www.cdc.gov/vaccinesafety/concerns/autism.html 
http://www.immunize.org/catg.d/p4026.pdf 
https://www.cdc.gov/vaccines/hcp/patient-ed/conversations/downloads/vacsafe-thimerosal-color-office.pdf 
https://www.cdc.gov/vaccines/vac-gen/whatifstop.htm 
http://www.cnn.com/2017/06/02/health/minnesota-measles-outbreak-bn/index.htm http://www.who.int/mediacentre/factsheets/fs378/en/ 
http://www.thelancet.com/journals/lancet/article/PIIS0140-6736(00)92008-7/fulltext 
https://www.cdc.gov/vaccines/vac-gen/whatifstop.htm 
https://io9.gizmodo.com/what-happens-when-you-dont-vaccinate-1631423511 
https://www.vice.com/en_us/article/ppmn3y/we-asked-an-expert-what-would-happen-if-we-stopped-vaccinating-everyone-204
https://www.orau.gov/cdcynergy/web/im/Content/activeinformation/resources/IM_what_would_hpn.pdf 
https://www.ranker.com/list/celebrity-anti-vaxxers/celebrity-lists
https://jezebel.com/heres-a-fairly-comprehensive-list-of-anti-vaccination-c-1714760128
https://www.popsci.com/science/article/2013-07/popsci-guide-anti-vaccine-claims
https://medium.com/the-method/8-common-arguments-against-vaccines-5d45ad9c1e29
http://www.who.int/mediacentre/factsheets/fs286/en/
http://legacy.jyi.org/volumes/volume6/issue3/features/bourzac.html
http://www.historyofvaccines.org/content/articles/vaccine-development-testing-and-regulation
http://www.sciencedirect.com/science/article/pii/0264410X94903158
http://www.sciencebasedmedicine.org/deadly-choices-about-vaccination/
https://www.popsci.com/science/article/2013-07/popsci-guide-anti-vaccine-claims 
why you should get vaccinated why you should vaccinate your kids vaccines save lives do vaccines contain mercury do vaccines</t>
  </si>
  <si>
    <t>Sources: https://sites.google.com/view/sources-vaccines
Vaccines are one of our best tools to prevent dangerous diseases, but they come with side effects. So would it be safer not to vaccinate?
This video has been supported by a grant from the Bill &amp; Melinda Gates Foundation. 
If you are interested how much sponsorships influence our videos, we wrote about that in detail here: https://medium.com/@Kurzgesagt/kurzgesagt-sponsorships-on-youtube-3121a45b0fe9
Support us on Patreon so we can make more videos (and get cool stuff in return): https://www.patreon.com/Kurzgesagt?ty=h
Steady: https://steadyhq.com/de/kurzgesagt
Merchandise:  https://shop.kurzgesagt.org 
Newsletter: http://eepurl.com/cRUQxz
Facebook: http://bit.ly/1NB6U5O
Twitter: http://bit.ly/2DDeT83
Instagram: http://bit.ly/2DEN7r3
Discord: https://discord.gg/cB7ycdv
The Voice of Kurzgesagt: 
Steve Taylor: http://voice-pool.com/en/english/
The music of the video here: 
Soundcloud: https://bit.ly/2DZO6kr
Bandcamp: https://bit.ly/2VXep55
Youtube: https://bit.ly/2CZ6PeN
Facebook: http://bit.ly/2qW6bY4
THANKS A LOT TO OUR LOVELY PATRONS FOR SUPPORTING US:Marsha Sohn, Henri Holler, Michelle, Dan Crowley, Alex Hackman, Sammy Mikhael, Marcus Thorén, Kevin Harris, Jayami, Andreas Poletti, David Coates, Omar Galvis, Denny Zavada, Don Knowlton, Sebastian, Jay Ruthnam, Shakira Graham, MatBu, Mikhail, Sinan Taifour, Knowledge Unlimited, Odilia Krause, Anri Digholm, Dominykas, James Gaglio, Alice Jones, Narciso Jaramillo, Qaalid Hashi, Nate Bender, Gulyás Gergely, Michael Bloch, Rick Merced, Etienne Huguenot, Jonathan Lopez, Kai Smith, Benjamin Arndt, Philip Potvin, Amy Halter, Dylan polin, Zach Evans, Karan Chawla, Michael Casey, Francis Bouchard, William Gu, peck neck, Dien Buwono, Patrick Pruitt, Alexander Isayenko, Connor Doherty, Kierr Suñega, Kongpak Phupa, Lewis Foret, Daniel Ingegneri, David Saitta, Soeren Pollerhof, Ravi Shankar, Nico Kooyman, Anna Liceva, Dan Long, ADAM M., Cruz Godar, Pedro Caetano, Jean-Pierre Girard, Jonathan Piedrasanta, Jak SP, Jim Renney, Danielle Mitchell, Giorgio Valli, Ben Evans, Bill Cohen, Gitle Mikkelsen, Gemini00, Benjamin Mahoney, Christopher DiBattista, Mandy Reid, Gary Reckard, Sataporn Chaochonpun, Bigolf, Moses Malone, Kyle Merryman, Dante Bencivenga, Zeus Laser, Jake Wise, Jade, Fontaine Liu, Manav parmar, ethnicolor
Help us caption &amp; translate this video!https://www.youtube.com/timedtext_cs_panel?c=UCsXVk37bltHxD1rDPwtNM8Q&amp;tab=2</t>
  </si>
  <si>
    <t>We brought people together who both support and oppose vaccination to see if they can find middle ground. SUBSCRIBE for more! _xD83D__xDC49_http://bit.ly/SUBSCRIBEjubilee _xD83D__xDC48_
Featuring:
Dr. David Epstein: @MVP_Pediatric (Twitter)
Gary Shlifer: @drgaryevolve (IG)
Dr. Bob Sears: facebook.com/Dr-Bob-Sears-116317855073374/ 
Melissa: facebook.com/immunityed/
Follow us on INSTAGRAM: https://www.instagram.com/jubileemedia/
Join our company! https://www.jubileemedia.com/careers
Are you a loyal Jubilee fan? Join our Facebook group: https://www.facebook.com/groups/407942859721012/
Want to be in a Jubilee video? Fill out our casting form: https://goo.gl/forms/EYJEIGgtGTOrb8GC2
| ABOUT |
Jubilee exists to bridge people together and inspire love through compelling stories. We create shareable human-centric videos that create connection, challenge assumptions, and touch the soul.
Ultimately, we aim to inspire people to LIVE DEEPER.
| SOCIAL |
Jubilee Facebook: https://www.facebook.com/jubileemedia
Jubilee Instagram: https://www.instagram.com/jubileemedia/
Jubilee Twitter: https://www.twitter.com/jubileemedia
Jubilee Website: https://www.jubileemedia.com
Jubilee MERCH: https://www.jubileegear.com
For brands interested in partnering with Jubilee, email us:
hello@jubileemedia.com
Help us caption &amp; translate this video!
https://amara.org/v/C0vQL/</t>
  </si>
  <si>
    <t>Dr. House politely explains to an anti-vax mother why she should vaccinate her child.
NOTICE: This brief video clip is intended for nonprofit educational purposes ONLY under fair use guidelines, as an explanation of a topical medical issue. No copyright infringement intended. Its uploader is NOT its owner and he receives NO financial gain from it. This video is NOT a substitute for any part of the House M.D. television series. Original rights to House M.D. belong to NBC Universal.</t>
  </si>
  <si>
    <t>I LOVE the Good Doctor and it seems like you enjoy it also. Let's go with the third review of the season 1 finale!!!!
I think it is so important to be able to not only create a show that is interesting but also keeping it medically accurate and give a great example of how one with autism can strive to new heights. 
If we can get this video up to 100,000 likes I can use that to try and get Freddie Highmore to do a review with us so smash that like button!!!
Anyway, I hope you enjoy this episode of Real Doctor Watches The Good Doctor  / Real Doctor Reacts to The Good Doctor . If you want me to continue making this doctor reaction video please give it a  like and leave me a comment on which tv drama or show you'd like for me to review next. Love you all! 
SUBSCRIBE for new videos every Sunday ▶  https://goo.gl/87kYq6 
Let’s connect:
IG https://goo.gl/41ZS7w - Doctor Mike
Reddit https://www.reddit.com/r/DoctorMike/
Twitter https://goo.gl/kzmGs5 - Real Doctor Mike
Facebook https://goo.gl/QH4nJS - Real Doctor Mike
Contact Email: DoctorMikeMedia@Gmail.com 
P.O. Box (send me stuff):
340 W 42nd St # 2695
NY, NY 10108
Dr. Mikhail Varshavski D.O. ( dr mike )
** The information in this video is not intended 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professional **</t>
  </si>
  <si>
    <t>some moments of house</t>
  </si>
  <si>
    <t>Some of the funnier moments from House M.D. I believe I captured most of them although some were purposefully omitted.
This content is not mine. All content is the property of NBC Universal.</t>
  </si>
  <si>
    <t>Excerpt from House MD (Season 2 Episode 18): I imagine this counts as fair use since it's just an excerpt uploaded to make a point about bilingualism, and these scenes have nothing to do with the main plot of the episode.</t>
  </si>
  <si>
    <t>Hugh Laurie auditioning for the role of Dr. Gregory House in FOX's 'House M.D.' http://castingfactory.ca</t>
  </si>
  <si>
    <t>house explains concerned mother that her daughter is not epilectic</t>
  </si>
  <si>
    <t>Four diagnoses in less than a minute...only Dr. House...
Social Media
ρTwitter: https://twitter.com/Arid_Rider
ρInstagram: https://www.instagram.com/arid_rider/</t>
  </si>
  <si>
    <t>It's never Lupus! Oh wait...</t>
  </si>
  <si>
    <t>House and his team find ways to stall Amber's death but it seems their best efforts were futile. Wilson uses his final moments with Amber to say good bye, but House continues to have hallucinations of her for the last time.
Season 4 Episode 16 "Wilsons Heart"
As the team rushes to find the underlying cause of Amber's injuries, clues inside House's head may hold the key and House's friendship with Wilson is tested as memories from the bus accident the night before threatens their relationship. Meanwhile, Thirteen struggles to cope with her own personal health problems whilst treating Amber.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#HughLaurie #doctors</t>
  </si>
  <si>
    <t>After Foreman's who is now on parole House employs him to get him back on his feet... or totally just mess with Forman.
Season 6 Episode 13 "9 To 5"
During a day in the life of Princeton-Plainsboro's Dean of Medicine, Dr. Lisa Cuddy, the inner workings of the hospital are seen through her eyes. This day proves to be especially trying as Cuddy wrestles with myriad hospital issues and staff disputes that test her perseverance and skills as an administrator, all while juggling issues in her personal life.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</si>
  <si>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A patient in the clinic doesn't understand why her inhaler isn't helping ease her asthma.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</si>
  <si>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House and Wilson stress over a swallowed Quater that may have been swallowed by Cuddy's daughter whilst she was in House's care.
Season 7 Episode 5 "Unplanned Parenthood"
When a newborn experiences breathing problems, the team must look at her mother's (Jennifer Grey) medical history for clues, and what they find leads the mother to a difficult decision. Meanwhile, Foreman and Taub must both find a female replacement for Thirteen, and House and Wilson learn valuable lessons in babysitting when Cuddy has to work late.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</si>
  <si>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House and Wilson almost brawl over mysterious pranks being played on them in their new apartment. In the end the true prankster reveals all.
Season 6 Episode 13 "5 To 9"
During a day in the life of Princeton-Plainsboro's Dean of Medicine, Dr. Lisa Cuddy, the inner workings of the hospital are seen through her eyes. This day proves to be especially trying as Cuddy wrestles with myriad hospital issues and staff disputes that test her perseverance and skills as an administrator, all while juggling issues in her personal life.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</si>
  <si>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A stalker who demands House to treat him in the middle of the street has a seizure, leaving House no option but to help him. 
Season 2 Episode 7 "Hunting" 
House is confronted by Kalvin (Matthew John Armstrong), a gay man who demands treatment when other doctors diagnose him with AIDS, something he admits he does have. House begins making moves on Stacy using sensitive information on her relationship with Mark.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#HughLaurie #doctors</t>
  </si>
  <si>
    <t>House informs Wilson that he may have an 11 year old son. But wait how does House know this??? 
Season 8 Episode 16 "Gut Check"
House and the team take the case of a minor league hockey player (Greg Finley) who began coughing up blood after a fight on the ice. Meanwhile, House reveals to Wilson that he might have an 11-year-old son, and Park moves in with Chase after a fight with her mother.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#HughLaurie #doctors</t>
  </si>
  <si>
    <t>After House kisses his Ex this quickly turns into messy situation for the ex lovers including her current husband.  
Season 2 Episode 11 "The Need To Know"
Cameron worries about the potential results of her HIV test and House basks in the afterglow of his kiss with Stacy, but Wilson tells him to keep a level head about things. House must dig through the life and lies of a busy housewife (Julie Warner)to find the true reason why she is showing signs of physical and mental degeneration.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#HughLaurie #doctors</t>
  </si>
  <si>
    <t>House and his team discover a busy housewife who has uncontrollable muscle jerks and psychotic breaks has been lying about her use of prescription drugs whilst looking after her daughter.
Season 2 Episode 11 "Need to Know" 
Cameron worries about the potential results of her HIV test and House basks in the afterglow of his kiss with Stacy, but Wilson tells him to keep a level head about things. House must dig through the life and lies of a busy housewife (Julie Warner) to find the true reason why she is showing signs of physical and mental degeneration.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#HughLaurie #doctors</t>
  </si>
  <si>
    <t>Amber's apparition helps House come closer to a diagnosis.
From Season 5 Episode 22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</si>
  <si>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A patient who has a condition called genetic mosaicism or both male and female DNA is finally told by the Boy's parents with pressure from Thirteen.
Season 5 Episode 16 "The Softer Side"
The team encounters a teenage boy (Dominic Scott Kay) who collapsed from severe pelvic pain after playing basketball. The boy was born with a condition called genetic mosaicism (46, XX/XY), or both male and female DNA, and the boy's parents inform House and the team that the boy is unaware of his condition. They chose a gender for him when he was born and raised him accordingly. However, when his condition worsens and his life is threatened, the parents wonder whether they made the right decision. Meanwhile, Cuddy and Wilson suspect something is wrong with House when he starts acting way too nice.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#HughLaurie #doctors</t>
  </si>
  <si>
    <t>When a Journalist falls and hits his head, he wakes up to find his words are clear to him, but nonsense to everyone .   
Season 2 Episode 10 "Failure to Communicate"
While House and Stacy are in Baltimore, a famed journalist (Michael O'Keefe) collapses in his magazine company's office. While he acts nonchalantly after getting up, it becomes clear from his word-salad-inflected speech that he is suffering from aphasia.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#HughLaurie #doctors</t>
  </si>
  <si>
    <t>House has to let Thirteen go as she wants to leave and travel the world with her new girlfriend. 
Season 8 Episode 3
When a man (Wentworth Miller) collapses after making a million dollar donation, Dr. Park believes his extreme altruism may indicate a neurological disorder, while House sees a way to fund the rebuilding of his old team back together. Meanwhile, Dr. Adams volunteers her services to the department while looking for a new career, and Thirteen (Olivia Wilde) returns to House only to say goodbye again.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</si>
  <si>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Description: Foreman has an African American patient with high blood pressure. Foreman wants to give him hypertension medicine that is targeted to his race, but the patient refuses, believing that the establishment gives African Americans sub-standard medicine. Foreman gives him a prescription for the proper drug anyway.
Later, the patient goes to see House, saying he didn't take Foreman's prescription. House wants to give him the same drug, but the patient insists on the same medicine white people get. House finally agrees to give him the same medicine Republicans get.
Source: http://house.wikia.com/wiki/Humpty_Dumpty
I don't have the rights to this clip so here's how you find out more about House M.D. (and how to buy it):
House M.D. on IMDB: http://www.imdb.com/title/tt0412142/
Buy Complete Series on Amazon: http://www.amazon.com/House-M-D-The-Complete-Series/dp/B008P9M614</t>
  </si>
  <si>
    <t>House is dead.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</si>
  <si>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House tries to find himself with the help of his new therapist!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</si>
  <si>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House finds he has some competition in his attempts to confess his feelings for Cuddy.
Season 6 Episode 7 "Teamwork"
After House's medical license is reinstated, he reclaims his role as Head of Diagnostics in time to treat Hank Hardwick (Troy Garity), an adult film star admitted to Princeton-Plainsboro for pulsating eye pain. Meanwhile, Cuddy is reminded that Princeton-Plainsboro is not conducive to healthy personal relationships. At the end of the episode, Cameron leaves the team and Chase.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</si>
  <si>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Cuddy goes for a check up and finds out she's got cancer.
Season 7 Episode 15 
When Cuddy is admitted to the hospital with what may be life-threatening symptoms, House is confronted with the fact that he is not the supportive boyfriend Cuddy needs him to be, and her surreal dreams (including a scene choreographed by Mia Michaels) may be trying to tell her something about her relationship with House. Meanwhile, the team treats a student (Brett DelBuono) whose emotional scars run deeper than his physical ones, and Taub must decide if the student is a threat to others, or a kid struggling to find his way.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</si>
  <si>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House harasses Wilson for dating his ex-student, especially as she is known to be conniving and unlike the women he would usually go for.
Season 4 Episode 12 "Don't Ever Change"
House and the team encounters a woman (Laura Silverman) admitted to Princeton-Plainsboro after she collapses at her wedding. Her test results come up negative for a variety of common diseases, which leads the team to suspect foul play, but when they discover the woman is a former music producer living in the fast lane until she began to practice Hasidic Judaism, House insists people do not change, and her seemingly rash decision may be a symptom of the underlying condition.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</si>
  <si>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House is trying to get Cuddy's daughter into a good pre-school.
Season 7 Episode 10 "Carrot Or Stick"
A drill sergeant at a camp for troubled kids collapses with severe back pain, and House and the team must find a connection when one of his recruits (Tyler James Williams) falls ill with the same symptoms. Meanwhile, Chase must track down whoever is pranking him through a social networking site, and House tries to help Rachel get into a prestigious preschool.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</si>
  <si>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An artist decides to secretly film her entire hospital visit in order to make her diagnosis a new line of work for herself.
Season 7 Episode 23 "Moving On'
The team treats a seriously ill performance artist (Shohreh Aghdashloo) who deliberately induced additional symptoms in herself with the aim of turning the diagnostics department into her new masterpiece, as House must decide which of her symptoms are real, and which are self-inflicted. As the case progresses, House vows to make changes in his life, but remains rooted in old habits. After the case is over, House, finally, deals poorly with his anger over the breakup and lashes out by driving through Cuddy's dining room and escaping to a beach.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</si>
  <si>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When a man arrives at the clinic glowing orange, House uses his power of deduction to diagnose his ailment.
Season 1 Episode 1 - Pilot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</si>
  <si>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When House decides to talk to his therapist about an amnesia patient we begin to uncover an underlying problem with House. 
Season 6 Episode 20 " Baggage"
House tells Dr. Nolan about the case of a woman (Zoe McLellan) suffering from both amnesia and another mystery condition. But Dr. Nolan believes that something else is troubling House — including the fact that Wilson is kicking him out of their home.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</si>
  <si>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House is known for sending his team to break into patients' homes, here are some of their best moments!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</si>
  <si>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House hassles Thirteen and Taub to get back on the team in his own subtle yet effective ways.
Season 6 Episode 8 "Ignorance Is Bliss"
On the eve of Thanksgiving, House and the team take on the case of James Sidas (Esteban Powell), an exceptionally brilliant physicist and author who traded his successful career for a job as a courier. For the ailing patient, intelligence is a miserable burden that has prompted depression and addiction, and this, coupled with myriad strange symptoms, nearly stumps the team. Meanwhile the doctors at Princeton-Plainsboro wrestle with strained personal relationships.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</si>
  <si>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Wilson is lying to House but he's covering himself too well, even involving Taub in his elaborate lie.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#HughLaurie #doctors</t>
  </si>
  <si>
    <t>this video is a compilation of some of House's clinic hours where he mocks patient after patient</t>
  </si>
  <si>
    <t>House suggests a simple test to try and help a man live a normal life again, Cuddy is hesitant to try it at first but eventually gives in, saving the patient.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</si>
  <si>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It seems that Debbie the cat only pays a visit to people if they are about to die and does so with alarming accuracy. This later sparks House's Curiosity in Kutner's superstitious beliefs and does whatever he can to spook him out.
Season 5 Episode 18 "Here Kitty"
Nursing-home worker Morgan (Judy Greer) fakes illness to get House's attention after the home's pet cat, Debbie, sleeps next to her. It seems that Debbie only pays a visit to people if they are about to die and does so with alarming accuracy. While House dismisses Morgan as a nut job, he is intrigued by her theory on the kiss-of-death cat, and sets out to disprove it. When Morgan falls seriously ill, he and the team are forced to get to the bottom of both mysteries. Meanwhile, Taub struggles with his finances and reconnects with an old high school friend at the clinic whose business successes present Taub with an entrepreneurial opportunity he had not previously considered.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#HughLaurie #doctors</t>
  </si>
  <si>
    <t>House and a small bit of flirting with a Patients mother.
Season 3 Episode 10  'Merry Little Christmas'
It is Christmas at Princeton-Plainsboro and Wilson has a present for House: he and Detective Tritter have struck a deal and House has three days to accept it. Cuddy receives a patient (Kacie Borrowman)[32] afflicted with dwarfism, who has a variety of symptoms and is recovering from a recently collapsed lung. Cuddy is eventually forced to make a difficult and potentially life-threatening choice between her patient and House's well-being.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</si>
  <si>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When House's cane breaks he and Wilson hunt for a new one. 
Season 3 Episode 21 "Family"
A 14-year-old leukemia patient's (Jascha Washington) only hope of survival is a bone marrow transplant from his younger brother (Dabier),[53] but when he gets sick, the team must race against time to save both siblings. Meanwhile, Foreman must deal with the consequences of the previous case.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</si>
  <si>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Thirteen and Wilson are stuck in the cafeteria during a hospital lockdown and all attempts to beat the boredom come to a game of Truth or Dare.
Season 6 Episode 16 "Lockdown"
When the hospital is sent into lockdown mode due to a missing infant, all of the doctors must remain where they are, leaving Foreman and Taub in the file room, Wilson and Thirteen in the cafeteria playing truth or dare, House in a room with a patient (David Strathairn), and Chase with his ex-wife, Cameron, as Cuddy tries to help police locate the infant.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</si>
  <si>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House can't help but crash an old colleague's talk at the hospital.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</si>
  <si>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House deals with his patients.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</si>
  <si>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House finds the right diagnosis but has to convince his patient to take growth hormone.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</si>
  <si>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For Christmas, House gives his team the gift of insecurity.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</si>
  <si>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An overly generous tech company CEO offers House a Million dollar after a 2 minute conversation. surly he's crazy or is there something deeper to this. 
Season 8 Episode 3 "Charity Case"
When a man (Wentworth Miller) collapses after making a million dollar donation, Dr. Park believes his extreme altruism may indicate a neurological disorder, while House sees a way to fund the rebuilding of his old team back together. Meanwhile, Dr. Adams volunteers her services to the department while looking for a new career, and Thirteen (Olivia Wilde) returns to House only to say goodbye again.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</si>
  <si>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A girl comes to the clinic with symptoms, House deducts that she's pregnant and cheated on her virgin fiancé, rather than letting them split up he tells them a little white lie.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</si>
  <si>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A young man comes to the hospital claiming he talks with god, House battles him in the ultimate game of good vs. evil.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</si>
  <si>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Some of the best clinic duty moments from House M.D.
Watch House on Google Play: http://bit.ly/2tu3kHh &amp; iTunes http://apple.co/2tCSJOu
Subscribe: http://bit.ly/2goT95b
This is the official YouTube channel for House M.D. Watch all of the official clips from the series, the funniest and saddest moments, and follow all of the doctor's most curious cases.
#HouseMD #IsItLupus? #Doctors
#HouseMD #HughLaurie #doctors</t>
  </si>
  <si>
    <t>Last week on the show we got a group of real doctors together to do a public service announcement urging parents to vaccinate their kids. While a lot of people enjoyed it - it also made a small group of people unbelievably angry. Jimmy believes strongly in vaccination - but in the interest of fairness, we gave our community activist team Jack and Becky some air time to express their anti-vaccination views. 
Watch the Original: https://www.youtube.com/watch?v=QgpfNScEd3M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Jimmy Kimmel's Update on the Anti-Vaccination Discussion
http://youtu.be/i2mdwmpLYLY</t>
  </si>
  <si>
    <t>We recently swore in a new President. Many people were on hand to witness the inauguration and one of those people was Donald Trump superfan and friend of the show Jake Byrd.
Jimmy Kimmel Also Takes an Oath https://youtu.be/vDamFf3uOHA
SUBSCRIBE to get the latest #KIMMEL: http://bit.ly/JKLSubscribe
Watch the latest Halloween Candy Prank: http://bit.ly/KimmelHalloweenCandy
Watch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Jake Byrd at Trump Inauguration
https://youtu.be/fpaES0VnXaA</t>
  </si>
  <si>
    <t>People are very quick to tweet unflattering things, but it’s important to remember that everyone has feelings. From time to time, we ask famous people to read some of the not-so-nice things that are tweeted about them. This is our 8th edition of Mean Tweets featuring Gwyneth Paltrow, Lena Dunham, Gerard Butler, Ty Burrell, Bob Newhart, Britney Spears, Geena Davis, Chris Pratt, Chloe Grace Moretz, Scott Foley, Michael Chiklis, Ted Danson, John Stamos, Lisa Kudrow and Adam Sandler. #MeanTweets
SUBSCRIBE to get the latest #KIMMEL: http://bit.ly/JKLSubscribe
Watch the latest Halloween Candy Prank: http://bit.ly/KimmelHalloweenCandy
Watch the latest Mean Tweets: http://bit.ly/MeanTweets8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 nominated "Jimmy Kimmel Live," ABC's late-night talk show.
"Jimmy Kimmel Live" is well known for its huge viral video successes with 1.5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twelfth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Celebrities Read Mean Tweets #8
http://youtu.be/LABGimhsEys</t>
  </si>
  <si>
    <t>Kylie Jenner’s big lips gave rise to a trend in social media called “The Kylie Jenner Challenge” for which girls tried to replicate Kylie’s lips by sucking their lips into a bottle or a glass. Kylie told them to stop,  and finally admitted that her lips were in fact not natural. Now that she has admitted she wasn’t telling the truth, we don’t know what to believe.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Kylie Jenner Lied About Her Lips
https://youtu.be/gCYR7BWYhCU</t>
  </si>
  <si>
    <t>Neil Patrick Harris gets a visit from Jimmy right after hosting the Oscars.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Jimmy Kimmel Puts Neil Patrick Harris on the Spot After the Oscars
http://youtu.be/MQPx6WUNuNo</t>
  </si>
  <si>
    <t>We pitted a young and not so young person against each other to see how much each knows about the others era. #GenerationGap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Generation Gap with Cousin Sal
http://youtu.be/H8xCV3bxHyE</t>
  </si>
  <si>
    <t>President Obama just unveiled a number of proposals to crack down on hackers. It's great that the government is working on this but we need to do a better job of protecting ourselves. So we sent a camera out onto Hollywood Boulevard to help people by asking them to tell us their password.  
SUBSCRIBE to get the latest #KIMMEL: http://bit.ly/JKLSubscribe
Watch the latest Halloween Candy Prank: http://bit.ly/KimmelHalloweenCandy
Watch the latest Mean Tweets: http://bit.ly/KimmelMeanTweets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 nominated "Jimmy Kimmel Live," ABC's late-night talk show.
"Jimmy Kimmel Live" is well known for its huge viral video successes with 1.5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twelfth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What is Your Password?
http://youtu.be/opRMrEfAIiI</t>
  </si>
  <si>
    <t>Here at the show we’re known for bleeping and blurring things unnecessarily - but for once, the bleeping is necessary. If you are faint of heart cover your ears because Jennifer Aniston and Lisa Kudrow play America’s most foul-mouthed competition: #CelebrityCurseOff
SUBSCRIBE to get the latest #KIMMEL: http://bit.ly/JKLSubscribe
Watch the latest Halloween Candy Prank: http://bit.ly/KimmelHalloweenCandy
Watch the latest Mean Tweets: http://bit.ly/MeanTweets8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 nominated "Jimmy Kimmel Live," ABC's late-night talk show.
"Jimmy Kimmel Live" is well known for its huge viral video successes with 1.5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twelfth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Jennifer Aniston vs. Lisa Kudrow in Celebrity Curse Off
http://youtu.be/CqJPXVuqs2Y</t>
  </si>
  <si>
    <t>From time to time back home in L.A., we ask pot smokers what they know about a variety of subjects. We thought it might be fun to try it in Austin as well. This is a special South by Southwest edition of “Pot Quiz.”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Pot Quiz - South by Southwest Edition
https://youtu.be/g3XTIYh6WAk</t>
  </si>
  <si>
    <t>Watch the full hilarious timeline of Matt Damon Jimmy Kimmel fight! Here we gathered best Jimmy Kimmel Vs Matt Damon Moments! The full history of Kimmel Damon conflict. Jimmy Kimmel iconic joke sorry Matt Damon first aired on Jimmy Kimmel live more than a decade ago. Is Matt Damon Jimmy Kimmel feud still rolling? Find out who is keeping the score. Discover the full timeline of Jimmy Kimmel Vs Matt Damon story. Check out what Matt Damon prepared for Kimmel in revenge. We gathered the best moments of Jimmy Kimmel Matt Damon Feud from the comedic talk show and Mean Tweets session. Epic moments between Jimmy Kimmel Matt Damon, here in our video!
Subscribe if you're new! → https://goo.gl/Njqhvm
Get more news here: https://news.amomama.com/127240-matt-damon-pays-record-breaking-16745-mi.html
_
⭐OSSA is the best source for entertainment news about the celebrities we love.
⭐Our YouTube channel dishes up celebrity news and gossip on the stars you admire the most. From popular TV hosts to Hollywood golden age actresses, from country music artists and the royal family members to western movies acting legends.
SUBSCRIBE to our channel to watch more amazing videos about celebs!
OSSA on twitter: https://twitter.com/ossa_celebs
OSSA on facebook: https://www.facebook.com/OSSA-937878333055503/</t>
  </si>
  <si>
    <t>Reggie recalls the time he trash talked Michael Jordan and talks about his old rivalry with director Spike Lee.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Reggie Miller Talked Trash to Michael Jordan Once
http://youtu.be/Vkks7EqWnhU</t>
  </si>
  <si>
    <t>A Ferndale woman plans to appeal a decision made during mediation in a custody suit Wednesday after she spent nearly a week in jail for refusing an order to vaccinate her 9-year-old son.</t>
  </si>
  <si>
    <t>SUBSCRIBE to get the latest #KIMMEL: http://bit.ly/JKLSubscribe
Watch the latest Mean Tweets: http://bit.ly/MeanTweets8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 nominated "Jimmy Kimmel Live," ABC's late-night talk show.
"Jimmy Kimmel Live" is well known for its huge viral video successes with 1.5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eleventh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Have You Ever Smoked Pot?
http://www.youtube.com/user/JimmyKimmelLive</t>
  </si>
  <si>
    <t>Gordon explains how he stays in shape and shares the G-rated curse word alternatives he taught his children.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Gordon Ramsay Is Too Fit for a Chef
http://youtu.be/4PY0KzcyVJ8</t>
  </si>
  <si>
    <t>Jimmy got registered as an Uber driver and then took to the streets to give rides and change lives.
SUBSCRIBE to get the latest #KIMMEL: http://bit.ly/JKLSubscribe
Watch the latest Mean Tweets: http://bit.ly/MeanTweets8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 nominated "Jimmy Kimmel Live," ABC's late-night talk show.
"Jimmy Kimmel Live" is well known for its huge viral video successes with 1.5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eleventh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Jimmy Kimmel the Uber Driver
http://youtu.be/CCU8vpSeBtM</t>
  </si>
  <si>
    <t>From time to time, we give celebrities a chance to read some of the mean things people tweet about them. We extended that same offer to our Commander in Chief, who happily agreed. This is an all President Obama edition of #MeanTweets.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Mean Tweets - President Obama Edition
https://youtu.be/RDocnbkHjhI</t>
  </si>
  <si>
    <t>Matt and Jimmy attempt to work out their longstanding feud by visiting a therapist.
SUBSCRIBE to get the latest #KIMMEL: http://bit.ly/JKLSubscribe
Watch the latest Halloween Candy Prank: http://bit.ly/KimmelHalloweenCandy
Watch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Matt Damon and Jimmy Kimmel go to Couples Therapy
https://youtu.be/4nPuZ9chE7s</t>
  </si>
  <si>
    <t>Jimmy takes a moment to talk about climate change and the confusing political argument that has emerged around it. NASA says that 97 percent of climate scientists agree that the warming we are experiencing is very likely due to human activity - but some politicians still want us to believe it’s all a hoax. So we enlisted the help of real climate scientists to clear some things up for us.
Deleted Scene from "Batman v Superman” Starring Jimmy Kimmel - https://www.youtube.com/watch?v=0Y8iRvQdSGA
SUBSCRIBE to get the latest #KIMMEL: http://bit.ly/JKLSubscribe
Watch the latest Halloween Candy Prank: http://bit.ly/KimmelHalloweenCandy
Watch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Jimmy Kimmel and Scientists on Climate Change
https://youtu.be/9UCdFbyL8y0</t>
  </si>
  <si>
    <t>Anti-vaxxers aren't just morons. Some are also Russian trolls.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</si>
  <si>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There are many people who believe that the Earth is flat. They're called 'Flat Earthers,' and  they have conventions and talks and shirts, the whole deal. Jimmy is always interested in this, so we sent our pal Jake Byrd to a Flat Earth Conference in Dallas, Texas to do some unearthing, and flat earthing.
Buy Jimmy’s new children’s book The Serious Goose! All of the money he makes goes to children’s hospitals across the country. 
http://rhcbooks.com/books/592304/the-serious-goose
Tiffany Haddish on Her Bat Mitzvah, Gift from Beyoncé’s Mom &amp; Working at LAX https://youtu.be/1-odMrYCaPw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5.6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seventeenth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Jake Byrd at the Flat Earth Conference
https://youtu.be/gcNKIGAodj8</t>
  </si>
  <si>
    <t>Jimmy asks the President about cooking, driving, daylight saving time and the dentist.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Jimmy Kimmel Asks President Barack Obama About His Daily Life
https://youtu.be/QmPLGt5rd_k</t>
  </si>
  <si>
    <t>Ben sneaks his friend, the "actor" Matt Damon onto our show.
SUBSCRIBE to get the latest #KIMMEL: http://bit.ly/JKLSubscribe
Watch the latest Halloween Candy Prank: http://bit.ly/KimmelHalloweenCandy
Watch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Ben Affleck Sneaks Matt Damon Onto “Jimmy Kimmel Live!"
https://youtu.be/uP4d9YtzkXk</t>
  </si>
  <si>
    <t>Despite the massive evidence, the anti-vaccination movement is gaining strength. Scientists are concerned measles could return even though it was "eliminated" in the U.S. 20 years ago. Read more: https://wapo.st/2NlqFFC. Subscribe to The Washington Post on YouTube: https://wapo.st/2QOdcqK
Follow us:
Twitter: https://twitter.com/washingtonpost
Instagram: https://www.instagram.com/washingtonpost/
Facebook: https://www.facebook.com/washingtonpost/</t>
  </si>
  <si>
    <t>The writer and director of the new film "Irresistible," who has been safely quarantined inside Stephen's desk since March, shares how he feels about the government's response to the pandemic. #StephenAtHome #Irresistible #JonStewart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</si>
  <si>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Doctors of reddit, what are some of your worst experiences with anti-vaxxers mom and parents? top reddit best posts of all time r/askreddit
wacth more funny reddit cringe stories https://www.youtube.com/watch?v=331GOIVO2Xc&amp;list=PLV7oOsXh3LN9DsvOSAlm0_szn8SrQzhsg
All Dank Doodle Memes Episodes (binge watch) ► https://www.youtube.com/playlist?list=PLV7oOsXh3LN9YpHiqY4koTASrwqOdSzZI</t>
  </si>
  <si>
    <t>Political commentator Sally Kohn talks about her initial decision to not vaccinate her child. She wrote about this decision in an op-ed for The Daily Beast.</t>
  </si>
  <si>
    <t>Seth takes a closer look at the president deciding to inhabit an alternate reality where the coronavirus pandemic doesn’t exist, even as the US sets a single-day record for new cases.
Late Night with Seth Meyers is supporting City Harvest to help those in need during the COVID-19 pandemic. City Harvest is New York City’s largest food rescue organization, working to end hunger throughout its communities by rescuing 66 million pounds of food each year and delivering it, free of charge, to hundreds of food pantries, soup kitchens and other community partners across five boroughs. Click the button on the above/below to donate or visit https://www.cityharvest.org/.
Subscribe to Late Night: http://bit.ly/LateNightSeth
Watch Late Night with Seth Meyers Weeknights 12:35/11:35c on NBC.
Get more Late Night with Seth Meyers: http://www.nbc.com/late-night-with-seth-meyers/
LATE NIGHT ON SOCIAL
Follow Late Night on Twitter: https://twitter.com/LateNightSeth
Like Late Night on Facebook: https://www.facebook.com/LateNightSeth
Follow Late Night Instagram: http://instagram.com/LateNightSeth
Late Night on Tumblr: http://latenightseth.tumblr.com/
Late Night with Seth Meyers on YouTube features A-list celebrity guests, memorable comedy, and topical monologue jokes.
GET MORE NBC
Like NBC: http://Facebook.com/NBC
Follow NBC: http://Twitter.com/NBC
NBC Tumblr: http://NBCtv.tumblr.com/
YouTube: http://www.youtube.com/nbc
NBC Instagram: http://instagram.com/nbctv
Trump Pretends Coronavirus Doesn’t Exist: A Closer Look- Late Night with Seth Meyers
https://youtu.be/7_HxdCHqFiU
Late Night with Seth Meyers
http://www.youtube.com/user/latenightseth</t>
  </si>
  <si>
    <t>The lovely and talented Jon Stewart, whose new move "Irresistible" is out this Friday, has been working on a new nickname for the man who talks so much about draining the swamp. Let's get it trending! #SwampyDon #JonStewart #StephenAtHome #Irresistible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</si>
  <si>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California just banned parents from letting their kids go to school without being vaccinated. But the state is also the heart of the anti-vaccination movement. If vaccines have saved so many lives, why are some people so upset about this rule?
Subscribe for more videos: http://www.youtube.com/channel/UCV3Nm3T-XAgVhKH9jT0ViRg?sub_confirmation=1
Like us on Facebook: https://www.facebook.com/ajplusenglish
Download the AJ+ app at http://www.ajplus.net/
Follow us on Twitter: https://twitter.com/ajplus</t>
  </si>
  <si>
    <t>Over 200 cases of measles have been confirmed in the U.S. in the past few months. About half of them occurred in the Pacific Northwest, leading Washington Gov. Jay Inslee to declare an emergency and the state legislature to propose further restricting, or even eliminating, inoculation exemptions. Nonetheless, opposition to mandatory vaccines remains fierce. Special correspondent Cat Wise reports.
Stream your PBS favorites with the PBS app: https://to.pbs.org/2Jb8twG
Find more from PBS NewsHour at https://www.pbs.org/newshour
Subscribe to our YouTube channel: https://bit.ly/2HfsCD6
Follow us:
Facebook: http://www.pbs.org/newshour
Twitter: http://www.twitter.com/newshour
Instagram: http://www.instagram.com/newshour
Snapchat: @pbsnews
Subscribe:
PBS NewsHour podcasts: https://www.pbs.org/newshour/podcasts
Newsletters: https://www.pbs.org/newshour/subscribe</t>
  </si>
  <si>
    <t>A toddler has tested positive for measles, confirmed by Texas Children's Hospital, where the boy is being treated.
In addition, a nurse at the hospital's West Campus is being investigated for posting about the little boy's condition on an anti-vaccine Facebook page.
The City of Houston's Health Department maintains this is a suspected case of the illness, and further tests will be needed to confirm it. The last time the health department investigated a confirmed case of measles was in 2013.
more on this story: https://abc13.com/4070225/</t>
  </si>
  <si>
    <t>A measles outbreak that's sickened more than 30 people has led the state of Washington to declare a health emergency. Dr. Anthony Fauci, director of the National Institute of Allergy and Infectious Disease, joined CBSN AM to talk about the outbreak and the risks of not getting children vaccinated.</t>
  </si>
  <si>
    <t>In 1997, Scottish scientists revealed they had cloned a sheep and named her Dolly, sending waves of future shock around the world that continue to shape frontiers of science today.
Subscribe to the Times Video newsletter for free and get a handpicked selection of the best videos from The New York Times every week: http://bit.ly/timesvideonewsletter
Subscribe on YouTube: http://bit.ly/U8Ys7n
Watch more videos at: http://nytimes.com/video
---------------------------------------------------------------
Want more from The New York Times?
Twitter: https://twitter.com/nytvideo
Facebook: https://www.facebook.com/nytimes
Google+: https://plus.google.com/+nytimes/
Whether it's reporting on conflicts abroad and political divisions at home, or covering the latest style trends and scientific developments, New York Times video journalists provide a revealing and unforgettable view of the world. It's all the news that's fit to watch. On YouTube.
The Story of Dolly the Cloned Sheep | Retro Report | The New York Times
http://www.youtube.com/user/TheNewYorkTimes</t>
  </si>
  <si>
    <t>Subscribe now for more! http://bit.ly/1JM41yF
As the number of people receiving MMR vaccinations has dropped for the fourth year despite the number of cases trebling in 2018. Health Secretary Matt Hancock has said that he wouldn't rule out the option to ban children from school if they are unvaccinated. But is it fair on a child to miss out on education if their parents don't want them to have the vaccine? To discuss the topic we're joined by two mothers - broadcast journalist Lottie Daley who is a strong believer in not vaccinating your child, alongside writer and journalist Stephanie Nimmo who was left completely deaf in her right ear after developing measles from not being vaccinated.
Broadcast on: 29/04/19
Like, follow and subscribe to This Morning!
Website: http://bit.ly/1MsreVq
YouTube: http://bit.ly/1BxNiLl
Facebook: http://on.fb.me/1FbXnjU
Twitter: http://bit.ly/1Bs1eI1
This Morning - every weekday on ITV and STV from 10:30am.
Join Holly Willoughby and Phillip Schofield, Ruth Langsford and Eamonn Holmes as we meet the people behind the stories that matter, chat to the hottest celebs and cook up a storm with your favourite chefs!
Dr Zoe and Dr Ranj answer all your health questions, stay stylish with Gok Wan's fabulous fashion, be beautiful with Bryony Blake's top make-up tips, and save money with Martin Lewis.
http://www.itv.com
http://www.stv.tv</t>
  </si>
  <si>
    <t>The Anti-vaxx movement is bringing long eliminated diseases back into fashion, but the teens are way ahead of the trend. Ethan Lindenberger takes Sam back to school.
Watch Full Frontal with Samantha Bee all new Wednesdays at 10:30/ 9:30c on TBS!
Subscribe: https://www.youtube.com/fullfrontalsamb?sub_confirmation=1
Follow Full Frontal with Samantha Bee:
Twitter: https://twitter.com/FullFrontalSamB
Facebook: https://www.facebook.com/fullfrontalsamb/
Instagram: https://www.instagram.com/fullfrontalsamb/
Medium: https://medium.com/@fullfrontalsamb/
SamBee.com
#SamanthaBee
#FullFrontalSamB</t>
  </si>
  <si>
    <t>Brooke Balck, who takes immunosuppressants, cannot have vaccines, making her especially vulnerable to the spread of infectious diseases like measles. Her mother took the fight for her daughter's health to the California legislature.  On September 9, 2019, Governor Gavin Newsom signed a bill tightening medical exemptions for children attending schools.  California’s bill, SB 276, creates a standardized medical exemption request form to be approved by the state’s public health officer. It also authorizes the health department to review requests for medical exemptions at schools where less than 95 percent of students are vaccinated, at schools that do not report their vaccination rates and from doctors who have written five or more waivers in a given year. Read more: https://wapo.st/2Ni4EYV. Subscribe to The Washington Post on YouTube: https://wapo.st/2QOdcqK
Follow us:
Twitter: https://twitter.com/washingtonpost
Instagram: https://www.instagram.com/washingtonpost/
Facebook: https://www.facebook.com/washingtonpost/</t>
  </si>
  <si>
    <t>This is one of my favourite videos so I wanted it to be on my main channel, enjoy!
_xD83D__xDD34_ SUBSCRIBE TO CATCH FUTURE VIDEOS _xD83D__xDD34_
_xD83D__xDD35_ SUPPORT THE SHOW ON PATREON  _xD83D__xDD35_ https://www.patreon.com/LewSpears
_xD83C__xDFA4_ WATCH MY STAND UP COMEDY SPECIAL _xD83C__xDFA4_
Stream/Download: https://lewspears.com/watch
_xD83D__xDCA5_SPEARHEAD SUNDAYS PODCAST _xD83D__xDCA5_https://www.youtube.com/channel/UC3K33ddRqHhTORtl_Fc29tQ
_xD83C__xDF03_FIND OUT WHEN IM COMING TO YOUR CITY _xD83C__xDF03_
https://www.lewspears.com/giglist
_xD83D__xDC55_SIGNED POSTERS AND SHIRTS _xD83D__xDC55_
https://lewspears.com/merch
FOLLOW MY SOCIALS
INSTAGRAM ➤  https://www.instagram.com/lewspears/
TWITTER ➤  https://twitter.com/LewSpears
SNAPCHAT ➤  NebzChat
FACEBOOK ➤  https://www.facebook.com/Nebulor/
Lewis Spears is an Australian stand up comedian with a YouTube channel.
Patreon Producers: Matt Savva, Ruffian Shark,
Andres Martinez, Andrew White and Bitcoin Babe!
Submit all complaints to somewhere where I can screenshot them to post online and laugh.
Thanks for watching!</t>
  </si>
  <si>
    <t>Abdinasir Fidow, a Somali father of seven living in Minneapolis, had heard of the measles outbreak spreading in his state, the worst flare-up in Minnesota in three decades. But even fear of the potentially deadly virus wasn’t enough to motivate Fidow to inoculate five of his children with the measles, mumps, and rubella (MMR) vaccine. “I’m not willing to do that, because I’m scared for the MMR,” Fidow said. “I don’t want to lose another kid again.”
Fidow’s eldest son, Abdullahi, 14, did get the vaccine, over a decade ago. A few months later, Fidow said, Abdullahi was diagnosed with autism and severe intellectual disabilities. Despite all scientific evidence to the contrary, Fidow believes that his son’s diagnosis is directly linked to the measles, mumps, and rubella vaccine — a belief shared by Somali parents he knows.
For many in the Somali community, autism is an American-born condition. Those in the neighborhoods around the “Somali Mall” in Minneapolis, a city that houses the largest Somali population in the country, hadn’t even heard the word “autism” before coming to the U.S. from Somalia, where the measles vaccine is also less common. Yet for almost a decade, fewer and fewer Somali children in Minnesota are inoculated because of their parents’ fears, propelled by bad science and anti-vaxxer efforts, of autism diagnoses. Now, Minnesota has seen more measles cases just since April than the entire U.S. in all of 2016. And 84 percent of those cases have occurred in the Somali community, mostly in children.
Read the full story here: http://bit.ly/2toS9Dq
This video segment originally aired June 20, 2017, on VICE News Tonight on HBO.
Subscribe to VICE News here: http://bit.ly/Subscribe-to-VICE-News
Check out VICE News for more: http://vicenews.com
Follow VICE News here:
Facebook: https://www.facebook.com/vicenews
Twitter: https://twitter.com/vicenews
Tumblr: http://vicenews.tumblr.com/
Instagram: http://instagram.com/vicenews
More videos from the VICE network: https://www.fb.com/vicevideo</t>
  </si>
  <si>
    <t>Ethan Lindenberger, an 18-year-old from Ohio whose mother is an anti-vaccination advocate, told a Senate committee on Tuesday that he defied his mother and got vaccinated when he became legal age after doing his own research on the topic.
The Senate Committee on Health, Education, Labor and Pensions met on Tuesday to highlight the factors behind outbreaks of preventable diseases, including the measles outbreak that has gripped areas in Washington State and British Columbia.
For more info, please go to https://globalnews.ca/tag/anti-vaxxers/
Subscribe to Global News Channel HERE: http://bit.ly/20fcXDc
Like Global News on Facebook HERE: http://bit.ly/255GMJQ
Follow Global News on Twitter HERE: http://bit.ly/1Toz8mt
Follow Global News on Instagram HERE: https://bit.ly/2QZaZIB
#EthanLindenberger #Vaccines #Vaccinations #GlobalNews #antivaxx #AntiVaxxer</t>
  </si>
  <si>
    <t>Anti-vaxxers descended on this state Senate in opposition to a bill that would make it harder to avoid vaccinations.
» Subscribe to NowThis: http://go.nowth.is/News_Subscribe
» Sign up for our newsletter KnowThis to get the biggest stories of the day delivered straight to your inbox: https://go.nowth.is/KnowThis
In US news and current events today, anti-vaxxers descended on the New Jersey Senate to try to stop a bill that makes it harder to avoid vaccinations. 
Under NJ A3818, parents could apply for a vaccine exemption but only with a letter signed by a doctor. Stating why the vaccination is ‘medically contraindicated.’ 
The bill also states that exemptions will not be considered for ‘a general philosophical or moral objection.’
Currently the state, New Jersey. If you go to your school nurse and tell them that because their religion, you don't want vaccines, that's a blank check for no vaccines.
Exemptions would also not be considered if someone has a ‘political, sociological or moral’ objection or ‘concerns related to the safety or efficacy of the vaccination.’
Under the bill, students could be excluded from school ‘In the event of the occurence of a communicable disease.’
Watch the full story on anti-vaxxers protesting the vaccination bill here. 
For more U.S. and world news, subscribe to NowThis News. 
#AntiVaxxer #News #Vaccinations #NowThis #NowThisNews
Connect with NowThis
» Like us on Facebook: http://go.nowth.is/News_Facebook
» Tweet us on Twitter: http://go.nowth.is/News_Twitter
» Follow us on Instagram: http://go.nowth.is/News_Instagram
» Find us on Snapchat Discover: http://go.nowth.is/News_Snapchat
NowThis is your premier news outlet providing you with all the videos you need to stay up to date on all the latest in trending news. From entertainment to politics, to viral videos and breaking news stories, we’re delivering all you need to know straight to your social feeds. We live where you live.
http://www.youtube.com/nowthisnews
@nowthisnews</t>
  </si>
  <si>
    <t>Almost all US states allow parents to opt their children out of vaccinations.
This video is presented by Skillshare. Click here to get your first two months of Skillshare for free: https://skl.sh/vox2
Join the Video Lab! http://bit.ly/video-lab
Measles is back in the United States, and to understand why, you have to understand where.
When anti-vaccination misinformation leads to a drop in the number of children immunized, a community can lose its “herd immunity.” This happens most often in small, tight-knit communities, in which measles can spread like wildfire. 75% of all recent measles cases have happened in those types of communities.
In order for everyone to be protected from measles, all people who can get vaccinated need to. But most states allow parents to opt out of vaccinating their children for any philosophical reason - and that’s allowing measles to make a comeback.
You can read more about measles outbreaks among close communities here: 
https://www.vox.com/2019/3/19/18263688/measles-outbreak-2019-clark-county
And learn more about recent measles outbreaks from the CDC: https://www.cdc.gov/measles/cases-outbreaks.html 
Vox.com is a news website that helps you cut through the noise and understand what's really driving the events in the headlines. Check out http://www.vox.com.
Watch our full video catalog: http://goo.gl/IZONyE
Follow Vox on Facebook: http://goo.gl/U2g06o
Or Twitter: http://goo.gl/XFrZ5H</t>
  </si>
  <si>
    <t>The take-up of the MMR vaccine has fallen for the fourth year in a row.
Subscribe to our channel here: https://goo.gl/31Q53F
Experts say the impact of the fall in vaccinations for measles, mumps and rubella is already playing out - 876 cases of measles confirmed in England this year, three times the number for the whole of last year. Here we explore why we have this curious, dangerous problem with scientific fact in 2018?
Newsnight is the BBC's flagship news and current affairs TV programme - with analysis, debate, exclusives, and robust interviews. Weekdays 22:30 on BBC 2.
Website: https://www.bbc.co.uk/newsnight
Twitter: https://twitter.com/BBCNewsnight
Facebook: https://www.facebook.com/bbcnewsnight</t>
  </si>
  <si>
    <t>Why are these celebs against vaccination? Watch the video to find out what Hollywood stars are anti-vaccine.
00:43 - In 2015 Jenna Elfman spoke up on Facebook about vaccine controversies. Watch our list to find out the reasons. 
02:08 - Jenny McCarthy believed that the vaccination her son received at an early age caused the disorder. Did he really get vaccine injury? 
04:14 - Jim Carrey is also among Anti-vaccine celebrities. What caused it? 
05:08 - Robert De Niro is sure vaccines do no good for our health. Find out what movie made him think so. 
05:42 - Here’s what Cindy Crawford has to say about vaccination. 
05:55 - Alicia Silverstone does not oppose the government regulations. It just looks like vaccination does not fit into her vegan and well-being philosophy.
06:37 - Charlie Sheen doesn’t like vaccination so much, that he attacked a doctor? Watch what really happened in our video! 
07:01 - Before Donald Trump became the president, he joined the camp of anti-vaxxers back in 2014. Find out whether President Trump has changed vaccination policy in America. What Trump really things about vaccination.
07:28 - Danny Masterson was also very vocal about anti-vaccination and even made a petition. Get more facts here. 
08:12 - Is Mayim Bialik against vaccination? Or did the Big Bang Theory star change her mind? Find out what Big Bang Theory actress really things about vaccination and why!
Subscribe if you're new! → https://goo.gl/Njqhvm 
_
⭐OSSA is the best source for entertainment news about the celebrities we love.
⭐Our YouTube channel dishes up celebrity news and gossip on the stars you admire the most. From popular TV hosts to Hollywood golden age actresses, from country music artists and the royal family members to western movies acting legends.
SUBSCRIBE to our channel to watch more amazing videos about celebs!
OSSA on twitter: https://twitter.com/ossa_celebs
OSSA on facebook: https://www.facebook.com/OSSA-937878333055503/</t>
  </si>
  <si>
    <t>Subscribe to BBC News www.youtube.com/bbcnews
The US has been measles-free for 15 years but there has been a new outbreak, which started at Disneyland in California. The theme park has been praised for its handling of the outbreak, which may have been triggered by an overseas visitor. The spread of cases across seven states and Mexico is being blamed on parents who have chosen not to give their children the MMR vaccine, due to concerns about potential side effects. No authoritative research has been published to back up claims that the vaccine may be linked to autism and bowel disease.
Alistair Leithead reports from Orange County in California.
Subscribe to BBC News HERE http://bit.ly/1rbfUog
Check out our website: http://www.bbc.com/news 
Facebook: http://www.facebook.com/bbcworldnews 
Twitter: http://www.twitter.com/bbcworld
Instagram: http://instagram.com/bbcnews</t>
  </si>
  <si>
    <t>Before Ohio teen Ethan Lindenberger testifies before the Senate on vaccinations, MSNBC Medical Correspondent Dr. John Torres analyzes the anti-vaccination debate that has gained steam in the United States.
» Subscribe to MSNBC: http://on.msnbc.com/SubscribeTomsnbc
MSNBC delivers breaking news and in-depth analysis of tanti-vaccination debatehe headlines, as well as informed perspectives. Find video clips and segments from The Rachel Maddow Show, Morning Joe, Hardball, All In, Last Word, 11th Hour, and more.
Connect with MSNBC Online
Visit msnbc.com: http://on.msnbc.com/Readmsnbc
Subscribe to MSNBC Newsletter: MSNBC.com/NewslettersYouTube
Find MSNBC on Facebook: http://on.msnbc.com/Likemsnbc
Follow MSNBC on Twitter: http://on.msnbc.com/Followmsnbc
Follow MSNBC on Instagram: http://on.msnbc.com/Instamsnbc
Analyzing The Vaccine Debate In The U.S. | MSNBC</t>
  </si>
  <si>
    <t>Hundreds of you have requested that I watch and respond to the Plandemic movie ft. Dr. Judy Mikovits, recently published on social media. I decided to check it out and respond point by point to the biggest claims the conspiracy theory movie makes. Please be respectful in the comments as the goal is to have a fruitful discussion. 
0:30 Facts vs. Opinion
0:58 Fauci Coverup / HIV Vaccine
3:19 Bayh-Dole Act
6:13 Bill Gates
7:23 Profiting from mandatory vaccines
7:58 Anti-Vaccine
8:38 COVID-19 made in a lab
9:47 US funding Wuhan Labs
10:33 Death Certificates
13:01 Hospitals Profiting From COVID-19 Diagnosis
15:53 Ventilators
17:08 Italy / Flu Shots
18:00 Vaccines + Dogs
1908: Hydroxychloroquine
23:33 Autism medication
24:10 Natural Remedies / Pharmaceutical Profits
25:25 Government infecting citizens / reinfections
26:33 Flu vaccines increase COVID-19 risk
27:57 SIP weakens immune systems
31:04 Masks “active” the virus
31:29 Dissenting voices silenced
33:03 Freedoms removed
33:56 Money over ethics
35:13 Doctors with bold claims don’t get funded
35:59 Educating other doctors
36:44 A message to all medical professionals
Natural Evolution: https://onlinelibrary.wiley.com/doi/10.1002/jmv.25688
BMJ: https://www.ncbi.nlm.nih.gov/pmc/articles/PMC545012/
Coronavirus playlist: https://www.youtube.com/playlist?list=PLJRbJuI_csVDDJXtC8wm5UcVKV_CNP84j
Best Sources
https://www.cdc.gov/coronavirus/index.html
https://www.who.int/emergencies/diseases/novel-coronavirus-2019
If you have an idea of something you want me to cover in-depth, please let me know because I take your requests seriously. We will be back with more Medical Drama Review/Responding to comments Series in a couple of weeks, so please submit more names of shows/questions you'd like for me to watch/answer. I love you all! - Doctor Mike Varshavski
Please SUBSCRIBE for new videos every Sunday 10am EST &amp; Wednesday 5pm ▶ https://goo.gl/87kYq6 
Let's connect:
IG https://goo.gl/41ZS7w - Doctor Mike
Reddit https://www.reddit.com/r/DoctorMike
Twitter https://goo.gl/kzmGs5 - Real Doctor Mike
Facebook https://goo.gl/QH4nJS - Real Doctor Mike
Contact Email: DoctorMikeMedia@Gmail.com
P.O. Box (send me stuffs):
340 W 42nd St # 2695 
NY, NY 10108
** The information in this video is not intended nor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
#coronavirus #COVID19 #plandemic</t>
  </si>
  <si>
    <t>Health officials are alarmed at the growing number of parents who are opting not to vaccinate their children, saying there is a risk that rare diseases could return. Parents like Dotty Hagmier, however, worry the risk of side effects from vaccines is greater than the benefit of taking it. Bill Whitaker reports.</t>
  </si>
  <si>
    <t>A new survey found 21% of millennials think vaccines cause autism. This isn't just wrong, it's dangerous. Vox's Dylan Matthews explains why vaccines are so important in 2 minutes. For more on the survey: http://www.vox.com/2015/1/31/7954725/vaccines-autism-young-adults
Subscribe to our channel! http://www.youtube.com/subscription_center?add_user=voxdotcom 
Vox.com is news website that helps you cut through the noise and understand what's really driving the events in the headlines. Check out http://www.vox.com to get up to speed on everything from Kurdistan to the Kim Kardashian app. 
Check out our full video catalog: youtube.com/voxdotcom/videos
Follow Vox on Twitter: https://twitter.com/voxdotcom
Or on Facebook: https://www.facebook.com/Vox</t>
  </si>
  <si>
    <t>The number of measles cases now tops 100. The outbreak has driven one California doctor to issue a policy directed at parents who refuse to comply with vaccination guidelines for the measles. Carter Evans reports.</t>
  </si>
  <si>
    <t>Thanks to Lynda.com for sponsoring this video! Visit https://www.lynda.com/earth for a 10-day free trial
Thanks also to our Patreon patrons:
- Today I Found Out
- Jeff Straathof
- Mark
- Maarten Bremer
- Duhilio Patiño
- Alberto Bortoni
- Avi Yashchin
- Valentin
- Nicholas Buckendorf
- Antoine Coeur
___________________________________________
Want to learn more about the topic in this week’s video? Here's a keyword to get your googling started: 
herd immunity: immunity that occurs when the vaccination of a portion of a population provides protection for individuals who have not developed immunity
___________________________________________
Credits:
Script Writer: Kate Yoshida (twitter:@KateYoshida)
Script Editor: Emily Elert (twitter:@eelert)
Video Illustrator: Omkar Bhagat (twitter:@TheCuriousEnggr)
Video Director: Emily Elert (twitter:@eelert)
With Contributions From: Alex Reich (twitter:@alexhreich), Henry Reich  (twitter:@minutephysics), Peter Reich and Ever Salazar  (twitter:@eversalazar)
Music by: Nathaniel Schroeder: http://www.soundcloud.com/drschroeder
_________________________________________
Like our videos? 
Subscribe on YouTube: http://goo.gl/EpIDGd
And for exclusive early access to all our videos, sign up with Vessel: https://goo.gl/hgD1iJ
Already subscribed?
Help us keep making MinuteEarth by supporting us on Patreon: https://goo.gl/ZVgLQZ
Also, say hello on: 
Facebook: http://goo.gl/FpAvo6
Twitter: http://goo.gl/Y1aWVC
And find us on itunes:  https://goo.gl/sfwS6n
________________________
References:
Alecca, J. (2015, March 31). Measles vaccinations jump after scare, public dialogue. Seattle Times. http://www.seattletimes.com/seattle-news/health/amid-outbreaks-measles-shots-surge-27-percent-in-state/
Bohlke, K., Davis, R.L., Marcy, S. M., Braun, M. M., DeStefano, F., Black, S.B., Mullooly, J.P., Thompson, R.S. (2003). Risk of Anaphylaxis After Vaccination of Children and Adolescents, Pediatrics, 112, 815-820. http://pediatrics.aappublications.org/content/112/4/815.long
Center for Disease Control (2015, August 17). Vaccines and Immunizations: Possible Side-effects from Vaccines. http://www.cdc.gov/vaccines/vac-gen/side-effects.htm
Chapman University (2014). Social Reality Index. https://www.chapman.edu/wilkinson/_files/new%20research%20centers/babbie%20pics/social-reality-index.pd
Chen, R.T. (1999). Vaccine risks: real, perceived and unknown. Vaccine, 17, S41–S46.
Kimmel, S. R. (2002). Vaccine Adverse Events: Separating Myth from Reality. American Family Physician, 66, 2113–2120. http://www.aafp.org/afp/2002/1201/p2113.html
National Safety Council (2015). Injury Facts. http://www.nsc.org/learn/safety-knowledge/Pages/injury-facts-odds-of-dying.aspx
The University of Michigan C.S. Mott Children's Hospital (2015). National Poll on Children's Health: Safer, with More Benefits: Parents’ Vaccines Views Shifting, Volume 24 Issue 2. http://mottnpch.org/sites/default/files/documents/070615_vaccine_safety.pdf</t>
  </si>
  <si>
    <t>Subscribe to The Doctors: http://bitly.com/SubscribeTheDoctors
LIKE us on Facebook: http://bitly.com/TheDoctorsFacebook
Follow us on Twitter: http://bitly.com/TheDoctorsTwitter
For more, visit: http://thedoctorstv.com
The Doctors debate: As measles make a nationwide comeback, are parents who refuse to vaccinate their children contributing to the problem? Or are the vaccinations more dangerous than the disease itself? Barbara Loe Fisher, co-founder and president of the National Vaccine Information Center, shares the toll a vaccination allegedly took on her son Chris, who immediately after being vaccinated with a DPT shot suffered a convulsion, went into shock and lost consciousness. He was later diagnosed with brain damage and attention-deficit disorder.
This video will show you:
HOW TO discuss child vaccination
HOW TO talk to your doctor
HOW TO ask medical questions</t>
  </si>
  <si>
    <t>Vaccines might be one of the greatest medical accomplishments in history, mitigating deadly diseases such as smallpox, polio, and measles. Then why, in the last two decades, has the anti-vaccine movement gained significant traction? Lou discusses how misinformation and bad “science” can put children all over the world at risk.
SOURCES &amp; FURTHER READING
CDC - Vaccines do not cause autism
https://www.cdc.gov/vaccinesafety/concerns/autism.html
The Autism-Vaccine Myth
https://www.pbs.org/wgbh/nova/article/autism-vaccine-myth/
Wakefield’s study debunked
https://www.ncbi.nlm.nih.gov/pmc/articles/PMC3136032/
Vaccines are not associated with autism
https://www.sciencedirect.com/science/article/pii/S0264410X14006367
Peter Hotez - Vaccines Did Not Cause Rachel's Autism
https://jhupbooks.press.jhu.edu/content/vaccines-did-not-cause-rachels-autism
Rob Brotherton - Suspicious Minds: Why We Believe Conspiracy Theories
https://www.bloomsbury.com/us/suspicious-minds-9781472915641/
Bots spread false vaccine information
https://ajph.aphapublications.org/doi/pdf/10.2105/AJPH.2018.304567
CREDITS
Writer: Louis Foglia
Editor: m.cho
Researcher: Dushyant Naresh
Supervising Producer: Allison Brown
Follow Beme on
Instagram: https://www.instagram.com/bemenews
Twitter: https://twitter.com/bemeapp
Facebook: https://www.facebook.com/officialbeme/</t>
  </si>
  <si>
    <t>The U.S. is currently experiencing the worst whooping cough outbreak in more than half a century, raising some questions: Is it irresponsible not to vaccinate children? Or might vaccines be contributing to this particular outbreak in a roundabout way? Here, two mothers 'debate' the issue.
For the full story and more from the PBS NewsHour's series on whooping cough, visit: www.pbs.org/newshour.</t>
  </si>
  <si>
    <t>In the last century of their rule, four Plantagenet kings are violently deposed and murdered by members of their own family and England is dragged into decades of brutal civil war.
Subscribe: http://bit.ly/BBCDocs
Welcome to the BBC Documentary channel, offering audiences long-form documentaries that deliver a thought provoking and captivating viewing experience inside key moments from history and the lives of fascinating people.
Want to share your views with the team? Join our fan panel: https://tinyurl.com/YouTube-DC-Panel
Due to rights and sales restrictions, content on the channel may not be available in all territories. The availability of certain content may also change over time.
This is a channel from BBC Studios who help fund new BBC programmes. Service information and feedback: http://bbcworldwide.com/vod-feedback--contact-details.aspx</t>
  </si>
  <si>
    <t>In 2014 there were over 600 cases of measles reported in the US – the highest number since 1994. According to the CDC's National Center for Immunization and Respiratory Diseases, most of the people who got measles were unvaccinated.
Why are parents choosing not to vaccinate their kids? We take a look at the problem from a game-theory perspective. 
Check out our new science channel: https://www.youtube.com/channel/UC9uD-W5zQHQuAVT2GdcLCvg
--------------------------------------------------
Follow BI Video on Twitter: http://bit.ly/1oS68Zs
Follow BI Video On Facebook: http://on.fb.me/1bkB8qg
Read more: http://www.businessinsider.com/
--------------------------------------------------
Business Insider is the fastest growing business news site in the US. Our mission: to tell you all you need to know about the big world around you. The BI Video team focuses on technology, strategy and science with an emphasis on unique storytelling and data that appeals to the next generation of leaders – the digital generation.</t>
  </si>
  <si>
    <t>Why do some parents reject vaccines, despite evidence that they've helped generations of children stay healthy? When sociologist Jennifer Reich started interviewing parents about this growing trend, she realized it wasn't as simple as being ignorant or anti-science. In this fascinating talk, she explains why this movement is the symptom of a much bigger problem -- our broken beliefs about parenting &amp; health. Jennifer Reich is Professor of Sociology at the University of Colorado Denver. Her research examines how individuals and families weigh information and strategize their interactions with the state and service providers, particularly as they relate to healthcare and welfare. Over the last decade, she has examined how parents come to reject vaccines for their children, in dialog with physicians, complementary healthcare providers, activists, and researchers. She wrote Calling the Shots: Why Parents Reject Vaccines. She &amp; her husband have three children. This talk was given at a TEDx event using the TED conference format but independently organized by a local community. Learn more at https://www.ted.com/tedx</t>
  </si>
  <si>
    <t>The Tribeca Film Festival now is celebrating its 15th year and founders, actor Robert De Niro and producer Jane Rosenthal mark the occasion with an interview on TODAY. De Niro, who has an autistic child, comments on the decision to pull the anti-vaccination film “Vaxxed” from this year’s lineup, even though he says, “I think the movie is something that people should see,” and he questions statistics on vaccine-preventable diseases.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Google+: http://on.today.com/PlusTODAY
Follow TODAY on Instagram: http://on.today.com/InstaTODAY
Follow TODAY on Pinterest: http://on.today.com/PinTODAY
Robert DeNiro Debates Autism's Link To Vaccines | TODAY</t>
  </si>
  <si>
    <t>Learn the science behind how vaccines trigger an immune response and teach our bodies to recognize dangerous pathogens. 
--
The first ever vaccine was created when Edward Jenner, an English physician and scientist, successfully injected small amounts of a cowpox virus into a young boy to protect him from the related (and deadly) smallpox virus. But how does this seemingly counterintuitive process work? Kelwalin Dhanasarnsombut details the science behind vaccines.
Lesson by Kelwalin Dhanasarnsombut, animation by Cinematic.
Sign up for our newsletter: http://bit.ly/TEDEdNewsletter
Support us on Patreon: http://bit.ly/TEDEdPatreon
Follow us on Facebook: http://bit.ly/TEDEdFacebook
Find us on Twitter: http://bit.ly/TEDEdTwitter
Peep us on Instagram: http://bit.ly/TEDEdInstagram
View full lesson: http://ed.ted.com/lessons/how-do-vaccines-work-kelwalin-dhanasarnsombut</t>
  </si>
  <si>
    <t>An Ohio teen made headlines for defying his parents and receiving his vaccines, but Carl and Jodi Krawitt have long been fighting to protect their son and keep unvaccinated kids out of schools.</t>
  </si>
  <si>
    <t>Ethan Lindenberger, the teen who has anti-vaxxer parents, thoughtfully explained to Congress why he went against his mother's wishes and got vaccinated after his 18th birthday.
» Subscribe to NowThis: http://go.nowth.is/News_Subscribe
18-Year-Old Ethan Lindenberger recently discovered that his parents never got him vaccinated. They are anti vaxxers (anti vaccination) and believed that a vaccine and vaccination might give him autism. Now that he's 18 and well versed in modern medicine knowing that vaccines are safe, Ethan decided to get vaccinated. Vaccine controversies continue, but this young man took his health into his own hands. Ethan spoke to Congress at a hearing on vaccines. He brought up evidence from the CDC and other scientific sources and talked about the debunked link between autism and vaccines. Vaccines do not cause autism.
#Vaccines #Vaccination #AntiVaxxers 
Connect with NowThis
» Like us on Facebook: http://go.nowth.is/News_Facebook
» Tweet us on Twitter: http://go.nowth.is/News_Twitter
» Follow us on Instagram: http://go.nowth.is/News_Instagram
» Find us on Snapchat Discover: http://go.nowth.is/News_Snapchat
NowThis is your premier news outlet providing you with all the videos you need to stay up to date on all the latest in trending news. From entertainment to politics, to viral videos and breaking news stories, we’re delivering all you need to know straight to your social feeds. We live where you live.
http://www.youtube.com/nowthisnews
@nowthisnews</t>
  </si>
  <si>
    <t>Cow pus. It all started with cow pus, nearly 220 years ago. 
For more on vaccines: http://www.vox.com/2015/2/10/8007571/vaccine-myths
Subscribe to our channel! http://goo.gl/0bsAjO
Vox.com is news website that helps you cut through the noise and understand what's really driving the events in the headlines. Check out http://www.vox.com to get up to speed on everything from Kurdistan to the Kim Kardashian app. 
Check out our full video catalog: http://goo.gl/IZONyE
Follow Vox on Twitter: http://goo.gl/XFrZ5H
Or on Facebook: http://goo.gl/U2g06o
Credit: 
Words by: Julia Belluz 
Produced by: Estelle Caswell</t>
  </si>
  <si>
    <t>Measles is trapped inside a test tube at the C.D.C.! Under the guidance of her wise buddy Polio, she sets out on an adventure to go viral and infect Americans. And lucky for her, there are many parents who subscribe to the logical fallacies that deny science and the success of vaccinations. Can she succeed?
Read more: https://nyti.ms/2EROIs2 
Subscribe: http://bit.ly/U8Ys7n
More from The New York Times Video: http://nytimes.com/video
----------
Whether it's reporting on conflicts abroad and political divisions at home, or covering the latest style trends and scientific developments, New York Times video journalists provide a revealing and unforgettable view of the world. It's all the news that's fit to watch.</t>
  </si>
  <si>
    <t>An Ohio student who said he went his entire life without numerous vaccines testified before Congress on the dangers of misinformation and ideas that fuel the anti-vaxxer movement and put many young people at risk.
Ethan Lindenberger notably got vaccinated without his parents' permission once he was old enough, acting against his mother's incorrect belief that vaccines cause autism, brain damage and other ailments.
"My mother is an anti-vaxx advocate [who] believes that vaccines ... do not benefit the health and safety of society, despite the fact such opinions have been debunked numerous times by the scientific community," Lindenberger told a Senate committee on Tuesday.
Stream your PBS favorites with the PBS app: https://to.pbs.org/2Jb8twG
Find more from PBS NewsHour at https://www.pbs.org/newshour
Subscribe to our YouTube channel: https://bit.ly/2HfsCD6
Follow us:
Facebook: http://www.pbs.org/newshour
Twitter: http://www.twitter.com/newshour
Instagram: http://www.instagram.com/newshour
Snapchat: @pbsnews
Subscribe:
PBS NewsHour podcasts: https://www.pbs.org/newshour/podcasts
Newsletters: https://www.pbs.org/newshour/subscribe</t>
  </si>
  <si>
    <t>Russell Howard talks about how conspiracy theories have gone too far from things as ridiculous as the Queen being a cannibal to things a harmful as anti-vaxxers. 
Welcome to the official Russell Howard channel! Be sure to subscribe to watch the very best Russell Howard clips!
Follow the show on Twitter at http://www.twitter.com/howardhour 
Follow Russell on Twitter at http://www.twitter.com/russellhoward 
Become a fan on Facebook at https://www.facebook.com/OfficialRuss...
SUBSCRIBE NOW. Watch new episodes every Thursday at 10pm on Sky1
#RussellHoward #Anti-vaxxers #ConspiracyTheories</t>
  </si>
  <si>
    <t>http://www.pbs.org/specials/depth-vaccines/
Examining the emotionally charged debate over medical risks versus benefits and a parent's right to make choices about her child versus a communities common good. 
(Originally broadcast in April, 2010)
Vaccines have changed the world, largely eradicating a series of terrible diseases, from smallpox to polio to diphtheria, and likely adding decades to most of our life spans. But despite the gains -- and numerous scientific studies indicating vaccine safety -- a growing movement of parents remains fearful of vaccines. And in some American communities, significant numbers of parents have been rejecting vaccines altogether, raising new concerns about the return of vaccine-preventable diseases like measles and whooping cough.
In The Vaccine War (originally broadcast on PBS in April 2010) FRONTLINE lays bare the science of vaccine safety and examines the increasingly bitter debate between the public health establishment and a formidable populist coalition of parents, celebrities, politicians and activists who are armed with the latest social media tools -- including Facebook, YouTube and Twitter -- and are determined to resist pressure from the medical and public health establishments to vaccinate, despite established scientific consensus about vaccine safety.</t>
  </si>
  <si>
    <t>Everybody is talking about Measles – but what does the virus actually do in the body? Is it really so harmful that you need a vaccination? We go deep into the body of an infected person and see what Measles does and how the immune system reacts to it!
Support us on Patreon so we can make more videos (and get cool stuff in return): https://www.patreon.com/Kurzgesagt?ty=h
Steady: https://steadyhq.com/de/kurzgesagt
Merchandise:  https://shop.kurzgesagt.org 
Newsletter: http://eepurl.com/cRUQxz
Facebook: http://bit.ly/1NB6U5O
Twitter: http://bit.ly/2DDeT83
Instagram: http://bit.ly/2DEN7r3
Discord: https://discord.gg/cB7ycdv
The Voice of Kurzgesagt: 
Steve Taylor: http://voice-pool.com/en/english/
You can get the MUSIC from this video here: 
https://soundcloud.com/epicmountain/measles
http://epicmountainmusic.bandcamp.com/track/measles
http://www.epic-mountain.com
Measles Explained — Do You Really Need To Vaccinate?
THANKS A LOT TO OUR LOVELY PATRONS FOR SUPPORTING US:
Andrzej Rejman, Joseph McKnight, Andrew Jagasothy, Stephen Bassett, Raphael Hviding, Sam Elitzer, Eric, Jordan Gardner,
Jeff Le, Devir Islas, Kirstie,Francesca Monteiro, Duncan Cheong,Derek, Juan Manuel Corredor,Osric Lord-Williams,Jesse Järvi, Scott Zell, AgentK, Mehmet Sevil, Carly Tawse, [ K A I ] = 石 : :, Kevin Dam, Neelfyn, Charlie, Nat Ryall,Christopher Lang, Nicholas Holtz, Tony Morley, Jónatan Nilsson, Zr4g0n, Jeroen Koerts, Tanya Smirnova, Patrick Eyrich, Manuel Auer, J.J., Chris Linardos,Cody, trefmanic, Dean Herbert, Adam Smith,David Garcia Quintas, Gaëtan Duvaux,Caroline Andrewes, Tom Alexander Kutil, Alex Kaplan, Vincent, Okan, Sasha C, Marcelo, KokLiang Lim, Mikel De Uranga,Matthew Gill,Alexander Heavens, Fluffy19, Adam Primaeros, Jan Schmid, Sara Shah, Michal, Eduardo Barbosa,maarten ligtenberg, Ozan, Ghitea Andrei Paul, Ryan, Malthe Agger, Larry Bunyard, Josh Maleszewski, Isaac, Volodymyr Khomenko, Sebastian Laiseca, Chase Gotlieb, Giovanna Cardoso, Eric Austin, Enrico, Theo Alves Monteiro, Tony Montuori,
David Davenport-Firth, Hamad, Michael Ren, Andrew Connor, Vaelohs, Peter Schuller,Brandy Alexander, Alexander Kosenkov, Scott Laing, Eric, Gizem Gürkan, George Chearswat, Brandon Liu, oscar gautama, Philip Freeman, Tim, Bruno Araújo, Carlos Bohorquez, David Harbinson, Daniel OCL, Rikard Nyberg, Lethargicpanda, Florian Guitton, Jezariael Demos, Mark Scheurwater, Ajay Shekhar, Ryan Nai, Jon Moroney, Eugene Cham, Renaud Savignard, James, Nick Yonge, Pranab Shenoy, Terry Lipstein, Ryan, somersault18:24, Tim Carll, Ben Shackman,
Jan Berdel,Lucas Lohr, Sieglinde Geisel, Javier de la Garza, Peter Žnuderl, Clayton Fussell, Rory Bennett, Daniel Gonzalez, Stephen Joseph DCruz, Jeff Churchill, Dan Q, Jonathan Velazquez Gore, Daniel, Pol Lutgen, Seona Tea, Morten, Thomas Lee, Finn Edwards. David Taylor, Alan Feyaerts, Jesse MacLean, Matt Collins, Corbin, Fabricio Godoy, Charles Kuang, Maximilian Ritter, Yousif, Jesse Powell, Praveen Muthu, Bahjat, Mike Mintz,
Jem Arnold, Wei Wong, Jon Davis, Steffen Weng, Lars Vas Dias, Igor Benicio de Mesquita, Siddharth Bajaj, Eli Fisker, Greeny Liu, Tibor Schiemann, Andres Montoya, dante harper, Bünyamin Tetik, Joe Pond, Gustavo, Stephen Morse, Jørgen Smalås,Tommi Mansikka, Evan Low, Muath, Dario Wünsch, Edgar Duarte Ortega, Matthew Macomber, Stephen, Alipasha Sadri, Daniel McCouid-Carr, Kevin P, Ziggy Freed, Steven Ratner, Brucelow, José,
Philipp Weber, Brad Wardell, Alexander Scheffer
Measles Explained — Do You Really Need To Vaccinate?
Help us caption &amp; translate this video!
http://www.youtube.com/timedtext_cs_panel?c=UCsXVk37bltHxD1rDPwtNM8Q&amp;tab=2</t>
  </si>
  <si>
    <t>An outbreak of measles that started at Disneyland has turned a spotlight on those who choose not to vaccinate their children. How did we get to a point where personal beliefs can triumph over science?
Produced by: Retro Report
Read the story here: http://nyti.ms/1KjV9y0
Subscribe to the Times Video newsletter for free and get a handpicked selection of the best videos from The New York Times every week: http://bit.ly/timesvideonewsletter
Subscribe on YouTube: http://bit.ly/U8Ys7n
Watch more videos at: http://nytimes.com/video
---------------------------------------------------------------
Want more from The New York Times?
Twitter: https://twitter.com/nytvideo
Instagram: http://instagram.com/nytvideo
Facebook: https://www.facebook.com/nytimes
Google+: https://plus.google.com/+nytimes/
Whether it's reporting on conflicts abroad and political divisions at home, or covering the latest style trends and scientific developments, New York Times video journalists provide a revealing and unforgettable view of the world. It's all the news that's fit to watch. On YouTube.
Vaccines: An Unhealthy Skepticism | Measles Virus Outbreak 2015 | Retro Report
http://www.youtube.com/user/TheNewYorkTimes</t>
  </si>
  <si>
    <t>The benefits of vaccines far outweigh the minuscule risks, but some parents still question their safety. John Oliver discusses why some people may still feel uncertainty about childhood vaccinations.
Connect with Last Week Tonight online...
Subscribe to the Last Week Tonight YouTube channel for more almost news as it almost happens: www.youtube.com/user/LastWeekTonight
Find Last Week Tonight on Facebook like your mom would: http://Facebook.com/LastWeekTonight
Follow us on Twitter for news about jokes and jokes about news: http://Twitter.com/LastWeekTonight
Visit our official site for all that other stuff at once: http://www.hbo.com/lastweektonight</t>
  </si>
  <si>
    <t>Our panel debate the complexities of the UK’s Brexit negotiations.
Subscribe to our channel here: https://goo.gl/31Q53F
Our panellists are Kate Andrews, Danny Lockwood, Faiza Shaheen and Nicola Horlick.
Newsnight is the BBC's flagship news and current affairs TV programme - with analysis, debate, exclusives, and robust interviews. 
Website: https://www.bbc.co.uk/newsnight
Twitter: https://twitter.com/BBCNewsnight
Facebook: https://www.facebook.com/bbcnewsnight</t>
  </si>
  <si>
    <t>It was hailed as a miracle vaccine and it has virtually eradicated measles, mumps and rubella. It is the triple antigen called MMR. Since its introduction, MMR has protected millions of children from the ravages of those childhood diseases. But there is a worldwide controversy over a possible and tragic side effect - whether it causes autism in kids. What we do know is that every year the numbers being diagnosed as autistic are increasing. Now, one British researcher believes he has found a link to the MMR vaccine. Tara Brown investigates the claims, which have provoked uproar in the world of medicine.
WATCH more of 60 Minutes Australia: https://www.60minutes.com.au 
LIKE 60 Minutes Australia on Facebook: https://www.facebook.com/60Minutes9 
FOLLOW 60 Minutes Australia on Twitter: https://twitter.com/60Mins 
FOLLOW 60 Minutes Australia on Instagram: https://www.instagram.com/60minutes9
For forty years, 60 Minutes have been telling Australians the world’s greatest stories. Tales that changed history, our nation and our lives. Reporters Liz Hayes, Allison Langdon, Tara Brown, Charles Wooley, Liam Bartlett and Sarah Abo look past the headlines because there is always a bigger picture. Sundays are for 60 Minutes.
#60MinutesAustralia</t>
  </si>
  <si>
    <t>Tara Haelle will focus on vaccine hesitancy and vaccine refusal. This is a global health threat that lurks unnoticed until it erupts into unpredictable disease outbreaks that are difficult to contain. She explains what underlies the fear and hesitancy that many people have toward vaccines, why it's not as irrational as some believe, and what's necessary to address it.
Tara Haelle is a freelance science and multimedia journalist who writes regularly at Forbes, NPR, Scientific American, Slate, Medscape, and other U.S.-based publications. She co-wrote “The Informed Parent: A Science-Based Guide to the First Four Years” with science journalist Emily Willingham, and she blogs about science and parenting at Red Wine &amp; Applesauce. She holds a master's in photojournalism from the University of Texas at Austin and has published her images in several publications.
This talk was given at a TEDx event using the TED conference format but independently organized by a local community. Learn more at http://ted.com/tedx</t>
  </si>
  <si>
    <t>Vaccines do much more than protect against the disease they are designed for. Watch this talk from TEDxAarhus 2018 by medical doctor and professor in global health Christine Stabell Benn and learn how hundreds of thousands of lives could be saved every year just by using the existing vaccines smarter. Christine Stabell Benn is a medical doctor and professor in global health. By studying real-life effects of vaccines in Africa, she has found that vaccines do much more than protect against the target disease; they have so-called non-specific effects. In most cases, they come with an added bonus of increased resistance against other infections than the target disease. If we take that into account, we can save hundreds of thousands of lives every year just by using the existing vaccines smarter. Christine argues that we should not only study vaccines' effects on the target infection, but also ask the often ignored question: what is the impact of vaccines on overall health? This talk was given at a TEDx event using the TED conference format but independently organized by a local community. Learn more at https://www.ted.com/tedx</t>
  </si>
  <si>
    <t>What's really behind the move to stop fresh elections in Northern Ireland?
Subscribe to our channel here: https://goo.gl/31Q53F
Newsnight is the BBC's flagship news and current affairs TV programme - with analysis, debate, exclusives, and robust interviews. 
Website: https://www.bbc.co.uk/newsnight
Twitter: https://twitter.com/BBCNewsnight
Facebook: https://www.facebook.com/bbcnewsnight</t>
  </si>
  <si>
    <t>Watch the full interview between John Cleese and Emily Maitlis where the Monty Python star explains why newspapers have driven him to the Caribbean.
Subscribe to our channel here: https://goo.gl/31Q53F
Newsnight is the BBC's flagship news and current affairs TV programme - with analysis, debate, exclusives, and robust interviews. 
Website: https://www.bbc.co.uk/newsnight
Twitter: https://twitter.com/BBCNewsnight
Facebook: https://www.facebook.com/bbcnewsnight</t>
  </si>
  <si>
    <t>SUBSCRIBE to Larry King's YouTube Channel:http://bit.ly/131HuYM
He’s been called an anti-vaxxer, but Rob Schneider says that’s inaccurate; the comedian maintains that he is for freedom of choice, and clarifies his increasingly conservative politics.
FACEBOOK: http://www.facebook.com/OraTV &amp;http://www.facebook.com/LarryKing
TWITTER: http://twitter.com/OraTV
Use #LarryKingNow to make comments &amp; ask us questions on Twitter!
Watch the Full Interview Here:
http://www.ora.tv/</t>
  </si>
  <si>
    <t>Viewers like you help make PBS (Thank you _xD83D__xDE03_) . Support your local PBS Member Station here: https://to.pbs.org/PBSDSDonate
A dose of reality about vaccines…
Subscribe: http://bit.ly/iotbs_sub Twitter: @okaytobesmart 
↓ More info and sources below ↓
As more and more parents are choosing not to vaccinate their children or are vaccinating them later, diseases like measles are making a comeback. What's behind this antivax movement? Are vaccines safe? How do vaccines work? Why do some people claim there is a link between vaccines and autism? This week we look at why are people afraid of something that has saved so many lives, and the history and science of vaccines. #vaccine #antivax #measles
REFERENCES AND FURTHER READING:
"The Panic Virus" by Seth Mnookin: http://amzn.to/1CB8Q7p 
"On Immunity" by Eula Biss: http://amzn.to/1FTmmH1 
Watch "Vaccines: Calling the Shots" from PBS' NOVA: https://www.youtube.com/watch?v=NVCO6_bpsEY 
The Robert Falcon Scott expedition and the lost cure for scurvy, by Maciej Cegłowski: http://idlewords.com/2010/03/scott_and_scurvy.htm 
The incredible value of vaccines: http://www.gavi.org/about/mission/facts-and-figures/ 
The Guardian's herd immunity simulation: http://www.theguardian.com/society/ng-interactive/2015/feb/05/-sp-watch-how-measles-outbreak-spreads-when-kids-get-vaccinated 
Map of global vaccine rates: http://gamapserver.who.int/gho/interactive_charts/immunization/mcv/atlas.html 
How risky are vaccine side effects? http://www.cdc.gov/vaccines/vac-gen/side-effects.htm 
Eula Biss on vaccines and empathy: http://www.vox.com/2015/2/6/7992071/how-one-vaccine-skeptic-became-a-vaccine-supporter 
Have an idea for an episode or an amazing science question you want answered? Leave a comment below!
Follow on Twitter: http://twitter.com/okaytobesmart 
http://twitter.com/jtotheizzoe
Follow on Tumblr: http://www.itsokaytobesmart.com 
Follow on Instagram: http://instagram.com/jtotheizzoe 
-----------------
It's Okay To Be Smart is written and hosted by Joe Hanson, Ph.DFollow me on Twitter: @jtotheizzoe
Email me: itsokaytobesmart AT gmail DOT com
Facebook: http://www.facebook.com/itsokaytobesmart
Google+ https://plus.google.com/+itsokaytobesmart 
For more awesome science, check out: http://www.itsokaytobesmart.com
Produced by PBS Digital Studios: http://www.youtube.com/user/pbsdigitalstudios 
Joe Hanson - Creator/Host/Writer
Joe Nicolosi - Director
Amanda Fox - Producer, Spotzen IncKate Eads - Associate Producer
Andrew Matthews - Editing/Motion Graphics
Katie Graham - Director of Photography
John Knudsen - Gaffer
Dalton Allen - Post-Production Intern
Theme music:
"Ouroboros" by Kevin MacLeod
Other music via APM 
Stock images from Shutterstock
-----------------
Last week's video: 
What is Déjà Vu? https://www.youtube.com/watch?v=ut8mYGi0YRs 
More videos:
Why Are Some People Left-Handed? https://www.youtube.com/watch?v=NPvMUpcxPSA 
Why Did We Blow on NES Games? https://www.youtube.com/watch?v=4Gf9mtXnJfM
The Science of Game of Thrones - https://www.youtube.com/watch?v=Utu-LpJn3Is  
There Was No First Human - https://www.youtube.com/watch?v=xdWLhXi24Mo health (industry) mmr polio</t>
  </si>
  <si>
    <t>The Truth About Vaccine Safety – Second Thought
SUBSCRIBE HERE: http://bit.ly/2nFsvTS
We're all familiar with the anti-vaccination movement, but do their claims hold any water? Can vaccines cause autism? What about their dangerous ingredients? Watch to find out the real truth about vaccine safety.
Sources Cited and Further Reading:
http://www.publichealth.org/public-awareness/understanding-vaccines/goes-vaccine/
http://www.publichealth.org/public-awareness/understanding-vaccines/vaccine-myths-debunked/
https://www.cdc.gov/immigrantrefugeehealth/laws-regs/vaccination-immigration/revised-vaccination-immigration-faq.html
https://www.ncbi.nlm.nih.gov/pmc/articles/PMC1123944/
https://www.cdc.gov/vaccinesafety/concerns/autism.html
https://www.cdc.gov/vaccinesafety/pdf/cdcstudiesonvaccinesandautism.pdf
https://academic.oup.com/shm/article-abstract/5/3/369/1693760/The-Right-to-Die-Anti-vaccination-Activity-and-the
http://journals.plos.org/plosone/article?id=10.1371/journal.pone.0003140
http://www.historyofvaccines.org/
https://www.cdc.gov/vaccinesafety/ensuringsafety/history/index.html
http://www.nhs.uk/Conditions/vaccinations/Pages/the-history-of-vaccination.aspx
New Videos Every Tuesday and Friday!
Follow Second Thought on Social Media!
Twitter: https://twitter.com/_SecondThought
Facebook: https://www.facebook.com/secondthoughtchannel/
Reddit: https://www.reddit.com/r/SecondThought/
Discord: https://discordapp.com/invite/5FTJz3W
Support Second Thought on Patreon!
https://www.patreon.com/secondthought
Watch More Second Thought:
Latest Uploads | Second Thought
Popular Videos | Second Thought
About Second Thought:
Second Thought is a channel devoted to the things in life worth thinking about! Science, history, politics, religion...basically everything you're not supposed to talk about at the dinner table. Welcome!
If you're interesting in being a contributor for Second Thought, send me an email with what you do (research, art, music, etc) and I'll be more than happy to talk to you and add you to the Thought Squad!
Business Email: secondthoughtchannel@gmail.com</t>
  </si>
  <si>
    <t>Subscribe now for more! http://bit.ly/1JM41yF
Broadcast on 14/12/2016
Melinda Messenger has concerns about the HPV vaccine and has refused to allow her daughter to be given it. But should she be worried? 
Like, follow and subscribe to This Morning!
Website: http://bit.ly/1MsreVq
YouTube: http://bit.ly/1BxNiLl
Facebook: http://on.fb.me/1FbXnjU
Twitter: http://bit.ly/1Bs1eI1
This Morning - every weekday on ITV from 10:30am.
Join Holly Willoughby and Phillip Schofield, Ruth Langsford and Eamonn Holmes as we meet the people behind the stories that matter, chat to the hottest celebs and cook up a storm with your favourite chefs!
Dr Zoe and Dr Ranj answer all your health questions, stay stylish with Gok Wan's fabulous fashion, be beautiful with Bryony Blake's top make-up tips, and save money with Martin Lewis.
http://www.itv.com
http://www.stv.tv</t>
  </si>
  <si>
    <t>To get 2 months of unlimited access to Skillshare for free, click here: http://skl.sh/scishow8
Sometimes, studying uncommon maladies can reveal larger insights into how our bodies work!
Hosted by: Hank Green
Head to https://scishowfinds.com/ for hand selected artifacts of the universe! 
----------
Support SciShow by becoming a patron on Patreon: https://www.patreon.com/scishow
----------
Dooblydoo thanks go to the following Patreon supporters: Lazarus G, Sam Lutfi, Nicholas Smith, D.A. Noe, سلطان الخليفي, Piya Shedden, KatieMarie Magnone, Scott Satovsky Jr, Charles Southerland, Patrick D. Ashmore, Tim Curwick, charles george, Kevin Bealer, Chris Peters
----------
Looking for SciShow elsewhere on the internet?
Facebook: http://www.facebook.com/scishow
Twitter: http://www.twitter.com/scishow
Tumblr: http://scishow.tumblr.com
Instagram: http://instagram.com/thescishow
----------
Sources:
https://rarediseases.info.nih.gov/diseases/pages/31/faqs-about-rare-diseases
https://irp.nih.gov/blog/post/2015/06/top-5-reasons-to-study-rare-and-undiagnosed-diseases
Osteo
https://www.thebonejournal.com/article/S8756-3282(11)00969-0/fulltext
https://www.ncbi.nlm.nih.gov/pmc/articles/PMC5069370/
https://www.ncbi.nlm.nih.gov/pmc/articles/PMC292015/pdf/jcinvest00194-0009.pdf
https://www.ncbi.nlm.nih.gov/pmc/articles/PMC5726215/
Gaucher
https://www.sciencedirect.com/science/article/pii/S0896627317300429
https://rarediseases.org/rare-diseases/gaucher-disease/
Niemann-Pick
https://rarediseases.org/rare-diseases/niemann-pick-disease-type-c/
https://www.nature.com/articles/nature10348
http://www.pbs.org/wgbh/nova/next/body/the-rare-disease-thats-helping-researchers-cure-ebola/
https://www.nature.com/articles/nature10380
Leptin
https://www.nature.com/articles/43185
https://www.nejm.org/doi/full/10.1056/nejmoa1406653
http://www.laskerfoundation.org/media/filer_public/82/b6/82b68546-b467-4410-a08c-a91458740306/2010_b_coleman.pdf
https://www.jax.org/strain/000632
https://ghr.nlm.nih.gov/condition/congenital-leptin-deficiency
Laron
http://discovermagazine.com/2013/april/19-double-edged-genes
https://www.nbcnews.com/health/aging/little-people-ecuador-laron-syndrome-may-unlock-cancer-diabetes-cure-n511266
https://rarediseases.info.nih.gov/diseases/6859/laron-syndrome
https://www.ncbi.nlm.nih.gov/pmc/articles/PMC4531065/
https://www.ncbi.nlm.nih.gov/pmc/articles/PMC3943600/
plasminogen
http://www.sciencemag.org/news/2017/11/mutation-blood-clotting-gene-may-extend-human-life-span
http://advances.sciencemag.org/content/3/11/eaao1617
https://rarediseases.info.nih.gov/diseases/4381/plasminogen-activator-inhibitor-type-1-deficiency
Images:
https://commons.wikimedia.org/wiki/File:XrayRicketsLegssmall.jpg
https://commons.wikimedia.org/wiki/File:1ALK.png
https://commons.wikimedia.org/wiki/File:Pyrophosphate-3D-balls.png
https://commons.wikimedia.org/wiki/File:Osteoporosis_Locations.png
https://commons.wikimedia.org/wiki/File:Bisphosphonate_structure.jpg
https://commons.wikimedia.org/wiki/File:Osteoclast.jpg
https://commons.wikimedia.org/wiki/File:Animal_Cell.svg
https://commons.wikimedia.org/wiki/File:Structure_of_human_beta-glucocerebrosidase_@.png
https://commons.wikimedia.org/wiki/File:Protein_NPC1_PDB_3GKH.png
https://commons.wikimedia.org/wiki/File:Ebola_virus_virion.jpg
https://commons.wikimedia.org/wiki/File:Niemann_pick_cell_in_spleen.jpg
https://commons.wikimedia.org/wiki/File:Fatmouse.jpg
https://commons.wikimedia.org/wiki/File:Somatotropine.GIF
https://commons.wikimedia.org/wiki/File:Endocrine_growth_regulation.svg
https://commons.wikimedia.org/wiki/File:1OC0.png
https://commons.wikimedia.org/wiki/File:Amish_School_near_Rebersburg_PA.jpg</t>
  </si>
  <si>
    <t>A world only 2°C warmer, or 3.6°F, would be one that is much different than the world we live in today, but what does that actually look like?
Hosted by: Hank Green
SciShow has a spinoff podcast! It's called SciShow Tangents. Check it out at http://www.scishowtangents.org
----------
Support SciShow by becoming a patron on Patreon: https://www.patreon.com/scishow
----------
Huge thanks go to the following Patreon supporters for helping us keep SciShow free for everyone forever:
Kevin Bealer, Jacob, Katie Marie Magnone, D.A. Noe, Charles Southerland, Eric Jensen, Christopher R Boucher, Alex Hackman, Matt Curls, Adam Brainard, Scott Satovsky Jr, Sam Buck, Ron Kakar, Chris Peters, Kevin Carpentier, Patrick D. Ashmore, Piya Shedden, Sam Lutfi, Charles George, Christoph Schwanke, Greg
----------
Looking for SciShow elsewhere on the internet?
Facebook: http://www.facebook.com/scishow
Twitter: http://www.twitter.com/scishow
Tumblr: http://scishow.tumblr.com
Instagram: http://instagram.com/thescishow
----------
Sources:
https://www.pnas.org/content/115/33/8252
https://climate.nasa.gov/news/2865/a-degree-of-concern-why-global-temperatures-matter/
https://interactive.carbonbrief.org/impacts-climate-change-one-point-five-degrees-two-degrees/?utm_source=web&amp;utm_campaign=Redirect
https://www.nytimes.com/interactive/2018/10/07/climate/ipcc-report-half-degree.html
https://www.earth-syst-dynam.net/7/327/2016/esd-7-327-2016.pdf
https://www.scienceworld.ca/stories/why-are-vancouver-winters-so-wet/
https://www.olympic.org/vancouver-2010
http://www.metrovancouver.org/services/regional-planning/PlanningPublications/OverviewofMetroVancouversMethodsinProjectingRegionalGrowth.pdf
Ice:
https://www.researchgate.net/publication/228640064_Acceleration_of_the_Contribution_of_the_Greenland_and_Antarctic_Ice_Sheets_to_Sea_Level_Rise
https://nsidc.org/cryosphere/sotc/glacier_balance.html
https://www.usgs.gov/centers/norock/science/retreat-glaciers-glacier-national-park?qt-science_center_objects=0#qt-science_center_objects
https://www.nbcnews.com/science/environment/dramatic-swiss-glacier-retreat-captured-old-photos-n1091091
https://blogs.agu.org/geospace/2016/02/10/how-stable-is-the-west-antarctic-ice-sheet/
https://www.nature.com/articles/s41558-018-0124-y
https://www.climate.gov/news-features/understanding-climate/climate-change-global-sea-level
Ocean circulation and rainfall:
https://www.gfdl.noaa.gov/bibliography/related_files/td0802.pdf
https://agupubs.onlinelibrary.wiley.com/doi/full/10.1002/2013GL058454
Images:
https://svs.gsfc.nasa.gov/cgi-bin/details.cgi?aid=11056
https://svs.gsfc.nasa.gov/4168
https://www.jpl.nasa.gov/spaceimages/details.php?id=PIA01844
https://en.wikipedia.org/wiki/File:Sundarbans.jpg
https://en.wikipedia.org/wiki/File:OCP07_Fig-6.jpg</t>
  </si>
  <si>
    <t>We all know that we need things like water and oxygen to live, but what happens when you get too much of a good thing?
Hosted by: Hank Green
----------
Support SciShow by becoming a patron on Patreon: https://www.patreon.com/scishow
----------
Dooblydoo thanks go to the following Patreon supporters -- we couldn't make SciShow without them! Shout out to Justin Ove, Andreas Heydeck, Justin Lentz, Will and Sonja Marple, Benny, Chris Peters, Tim Curwick, Philippe von Bergen, Patrick, Fatima Iqbal, Lucy McGlasson, Mark Terrio-Cameron, Accalia Elementia, Kathy &amp; Tim Philip, charles george, Kevin Bealer, Thomas J., and Patrick D. Ashmore.
----------
Like SciShow? Want to help support us, and also get things to put on your walls, cover your torso and hold your liquids? Check out our awesome products over at DFTBA Records: http://dftba.com/scishow
----------
Looking for SciShow elsewhere on the internet?
Facebook: http://www.facebook.com/scishow
Twitter: http://www.twitter.com/scishow
Tumblr: http://scishow.tumblr.com
Instagram: http://instagram.com/thescishow
----------
Sources:
Water
http://www.scientificamerican.com/article/strange-but-true-drinking-too-much-water-can-kill/
http://chemistry.about.com/cs/5/f/blwaterintox.htm
http://www.dailymail.co.uk/health/article-3260684/The-hiker-died-drinking-water-Excess-fluid-lack-food-caused-brain-fatally-swell.html
http://www.mayoclinic.org/diseases-conditions/hyponatremia/basics/causes/con-20031445
http://www.nbcnews.com/id/16614865/ns/us_news-life/t/woman-dies-after-water-drinking-contest/#.VyogwdQgu8o
Oxygen
http://www.scientificamerican.com/article/the-oxygen-dilemma/ 
https://www.youtube.com/watch?v=LM_CgtFORzw
http://health.howstuffworks.com/human-body/systems/respiratory/question98.htm
https://physiology.knoji.com/why-do-we-breathe-oxygen/
http://www.emsworld.com/article/10915304/the-dangers-of-giving-too-much-oxygen 
http://www.medscape.com/viewarticle/778505_3
http://jcb.sagepub.com/ 
http://www.ncbi.nlm.nih.gov/pubmed/14975933
http://www.utsouthwestern.edu/newsroom/news-releases/year-2008/resuscitation-technique-after-brain-injury-may-do-more-harm-than-good-researchers-find.html
https://www.sciencedaily.com/releases/2010/10/101005104335.htm
http://www.utsouthwestern.edu/newsroom/news-releases/year-2008/resuscitation-technique-after-brain-injury-may-do-more-harm-than-good-researchers-find.html
http://www.emsworld.com/article/10915304/the-dangers-of-giving-too-much-oxygen
Antioxidants
http://blogs.scientificamerican.com/food-matters/antioxidant-supplements-too-much-of-a-kinda-good-thing/ 
http://www.livestrong.com/article/480352-the-effects-of-too-much-antioxidants/
http://www.ncbi.nlm.nih.gov/pmc/articles/PMC3292009/
https://nccih.nih.gov/health/antioxidants/introduction.htm 
https://www.nlm.nih.gov/medlineplus/antioxidants.html 
http://www.nutrition.gov/whats-food/phytonutrients
http://www.hsph.harvard.edu/nutritionsource/antioxidants/ 
https://newsinhealth.nih.gov/issue/Aug2011/Feature1
http://www.ncbi.nlm.nih.gov/pmc/articles/PMC3249911/
http://www.ncbi.nlm.nih.gov/pmc/articles/PMC3488923/ 
http://www.wisegeek.com/what-is-oxidation.htm
http://www.news-medical.net/health/What-is-Oxidative-Stress.aspx 
Blood
http://www.webmd.com/cancer/lymphoma/understanding-leukemia-basics
http://www.webmd.com/cancer/lymphoma/polycythemia-vera
http://www.mayoclinic.org/symptoms/high-red-blood-cell-count/basics/causes/sym-20050858
http://www.mayoclinic.org/diseases-conditions/polycythemia-vera/basics/definition/con-20031013
https://www.nlm.nih.gov/medlineplus/ency/article/003642.htm
http://www.mayoclinic.org/symptoms/high-white-blood-cell-count/basics/causes/sym-20050611
http://www.hematology.org/Patients/Basics/
http://www.livescience.com/22486-circulatory-system.html
http://www.medicalnewstoday.com/articles/196001.php
Image Links:
https://commons.wikimedia.org/wiki/File:Purkinje_cell_by_Cajal.png
https://commons.wikimedia.org/wiki/File:Neuron_Hand-tuned.svg</t>
  </si>
  <si>
    <t>"Thanks to some amazing scientific insights, we know a lot about the interior of our planet - even though we’ve never even made it through the crust.
Hosted by: Hank Green
Support SciShow by becoming a patron on Patreon: https://www.patreon.com/scishow
----------
Huge thanks go to the following Patreon supporters for helping us keep SciShow free for everyone forever:
Kevin Bealer, KatieMarie Magnone, D.A. Noe, Charles Southerland, Eric Jensen, Christopher R Boucher, Alex Hackman, Matt Curls, Adam Brainard, Scott Satovsky Jr, Sam Buck, Avi Yashchin, Ron Kakar, Chris Peters, Kevin Carpentier, Patrick D. Ashmore, Piya Shedden, Sam Lutfi, charles george, Greg 
----------
Sources:
http://news.bbc.co.uk/2/hi/science/nature/3021255.stm
https://pubmed.ncbi.nlm.nih.gov/12748631-planetary-science-mission-to-earths-core-a-modest-proposal/
https://www.discovermagazine.com/planet-earth/journeys-to-the-center-of-the-earth
https://www.space.com/18502-farthest-galaxy-discovery-hubble-photos.html
https://academic.oup.com/astrogeo/article/50/3/3.34/224388
https://www.nationalgeographic.org/encyclopedia/mantle/
https://www.livescience.com/6959-hole-drilled-bottom-earth-crust-breakthrough-mantle-looms.html
http://www.iodp.org/about-iodp/about-iodp
https://www.nationalacademies.org/mohole/index.html
https://tinyurl.com/scaloye
https://tinyurl.com/wgwtjex
https://www.engadget.com/2017/04/09/japan-chikyu-drilling-ship-earth-mantle/
http://www.jamstec.go.jp/mare3/mdp/e/event/20191204.html
https://www.frontiersin.org/articles/10.3389/feart.2014.00004/full
https://www.washington.edu/news/2016/06/13/arc-volcano-releases-mix-of-material-from-earths-mantle-and-crust/
http://eqseis.geosc.psu.edu/cammon/HTML/Classes/IntroQuakes/Notes/waves_and_interior.html
https://www.amnh.org/learn-teach/curriculum-collections/earth-inside-and-out/inge-lehmann-discoverer-of-the-earth-s-inner-core
http://mpe.dimacs.rutgers.edu/2014/02/19/how-inge-lehmann-discovered-the-inner-core-of-the-earth/
https://www.sciencedaily.com/releases/2019/12/191219162350.htm
https://phys.org/news/2014-04-magnetic-anomaly-deep-earth-crust.html
https://tinyurl.com/u86849d
https://nationalmaglab.org/about/maglab-dictionary/tesla
http://www.gemsys.ca/wp-content/uploads/2013/10/Geophysical-Applications.pdf
https://www.sciencedirect.com/topics/earth-and-planetary-sciences/magnetic-anomaly
https://www.esrf.eu/home/news/general/content-news/general/earths-mantle-could-be-more-magnetic-than-once-thought.html
https://www.sciencedaily.com/releases/2019/06/190606101831.htm
https://ui.adsabs.harvard.edu/abs/2015AGUFMGP43A1243M/abstract
https://www.usgs.gov/faqs/how-does-earths-core-generate-a-magnetic-field?qt-news_science_products%3D0%23qt-news_science_products
https://tinyurl.com/r9z8skw
https://www.annualreviews.org/doi/abs/10.1146/annurev-earth-050212-124022
https://www.livescience.com/46292-hidden-ocean-locked-in-earth-mantle.html
https://agupubs.onlinelibrary.wiley.com/doi/pdf/10.1029/1999RG000064
https://www.nasa.gov/mission_pages/Grace/overview/index.html
https://earthobservatory.nasa.gov/features/GRACE/page3.php
https://link.springer.com/referenceworkentry/10.1007%252F0-387-30752-4_75
http://www.qrg.northwestern.edu/projects/vss/docs/space-environment/3-mass-and-distance-affects-gravity.html
https://pubs.usgs.gov/fs/fs-0239-95/fs-0239-95.pdf
http://www.geology.cwu.edu/facstaff/tim/TEACHING/Geophysics/gravity_geoid.pdf
http://www.cas.usf.edu/~cconnor/pot_fields_lectures/Lecture2_gravity_maps.pdf
https://www.pnas.org/content/109/47/19039
https://www.csr.utexas.edu/grace-at-15-years/
https://onlinelibrary.wiley.com/doi/abs/10.3997/1873-0604.2008014
https://serc.carleton.edu/NAGTWorkshops/mineralogy/mineral_physics/diamond_anvil.html
https://www.e-education.psu.edu/earth520/content/l4_p3.html
https://www.amnh.org/exhibitions/permanent/meteorites/meteorites/what-is-a-meteorite
https://personal.ems.psu.edu/~jte2/geosc20/lect07.html
https://solarsystem.nasa.gov/asteroids-comets-and-meteors/meteors-and-meteorites/in-depth/
https://www.anu.edu.au/news/all-news/meteorites-key-to-the-story-of-earths-layers
https://www.pnas.org/content/pnas/early/2015/04/08/1501658112.full.pdf
https://www.soest.hawaii.edu/GG/ASK/earths_core.html
https://www.pnas.org/content/113/26/7082
https://science.sciencemag.org/content/310/5756/1914.full?sid=ddb3c2a4-9b7d-4eaa-a28b-
Image Sources:
https://tinyurl.com/tjsstfq
https://tinyurl.com/s476aup
https://tinyurl.com/tdp98tt
https://tinyurl.com/tl4e8r7
https://tinyurl.com/s4aoyet
https://tinyurl.com/rfovk9gf
https://tinyurl.com/y9cw3fog
https://tinyurl.com/t7yq4hq
https://tinyurl.com/yx6swomt
https://tinyurl.com/vbfecde
https://tinyurl.com/snejm4x
https://tinyurl.com/qp379go
https://tinyurl.com/vfxjfvv
https://tinyurl.com/t5z9593
https://tinyurl.com/sayv5nc
https://tinyurl.com/tk88cq7
https://tinyurl.com/ujuvpy6
https://tinyurl.com/r7qbnxg
https://tinyurl.com/tyft2zg
https://tinyurl.com/tzkah4c</t>
  </si>
  <si>
    <t>SciShow explains how SciShow exists -- and everything else that's ever been made or used on a computer -- by exploring how transistors work together in circuits to make all computing possible. Like all kinds of science, it has its limitations, but also awesome possibilities.
Hosted by: Hank Green
SciShow has a spinoff podcast! It's called SciShow Tangents. Check it out at http://www.scishowtangents.org
----------
Like SciShow? Want to help support us, and also get things to put on your walls, cover your torso and hold your liquids? Check out our awesome products over at DFTBA Records: http://dftba.com/artist/52/SciShow
----------
Or, support SciShow by becoming a patron on Patreon: https://www.patreon.com/scishow
----------
Looking for SciShow elsewhere on the internet?
Facebook: http://www.facebook.com/scishow
Twitter: http://www.twitter.com/scishow
Tumblr: http://scishow.tumblr.com
Thanks Tank Tumblr: http://thankstank.tumblr.com
Sources:
http://www.mooreslaw.org/
http://www.intel.com/content/dam/www/public/us/en/documents/corporate-information/museum-transistors-to-transformations-brochure.pdf
http://www.tldp.org/HOWTO/Unix-and-Internet-Fundamentals-HOWTO/core-formats.html
http://homepage.cs.uri.edu/book/binary_data/binary_data.htm
https://www.youtube.com/watch?v=qm67wbB5GmI
https://www.youtube.com/watch?v=cNN_tTXABUA
http://www.newscientist.com/article/mg21929301.000-parallel-sparking-many-chips-make-light-work.html#.U1iQ3vmSzmc
http://www.newscientist.com/article/mg20527441.600-spasers-set-to-sum-a-new-dawn-for-optical-computing.html#.U1iREfmSzmc
http://www.tldp.org/HOWTO/Unix-and-Internet-Fundamentals-HOWTO/core-formats.html
http://www.extremetech.com/computing/97469-is-14nm-the-end-of-the-road-for-silicon-lithography
http://www.amasci.com/miscon/speed.html
http://newsoffice.mit.edu/2013/computing-with-light-0704</t>
  </si>
  <si>
    <t>We've compiled our videos about sugar and sweetness here. Enjoy the rush!
Hosted by: Hank Green
SciShow has a spinoff podcast! It's called SciShow Tangents. Check it out at http://www.scishowtangents.org
----------
Support SciShow by becoming a patron on Patreon: https://www.patreon.com/scishow
----------
Dooblydoo thanks go to the following Patreon supporters -- we couldn't make SciShow without them! Shout out to Justin Ove, Andreas Heydeck, Justin Lentz, Will and Sonja Marple, Benny, Chris Peters, Tim Curwick, Philippe von Bergen, Patrick, Fatima Iqbal, Lucy McGlasson, Mark Terrio-Cameron, Accalia Elementia, Kathy &amp; Tim Philip, charles george, Kevin Bealer, Thomas J., and Patrick D. Ashmore.
----------
Like SciShow? Want to help support us, and also get things to put on your walls, cover your torso and hold your liquids? Check out our awesome products over at DFTBA Records: http://dftba.com/scishow
----------
Looking for SciShow elsewhere on the internet?
Facebook: http://www.facebook.com/scishow
Twitter: http://www.twitter.com/scishow
Tumblr: http://scishow.tumblr.com
Instagram: http://instagram.com/thescishow</t>
  </si>
  <si>
    <t>SciShow News explores how a diseases that was officially eliminated in the U.S. has made a sudden comeback.
Hosted by: Hank Green
----------
Like SciShow? Want to help support us, and also get things to put on your walls, cover your torso and hold your liquids? Check out our awesome products over at DFTBA Records: http://dftba.com/scishow
Or help support us by subscribing to our page on Subbable: https://subbable.com/scishow
----------
Looking for SciShow elsewhere on the internet?
Facebook: http://www.facebook.com/scishow
Twitter: http://www.twitter.com/scishow
Tumblr: http://scishow.tumblr.com
Instagram: http://instagram.com/thescishow
Sources:
http://www.vox.com/2015/2/2/7965885/the-research-linking-autism-to-vaccines-is-even-more-terrible-than
http://www.cdc.gov/vaccines/pubs/parents-guide/parents-guide-part4.html
http://www.uab.edu/medicine/avrc/vaccine-myths?showall=&amp;start=11
http://www.cdc.gov/vaccines/vac-gen/howvpd.htm
http://www.cdc.gov/vaccinesafety/concerns/autism/
http://www.cdc.gov/vaccinesafety/concerns/autism/
http://www.nejm.org/doi/pdf/10.1056/NEJMoa021134</t>
  </si>
  <si>
    <t>Hank makes it all better by explaining the biochemistry of pain -- how it works, why we have it, and how painkillers, whether they're over the counter or heavy-duty prescription bad boys, make the pain go away.
-----------
Like SciShow? Want to help support us, and also get things to put on your walls, cover your torso and hold your liquids? Check out our awesome products over at DFTBA Records: http://dftba.com/artist/52/SciShow
Or help support us by subscribing to our page on Subbable: https://subbable.com/scishow
--
Looking for SciShow elsewhere on the internet?
Facebook: http://www.facebook.com/scishow
Twitter: http://www.twitter.com/scishow
Tumblr: http://scishow.tumblr.com
Thanks Tank Tumblr: http://thankstank.tumblr.com
SOURCES
http://www.nytimes.com/2012/11/18/magazine/ashlyn-blocker-feels-no-pain.html?pagewanted=all&amp;_r=0
http://mentalfloss.com/article/18615/how-do-painkillers-find-kill-pain
http://ed.ted.com/lessons/how-do-pain-relievers-work
http://www.scientificamerican.com/podcast/episode.cfm?id=snake-venom-contains-potent-painkil-12-10-04
http://www.thepaincenter.com/why-do-we-feel-pain-and-why-does-our-body-react-to-it.html
http://www.scientificamerican.com/article.cfm?id=how-do-painkillers-buffer
http://www.drugabuse.gov/publications/research-reports/prescription-drugs/opioids/how-do-opioids-affect-brain-body
http://www.drugfreeworld.org/drugfacts/painkillers/a-short-history.html
http://www.wisegeek.org/what-are-the-different-types-of-painkillers.htm
http://www.boots.com/en/Boots-Pharmaceuticals/Boots-Pharmaceuticals-products/Information-about-Boots-Pharmaceuticals/The-invention-of-Ibuprofen/
http://www.nature.com/nrn/journal/v14/n7/full/nrn3529.html
http://www.nature.com/nature/journal/v490/n7421/full/nature11494.html</t>
  </si>
  <si>
    <t>There’s a lot we don’t know about how and when dogs were first domesticated. But we do know that the process made dogs very different from their wild cousins, in some unexpected ways.
Hosted by: Michael Aranda 
----------
Like SciShow? Want to help support us, and also get things to put on your walls, cover your torso and hold your liquids? Check out our awesome products over at DFTBA Records: http://dftba.com/scishow
Or help support us by subscribing to our page on Subbable: https://subbable.com/scishow
----------
Looking for SciShow elsewhere on the internet?
Facebook: http://www.facebook.com/scishow
Twitter: http://www.twitter.com/scishow
Tumblr: http://scishow.tumblr.com
Instagram: http://instagram.com/thescishow
Sources:
http://journals.plos.org/plosgenetics/article?id=10.1371/journal.pgen.1004016
http://www.genetics.org/content/197/3/795.full
http://www.nature.com/nature/journal/v495/n7441/full/nature11837.html
http://www.nature.com/news/dog-s-dinner-was-key-to-domestication-1.12280
http://www.nature.com/ng/journal/v39/n10/full/ng2123.html
http://www.sciencedaily.com/releases/2014/01/140116190137.htm?utm_source=rss&amp;utm_medium=rss&amp;utm_campaign=genomes-of-modern-dogs-and-wolves-provide-new-insights-on-domestication</t>
  </si>
  <si>
    <t>Most people know that they don't need their appendix, but what other organs can humans live without?
Hosted by: Hank Green
----------
Support SciShow by becoming a patron on Patreon: https://www.patreon.com/scishow
----------
Dooblydoo thanks go to the following Patreon supporters: Kelly Landrum Jones, Sam Lutfi, Kevin Knupp, Nicholas Smith, D.A. Noe, alexander wadsworth, سلطا الخليفي, Piya Shedden, KatieMarie Magnone, Scott Satovsky Jr, Bella Nash, Charles Southerland, Bader AlGhamdi, James Harshaw, Patrick Merrithew, Patrick D. Ashmore, Candy, Tim Curwick, charles george, Saul, Mark Terrio-Cameron, Viraansh Bhanushali, Kevin Bealer, Philippe von Bergen, Chris Peters, Justin Lentz
----------
Looking for SciShow elsewhere on the internet?
Facebook: http://www.facebook.com/scishow
Twitter: http://www.twitter.com/scishow
Tumblr: http://scishow.tumblr.com
Instagram: http://instagram.com/thescishow
----------
Sources:
http://hemifoundation.homestead.com/facts.html
https://www.ncbi.nlm.nih.gov/pmc/articles/PMC4729844/
http://www.slate.com/articles/news_and_politics/explainer/2013/03/pope_francis_has_only_one_lung_is_that_a_problem.html
https://www.ncbi.nlm.nih.gov/pmc/articles/PMC3472481/
https://www.ncbi.nlm.nih.gov/pmc/articles/PMC64801/
https://www.niddk.nih.gov/health-information/digestive-diseases/digestive-system-how-it-works
https://www.nostomachforcancer.org/about/life-without-a-stomach/gastrectomy
https://www.nhs.uk/conditions/gastrectomy/risks/
https://www.merckmanuals.com/home/blood-disorders/spleen-disorders/overview-of-the-spleen
https://www.ncbi.nlm.nih.gov/pmc/articles/PMC5605342/
https://www.ncbi.nlm.nih.gov/pubmedhealth/PMH0072577/
https://www.ncbi.nlm.nih.gov/pmc/articles/PMC2701258/
https://www.ncbi.nlm.nih.gov/pmc/articles/PMC5602614/
https://www.ncbi.nlm.nih.gov/pmc/articles/PMC1358332/ 
https://www.niddk.nih.gov/health-information/digestive-diseases/gallstones/definition-facts
http://www.americanjournalofsurgery.com/article/0002-9610(76)90295-6/abstract 
https://www.kidney.org/kidneydisease/howkidneyswrk#howis
https://www.niddk.nih.gov/health-information/kidney-disease/kidney-failure/kidney-transplant
https://www.sciencedaily.com/releases/2015/05/150527124736.htm
Images:
http://www.thinkstockphotos.com/image/stock-photo-x-ray-of-brain-in-skull/dv385010
http://www.thinkstockphotos.com/image/stock-photo-3d-illustration-of-lungs-medical-concept/639399418
https://en.wikipedia.org/wiki/File:PneumonectomyXray.PNG
http://www.thinkstockphotos.com/image/stock-photo-3d-illustration-of-stomach/519081448
http://www.thinkstockphotos.com/image/stock-photo-human-spleen-anatomy/872739182
http://www.thinkstockphotos.com/image/stock-photo-3d-illustration-of-liver/524388994
https://en.wikipedia.org/wiki/File:Laparoscopic_Cholecystectomy_Incisions,_1_Week_Old.jpg
http://www.thinkstockphotos.com/image/stock-photo-3d-illustration-of-urinary-system/524387736</t>
  </si>
  <si>
    <t>At some point, you’ve probably heard someone use any or all of these four words to describe someone. But there’s a really excellent chance that person had no idea what these terms mean. But SciShow is here to help clear up some of these definitions, and explain why the weather isn’t schizophrenic, and how your ex probably isn’t actually a psychopath.
Hosted by: Hank Green 
----------
Like SciShow? Want to help support us, and also get things to put on your walls, cover your torso and hold your liquids? Check out our awesome products over at DFTBA Records: http://dftba.com/collections/scishow
Or help support us by subscribing to our page on Subbable: https://subbable.com/scishow
----------
Looking for SciShow elsewhere on the internet?
Facebook: http://www.facebook.com/scishow
Twitter: http://www.twitter.com/scishow
Tumblr: http://scishow.tumblr.com
Thanks Tank Tumblr: http://thankstank.tumblr.com
Sources:
http://mentalwellnesscenter.org/cm/OnlineEducation/Schizophrenia.html
http://www.bbc.com/news/magazine-15213824
http://www.slate.com/articles/health_and_science/science/2013/01/schizophrenia_definition_and_metaphor_schizophrenic_does_not_mean_multiple.html
http://www.healthyplace.com/blogs/survivingmentalhealthstigma/2013/08/mental-health-stigma-and-the-misuse-of-words/
http://www.thefrisky.com/2013-11-07/kylie-jenner-sparks-twitter-frenzy-over-her-misuse-of-the-term-bipolar/</t>
  </si>
  <si>
    <t>Hank tells us some of the surprising things that could be causing or contributing to the obesity epidemic.
Like SciShow on Facebook: http://www.facebook.com/scishow
Follow SciShow on Twitter: http://www.twitter.com/scishow
References:
http://www.nlm.nih.gov/medlineplus/news/fullstory_118194.html
http://www.cdc.gov/obesity/data/trends.html 
http://news.bbc.co.uk/2/hi/health/7151813.stm
http://news.discovery.com/human/gut-bacteria-obesity-111026.html</t>
  </si>
  <si>
    <t>Hank examines the zoological definition of monogamy, as well as some other breeding strategies that animals use.
Like SciShow on Facebook: http://www.facebook.com/scishow
Follow SciShow on Twitter: http://www.twitter.com/scishow
References
women give kids more genes than men: http://www.scientificamerican.com/article.cfm?id=the-x-chromosome-and-monogamy
Monogamy uncommon: http://articles.latimes.com/2009/nov/22/opinion/la-oe-barash22-2009nov22
Dunnocks: http://www.bbc.co.uk/nature/life/Dunnock#p007tx02 and: http://www.independent.co.uk/news/uk/exposed-secret-sex-life-of-the-female-decievers--genetic-fingerprinting-techniques-have-exposed-monogamy-among-birds-as-a-myth-fostered-by-the-victorians-scientists-say-that-adultery-is-commonplace-and-a-deliberate-survival-strategy-steve-connor-reports-1566073.html
Polygamy: http://www.newscientist.com/article/dn14817-polygamy-left-its-mark-on-the-human-genome.html
How monogamy evolved with human behaviour: http://www.guardian.co.uk/commentisfree/2008/feb/14/relationships
http://www.youtube.com/watch?v=VFmxZitx5Bw
IMAGES:
http://en.wikipedia.org/wiki/File:Dunnock_crop2.jpg
http://digitalmedia.fws.gov/cdm4/item_viewer.php?CISOROOT=/natdiglib&amp;CISOPTR=1726&amp;CISOBOX=1&amp;REC=2
http://en.wikipedia.org/wiki/File:Malagasy.giant.rat.arp.jpg</t>
  </si>
  <si>
    <t>When you imagine the energy of the future, solar power is probably in the picture – but in recent years, less than 2% of the world’s electricity has come from solar power. Here are 5 new inventions that are likely to change that.
Hosted by: Hank Green
SciShow has a spinoff podcast! It's called SciShow Tangents. Check it out at http://www.scishowtangents.org
----------
Support SciShow by becoming a patron on Patreon: https://www.patreon.com/scishow
----------
Huge thanks go to the following Patreon supporters for helping us keep SciShow free for everyone forever:
Kevin Bealer, Jacob, Katie Marie Magnone, D.A. Noe, Charles Southerland, Eric Jensen, Christopher R Boucher, Alex Hackman, Matt Curls, Adam Brainard, Scott Satovsky Jr, Sam Buck, Ron Kakar, Chris Peters, Kevin Carpentier, Patrick D. Ashmore, Piya Shedden, Sam Lutfi, Charles George, Christoph Schwanke, Greg
----------
Looking for SciShow elsewhere on the internet?
Facebook: http://www.facebook.com/scishow
Twitter: http://www.twitter.com/scishow
Tumblr: http://scishow.tumblr.com
Instagram: http://instagram.com/thescishow
----------
Sources:
https://www.eia.gov/tools/faqs/faq.php?id=427&amp;t=3
https://www.nature.com/articles/s41893-019-0364-5.epdf?author_access_token=RduqgDWgyu90mvu-RB6DW9RgN0jAjWel9jnR3ZoTv0O97Lc9kleZWba0tQ-k-7tIlZGbnB6ZL4SOzl8a4rPD9IuBrjAeWq--cJR60bfbCroy01kiCE8CKI6Of6hGsKYrJ74WecY0rcX7lhteq3zLcw%3D%3D
https://www.nature.com/articles/s41598-019-47803-3
https://grist.org/food/cash-strapped-farms-are-growing-a-new-crop-solar-panels/
https://sustainabilitycommunity.springernature.com/users/311875-helene-marrou/posts/53868-agrivoltaics-a-win-win-system-to-combine-food-and-energy-production
https://earthobservatory.nasa.gov/features/LAI/LAI2.php
https://www.nature.com/articles/s41893-019-0364-5.epdf?author_access_token=RduqgDWgyu90mvu-RB6DW9RgN0jAjWel9jnR3ZoTv0O97Lc9kleZWba0tQ-k-7tIlZGbnB6ZL4SOzl8a4rPD9IuBrjAeWq--cJR60bfbCroy01kiCE8CKI6Of6hGsKYrJ74WecY0rcX7lhteq3zLcw%3D%3D
https://www.researchgate.net/publication/326675843_Floatovoltaics_Towards_improved_energy_efficiency_land_and_water_management
https://www.ijitee.org/wp-content/uploads/papers/v8i12/L24971081219.pdf
https://pubs.acs.org/doi/full/10.1021/acs.est.8b04735
https://www.teachengineering.org/content/cub_/lessons/cub_pveff/Attachments/cub_pveff_lesson01_fundamentalsarticle_v2_tedl_dwc.pdf
https://www.sciencedirect.com/science/article/pii/S2352484719304780#b2
https://www.sciencedirect.com/science/article/pii/S2352484719304780#b49
https://onlinelibrary.wiley.com/doi/full/10.1002/ese3.92
https://www.pv-magazine.com/2019/11/19/a-record-year-for-trackers/
https://news.energysage.com/solar-trackers-everything-need-know/
https://www.sciencedirect.com/topics/materials-science/organic-solar-cells
https://www.sciencedirect.com/topics/materials-science/organic-solar-cells
https://news.energysage.com/organic-solar-cells-what-you-need-to-know/
https://www.pnas.org/content/116/1/7#ref-2
https://www.pnas.org/content/116/1/7#ref-2
https://www.popsci.com/turn-your-smartphone-into-solar-panel/
https://www.nrel.gov/pv/organic-photovoltaic-solar-cells.html
https://www.energy.gov/eere/solar/crystalline-silicon-photovoltaics-research
https://www.tesla.com/solarroof
https://www.tesla.com/support/energy/solar-roof/learn/overview
https://news.energysage.com/thin-film-solar-panels-make-sense/
https://arrow.tudublin.ie/cgi/viewcontent.cgi?article=1062&amp;context=dubenart
https://www.researchgate.net/publication/336994638_WEARABLE_AND_WASHABLE_PHOTOVOLTAIC_FABRICS
https://www.ntu.ac.uk/about-us/news/news-articles/2018/12/bright-idea!-clothes-embedded-with-solar-cells-to-charge-your-mobile-phone
https://www.wired.com/2014/05/charge-your-phone-with-this-high-fashion-solar-powered-dress/
https://tatacenter.mit.edu/portfolio/solar-thermal-fuels/
https://www.forbes.com/sites/trevornace/2018/11/06/scientists-reveal-strange-molecule-that-can-store-suns-energy-for-18-years/#75e3fe983483
https://pubs.rsc.org/en/content/articlehtml/2018/ee/c8ee01011k
http://www.mynewsdesk.com/uk/chalmers/pressreleases/emissions-free-energy-system-saves-heat-from-the-summer-sun-for-winter-2731597
Image Sources:
https://commons.wikimedia.org/wiki/File:Dornbirn-Montfortstrasse_19-Gardening-Photovoltaik-01ASD.jpg
https://commons.wikimedia.org/wiki/File:Solar_Sharing_Power_Plant_in_Tsukuba,_Ibaraki_03.jpg
https://commons.wikimedia.org/wiki/File:Solar_Sharing_Power_Plant_in_Kamisu,_Ibaraki_03.jpg
https://commons.wikimedia.org/wiki/File:Solar_Sharing_Power_Plant_in_Kamisu,_Ibaraki_02.jpg
https://commons.wikimedia.org/wiki/File:Farniente2.jpg
https://commons.wikimedia.org/wiki/File:8MW_horizontal_single_axis_tracker_in_Greece.JPG
https://commons.wikimedia.org/wiki/File:Suntactics_solar_tracker.jpg
https://onlinelibrary.wiley.com/doi/full/10.1002/pip.3229</t>
  </si>
  <si>
    <t>When you think of allergies, the first thing that comes to mind is probably seasonal allergies, but there are a handful of strange allergies can be much harder to avoid than pollens.
Hosted by: Michael Aranda
----------
Support SciShow by becoming a patron on Patreon: https://www.patreon.com/scishow
----------
Dooblydoo thanks go to the following Patreon supporters: Lazarus G, Kelly Landrum Jones, Sam Lutfi, Kevin Knupp, Nicholas Smith, D.A. Noe, alexander wadsworth, سلطان الخليفي, Piya Shedden, KatieMarie Magnone, Scott Satovsky Jr, Charles Southerland, Bader AlGhamdi, James Harshaw, Patrick Merrithew, Patrick D. Ashmore, Candy, Tim Curwick, charles george, Saul, Mark Terrio-Cameron, Viraansh Bhanushali, Kevin Bealer, Philippe von Bergen, Chris Peters, Justin Lentz
----------
Looking for SciShow elsewhere on the internet?
Facebook: http://www.facebook.com/scishow
Twitter: http://www.twitter.com/scishow
Tumblr: http://scishow.tumblr.com
Instagram: http://instagram.com/thescishow
----------
Sources:
Sources:
https://www.researchgate.net/publication/276147913_Physical_urticaria_Review_on_classification_triggers_and_management_with_special_focus_on_prevalence_including_a_meta-analysis 
https://www.ncbi.nlm.nih.gov/pmc/articles/PMC2492902/
http://www.pcds.org.uk/clinical-guidance/urticaria-physical-urticaria
http://www.merckmanuals.com/professional/dermatologic-disorders/approach-to-the-dermatologic-patient/urticaria
http://www.merckmanuals.com/professional/immunology-allergic-disorders/allergic,-autoimmune,-and-other-hypersensitivity-disorders/overview-of-allergic-and-atopic-disorders
https://emedicine.medscape.com/article/762917-overview
http://abcnews.go.com/Health/AllergiesNews/story?id=7401149&amp;page=1
https://mosaicscience.com/story/why-do-we-have-allergies/
dermographism
https://www.dermnetnz.org/topics/dermographism/
https://emedicine.medscape.com/article/1050294-overview
https://www.ncbi.nlm.nih.gov/pubmed/16405609
vibration
https://ghr.nlm.nih.gov/condition/vibratory-urticaria#genes
https://www.nih.gov/news-events/news-releases/nih-scientists-discover-genetic-cause-rare-allergy-vibration
water
https://rarediseases.info.nih.gov/diseases/10901/aquagenic-urticaria
http://www.bbc.com/future/story/20160915-the-woman-who-is-allergic-to-water
https://www.sciencealert.com/here-s-what-happens-if-you-develop-an-allergy-to-water
http://onlinelibrary.wiley.com/doi/10.1111/j.1525-1470.2012.01801.x/abstract
exercise
https://emedicine.medscape.com/article/886641-overview#showall
https://www.ncbi.nlm.nih.gov/pmc/articles/PMC3020292/
https://www.aafp.org/afp/2001/1015/p1367.html
semen
https://clinicalmolecularallergy.biomedcentral.com/articles/10.1186/1476-7961-6-13
https://www.uptodate.com/contents/allergic-reactions-to-seminal-plasma
http://www.issm.info/sexual-health-qa/what-is-a-sperm-allergy/
http://www.tandfonline.com/doi/abs/10.3810/pgm.2011.01.2253
http://www.annallergy.org/article/S1081-1206(13)00005-7/abstract
http://www.allergologyinternational.com/article/S1323-8930(17)30110-7/fulltext
https://sciencealert.com/rare-post-orgasm-illness-is-real-and-warrants-further-research-study-finds-pois-semen
https://rarediseases.info.nih.gov/diseases/10809/postorgasmic-illness-syndrome
http://www.jsm.jsexmed.org/article/S1743-6095(15)33455-X/fulltext
https://www.nature.com/articles/nrurol.2011.17
progesterone
https://rarediseases.info.nih.gov/diseases/9139/autoimmune-progesterone-dermatitis
https://rarediseases.info.nih.gov/diseases/9139/autoimmune-progesterone-dermatitis/cases/33524
https://www.medscape.com/viewarticle/712365
http://www.annallergy.org/article/S1081-1206(10)61838-8/abstract
https://www.ncbi.nlm.nih.gov/pmc/articles/PMC3423662/
https://www.ncbi.nlm.nih.gov/pmc/articles/PMC509283/
https://www.dermnetnz.org/topics/autoimmune-progesterone-dermatitis
Image Sources:
https://commons.wikimedia.org/wiki/File:Skin_writing01.jpg
https://upload.wikimedia.org/wikipedia/commons/a/a0/SMCpolyhydroxysmall.jpg
https://en.wikipedia.org/wiki/Histamine#/media/File:Histamine.svg
https://commons.wikimedia.org/wiki/File:PSA_KLK3_PDB_2ZCK.png
https://en.wikipedia.org/wiki/Progesterone#/media/File:Progesterone-3D-balls.png</t>
  </si>
  <si>
    <t>The water crisis in Flint, Michigan is a prime example of science being ignored, unknown, or even misused. Here's the chemistry behind how so many things went wrong.
Hosted by: Hank Green
SciShow has a spinoff podcast! It's called SciShow Tangents. Check it out at https://www.scishowtangents.org
----------
Support SciShow by becoming a patron on Patreon: https://www.patreon.com/scishow
----------
Dooblydoo thanks go to the following Patreon supporters: rokoko, Alex Hackman, Andrew Finley Brenan, Lazarus G, Sam Lutfi, D.A. Noe, الخليفي سلطان, Piya Shedden, KatieMarie Magnone, Scott Satovsky Jr, Charles Southerland, Patrick D. Ashmore, charles george, Kevin Bealer, Chris Peters
----------
Looking for SciShow elsewhere on the internet?
Facebook: http://www.facebook.com/scishow
Twitter: http://www.twitter.com/scishow
Tumblr: http://scishow.tumblr.com
Instagram: http://instagram.com/thescishow
----------
Sources:
https://www.michigan.gov/documents/treasury/Edward_Kurtz_Contract_394722_7.pdf
https://www.npr.org/sections/thetwo-way/2016/04/20/465545378/lead-laced-water-in-flint-a-step-by-step-look-at-the-makings-of-a-crisis 
https://www.michigan.gov/som/0,4669,7-192-29942_34762-381701--,00.html
Lead pipes 
https://ajph.aphapublications.org/doi/full/10.2105/AJPH.2007.113555 
https://www.awwa.org/resources-tools/public-affairs/press-room/press-release/articleid/4074/lead-ser.aspx 
https://www.niehs.nih.gov/health/topics/agents/lead/index.cfm 
Corrosion Protection
https://www.epa.gov/sites/production/files/2016-03/documents/occtmarch2016.pdf 
https://cen.acs.org/articles/94/i7/Lead-Ended-Flints-Tap-Water.html 
Chloride &amp; Chlorine
http://www.corrosionjournal.org/doi/abs/10.5006/1.3600449?code=NACE-prem-site
https://www.scientificamerican.com/article/how-does-chlorine-added-t/
https://www.researchgate.net/publication/273749642_Comparison_of_Chlorine_and_Chloramines_on_Lead_Release_from_Copper_Pipe_Rigs 
https://cfpub.epa.gov/ncer_abstracts/index.cfm/fuseaction/display.highlight/abstract/22 
https://www.cityofflint.com/wp-content/uploads/Flint-TTHM-Operational-Evaluation-Report-August-2015.pdf 
https://www.cityofflint.com/wp-content/uploads/TTHM-Notification-Final.pdf
https://www.cdc.gov/safewater/publications_pages/thm.pdf 
Legionnaires
https://www.ncbi.nlm.nih.gov/pmc/articles/PMC5353852/ 
http://www.sciencemag.org/news/2018/02/was-flint-s-deadly-legionnaires-epidemic-caused-low-chlorine-levels-water-supply
https://www.npr.org/sections/health-shots/2018/02/05/582482024/lethal-pneumonia-outbreak-caused-by-low-chlorine-in-flint-water 
https://www.pbs.org/wgbh/frontline/article/flint-water-crisis-deaths-likely-surpass-official-toll/ 
http://www.pnas.org/content/early/2018/01/31/1718679115 
Protocols
https://www.michigan.gov/documents/snyder/FWATF_FINAL_REPORT_21March2016_517805_7.pdf 
http://flintwaterstudy.org/2015/08/hazardous-waste-levels-of-lead-found-in-a-flint-households-water/ 
http://www.michiganradio.org/post/states-instructions-sampling-drinking-water-lead-not-best-practice
https://www.epa.gov/sites/production/files/2015-11/documents/drinking_water_sample_collection.pdf
https://www.michigan.gov/documents/deq/Lead_Copper_Sampling_Instructions_329915_7.pdf 
http://flintwaterstudy.org/information-for-flint-residents/results-for-citizen-testing-for-lead-300-kits/ 
http://www.cescenter.com/documents/Regulatory%20Limits%20for%20Contaminants%20of%20Concern.pdf 
Lead Poisoning
https://academic.oup.com/brain/article/126/1/5/299373
https://www.ncbi.nlm.nih.gov/pubmed/19644200 
Conclusion
https://www.smithsonianmag.com/science-nature/chemical-study-ground-zero-house-flint-water-crisis-180962030/
https://www.cityofflint.com/wp-content/uploads/Adding-Extra-Phosphate-to-Flint-Water-09-Copy.pdf 
http://www.michiganradio.org/post/flints-lead-pipe-replacement-program-moves-forward-under-new-management 
Images:
https://en.wikipedia.org/wiki/File:Lead_pipe_-_Bath_Roman_Baths.jpg
https://en.wikipedia.org/wiki/File:DSC00125_-_Tubi_di_piombo_romani_-_Foto_di_G._Dall%27Orto.jpg
https://en.wikipedia.org/wiki/File:Flint_skyline2.jpg
https://en.wikipedia.org/wiki/File:Severe_Pneumonia_Caused_by_Legionella_pneumophila_Serogroup_11,_Italy.jpg
https://commons.wikimedia.org/wiki/File:Legionella_pneumophila_01.jpg
https://commons.wikimedia.org/wiki/File:Iron(III)_chloride_hexahydrate.jpg</t>
  </si>
  <si>
    <t>In the 1950s, the people of Minamata, Japan started seeing strange behavior from the local cats, and it wasn't long before humans were showing the same symptoms. 
Hosted by: Hank Green
----------
Support SciShow by becoming a patron on Patreon: https://www.patreon.com/scishow
----------
Dooblydoo thanks go to the following Patreon supporters: D.A. Noe, Nicholas Smith,
سلطان الخليفي, Piya Shedden, KatieMarie Magnone, Scott Satovsky Jr, Bella Nash, Charles Southerland, Patrick D. Ashmore, Tim Curwick, charles george, Kevin Bealer, Philippe von Bergen, Chris Peters, Fatima Iqbal
----------
Looking for SciShow elsewhere on the internet?
Facebook: http://www.facebook.com/scishow
Twitter: http://www.twitter.com/scishow
Tumblr: http://scishow.tumblr.com
Instagram: http://instagram.com/thescishow
----------
Sources:
http://emedicine.medscape.com/article/1175560-overview
https://www.scientificamerican.com/article/jeremy-piven-mercury-poisoning/
https://www.theguardian.com/world/2001/oct/16/japan.jonathanwatts
https://www.ncbi.nlm.nih.gov/pubmed/10812838
https://www.ncbi.nlm.nih.gov/pmc/articles/PMC1550196/pdf/bmjcred00586-0061.pdf
http://www.cas.org/news/insights/science-connections/mad-hatter
http://www.tandfonline.com.ezproxy.lib.uts.edu.au/doi/pdf/10.3109/10408449509089885?needAccess=true
https://www.sciencedaily.com/releases/2009/08/090818150020.htm
http://science.sciencemag.org/content/339/6125/1332
http://www.environmentalhistory.org/mercury/history
http://www.bbc.co.uk/programmes/p02jcqmm
Images:
https://commons.wikimedia.org/wiki/File:Marushima_Port_Minamata.JPG
https://commons.wikimedia.org/wiki/File:MadlHatterByTenniel.svg</t>
  </si>
  <si>
    <t>This video answers the questions: Can I talk about the anti-vaccination movement (anti-vaccine, anti-vax, vaccine hesitancy)? Is it related to the Dunning-Kruger effect?
Support Dr. Grande on Patreon: https://www.patreon.com/drgrande
American Psychiatric Association. (2013). Diagnostic and statistical manual of mental disorders (5th ed.). Arlington, VA: Author.
https://www.ncbi.nlm.nih.gov/pmc/articles/PMC6140172/
Motta, M., Callaghan, T., &amp; Sylvester, S. (2018). Knowing less but presuming more: Dunning-Kruger effects and the endorsement of anti-vaccine policy attitudes. Social Science &amp; Medicine, 211, 274–281. doi:10.1016/j.socscimed.2018.06.032 
McIntosh, R. D., Fowler, E. A., Lyu, T., &amp; Della Sala, S. (2019). Wise up: Clarifying the role of metacognition in the Dunning-Kruger effect. Journal of Experimental Psychology: General, 148(11), 1882–1897. https://doi-org.mylibrary.wilmu.edu/10.1037/xge0000579.supp (Supplemental)
Tomljenovic, H., Bubic, A., &amp; Erceg, N. (2019). It just doesn’t feel right – the relevance of emotions and intuition for parental vaccine conspiracy beliefs and vaccination uptake. Psychology &amp; Health, 1–17. doi:10.1080/08870446.2019.1673894 
Morrison, M., Castro, L. A., &amp; Ancel Meyers, L. (2020). Conscientious vaccination exemptions in kindergarten to eighth-grade children across Texas schools from 2012 to 2018: A regression analysis. PLoS Medicine, 17(3), 1–18. https://doi-org.mylibrary.wilmu.edu/10.1371/journal.pmed.1003049
Olive, J. K., Hotez, P. J., Damania, A., &amp; Nolan, M. S. (2018). The state of the antivaccine movement in the United States: A focused examination of nonmedical exemptions in states and counties. PLoS Medicine, 15(6), e1002578. https://doi-org.mylibrary.wilmu.edu/10.1371/journal.pmed.1002578
Nelly Patricia, C. R., Yary Zulay, J. P., Jesús Carlos, R. L., Miranda Alejandra, C., Reyna Cristina, J. S., &amp; Vázquez Josefina, R. (2019). The Influence of Antivaccination Movements on the Re-emergence of Measles. Journal of Pure &amp; Applied Microbiology, 13(1), 127–132. https://doi-org.mylibrary.wilmu.edu/10.22207/JPAM.13.1.13
Kluger, J. (2019). The Vaccine Battlegrounds. TIME Magazine, 193(24), 38.
Tolley, K. (2019) School Vaccination Wars: The Rise of Anti-Science in the American Anti-Vaccination Societies, 1879–1929. History of Education Quarterly Vol. 59 No. 2 
doi:10.1017/heq.2019.3</t>
  </si>
  <si>
    <t>Hank talks about the issues of rising global population.
Like SciShow on Facebook: http://www.facebook.com/scishow
Follow SciShow on Twitter: http://www.twitter.com/scishow
Sources: 
Life Expectancy: http://www.data360.org/dsg.aspx?Data_Set_Group_Id=195
Demographics: http://www.sciencemag.org/content/suppl/2011/07/28/333.6042.649-b.DC1/SciencePodcast_110729.pdf
http://dotearth.blogs.nytimes.com/2011/08/02/a-fresh-look-at-population-bombs-and-bulges/
http://business.blogs.cnn.com/2011/11/29/sex-deficit-bad-for-japans-bottom-line/
Environment: http://www.time.com/time/specials/packages/article/0,28804,2097720_2097782_2097814,00.html
http://ecocentric.blogs.time.com/2010/10/26/wildlife-biodiversity-is-declining-fast—but-it-would-be-even-worse-without-conservation-efforts/
Hunger: http://www.grida.no/publications/other/geo3/?src=/geo/geo3/english/fig308.htm
Various stuff: National Geo infographic: http://www.youtube.com/watch?v=sc4HxPxNrZ0
Image:
http://en.wikipedia.org/wiki/File:Thomas_Malthus.jpg</t>
  </si>
  <si>
    <t>Let's face it: Humans are pretty messy. Industrial processes like mining and manufacturing are important parts of keeping civilization going, but they all impact the environment. Sometimes that impact is particularly big and messy, leaving behind hazardous waste that can take years or even decades to clean up. 
Hosted by: Hank Green
----------
Dooblydoo thanks go to the following Patreon supporters -- we couldn't make SciShow without them! Shout out to Patrick Merrithew, Will and Sonja Marple, Thomas J., Kevin Bealer, Chris Peters, charles george, Kathy &amp; Tim Philip, Tim Curwick, Bader AlGhamdi, Justin Lentz, Patrick D. Ashmore, Mark Terrio-Cameron, Benny, Fatima Iqbal, Accalia Elementia, Kyle Anderson, and Philippe von Bergen.
--------------------
Sources:
http://nationalgeographic.org/news/superfund/
https://www.epa.gov/superfund
https://www.epa.gov/superfund/superfund-history 
https://www.bu.edu/lovecanal/canal/ 
https://cumulis.epa.gov/supercpad/cursites/csitinfo.cfm?id=0201290
http://nationalgeographic.org/news/superfund/
http://www.nytimes.com/2004/03/18/nyregion/love-canal-declared-clean-ending-toxic-horror.html?_r=0
https://www.geneseo.edu/history/love_canal_history
https://www.epa.gov/aboutepa/love-canal-tragedy 
https://www.health.ny.gov/environmental/investigations/love_canal/cancer_study_community_report.htm 
http://www.atsdr.cdc.gov/phs/phs.asp?id=658&amp;tid=121 
https://cumulis.epa.gov/supercpad/cursites/dsp_ssppSiteData2.cfm?id=0500761#Risk
https://cumulis.epa.gov/supercpad/cursites/csitinfo.cfm?id=0500761
https://www3.epa.gov/region5/superfund/redevelop/pdfs/Kerr-McGee_(Reed-Keppler_Park).pdf
http://www.prnewswire.com/news-releases/epa-33-million-cleanup-complete-at-reed-keppler-park-superfund-site-72372622.html 
http://www.world-nuclear.org/information-library/nuclear-fuel-cycle/nuclear-wastes/radioactive-waste-management.aspx 
https://www.sciencenews.org/article/foam-gets-its-shot-anthrax 
http://www.cdc.gov/anthrax/basics/how-people-are-infected.html 
http://www.livescience.com/37755-what-is-anthrax-bioterrorism.html
http://www.lenntech.com/processes/disinfection/chemical/disinfectants-chlorine-dioxide.htm
http://www.sandia.gov/media/cbwfoam.htm
http://www.nytimes.com/1999/03/16/science/chemists-create-foam-to-fight-nerve-gases.html
http://www.gao.gov/new.items/d03686.pdf
http://jb.asm.org/content/191/24/7587.full 
https://news.google.com/newspapers?nid=1346&amp;dat=20020117&amp;id=jL0wAAAAIBAJ&amp;sjid=m_0DAAAAIBAJ&amp;pg=5339,4689386&amp;hl=en
http://www.clordisys.com/whatcd.php
http://www.ncbi.nlm.nih.gov/books/NBK215288/ 
http://oregonstate.edu/ehs/asb-when
http://www.madehow.com/Volume-4/Asbestos.html
https://www.epa.gov/indoor-air-quality-iaq/volatile-organic-compounds-impact-indoor-air-quality
https://www3.epa.gov/region1/superfund/sites/blackburn/259640.pdf
https://cumulis.epa.gov/supercpad/cursites/csitinfo.cfm?id=0101713
http://www.walpole-ma.gov/sites/walpolema/files/file/file/blackburn032911.pdf 
http://www.atsdr.cdc.gov/phs/phs.asp?id=37&amp;tid=14 
http://www.atsdr.cdc.gov/hac/pha/pha.asp?docid=1240&amp;pg=2 
https://weather.com/slideshows/news/berkeley-pit-montana-toxic-20130920
http://www.atlasobscura.com/places/berkeley-pit
http://www.pitwatch.org/31-years-since-pumps-stopped/
https://cumulis.epa.gov/supercpad/cursites/csitinfo.cfm?id=0800416
http://www.pitwatch.org/what-is-the-critical-water-level-cwl/
http://serc.carleton.edu/NAGTWorkshops/health/case_studies/butte_case_stud.html
http://www.ecy.wa.gov/programs/wq/pesticides/enviroReview/riskAssess/CAOHRiskAssess.pdf 
http://www.itrcweb.org/miningwaste-guidance/References/2079-ZickPA.pdf 
http://www.umt.edu/urelations/_cms/_archive/research_view_archive/Summer%202012/Scientific%20Marriage.php 
http://www.pitwatch.org/plan-for-treatment-technology-assessment/ 
http://www.pitwatch.org/what-is-the-horseshoe-bend-water-treatment-plant/ 
https://darrp.noaa.gov/sites/default/files/case-documents/PCBContamincationOfTheHudsonRiverEcosystem.pdf 
http://www.greenfacts.org/en/pcbs/l-2/1-polychlorinated-biphenyls.htm
http://www.clearwater.org/news/pcbhealth.html
http://www.nytimes.com/2009/05/16/science/earth/16dredge.html?pagewanted=all
http://www.riverkeeper.org/campaigns/stop-polluters/pcbs/
https://www3.epa.gov/hudson/cleanup.html#quest2
http://www.mnn.com/health/healthy-spaces/photos/10-superfund-sites-where-are-they-now/hudson-river-new-york#top-desktop 
http://www.wsj.com/articles/ge-nears-end-of-hudson-river-cleanup-1447290049 
http://www.atsdr.cdc.gov/csem/csem.asp?csem=30&amp;po=10 
http://www.health.state.mn.us/divs/eh/hazardous/topics/tce.html
http://www.nesc.wvu.edu/ndwc/articles/QandA/OTw01_Q_A.pdf
https://cumulis.epa.gov/supercpad/cursites/dsp_ssppSiteData1.cfm?id=0402598#Why
https://cumulis.epa.gov/supercpad/cursites/csitinfo.cfm?id=0402598
http://www.theatlantic.com/health/archive/2015/03/dont-drink-the-water/385837/
http://pulse.pharmacy.arizona.edu/resources/chemicals/case_studies_tce_cdc.pdf
http://www.atsdr.cdc.gov/toxprofiles/tp19.pdf</t>
  </si>
  <si>
    <t>Ever wonder why we still haven't cured cancer? Join SciShow as we discuss what's wrong with that question and why it's so hard to find a cure.
Hosted by: Hank Green
----------
Dooblydoo thanks go to the following Patreon supporters -- we couldn't make SciShow without them! Shout out to Christopher Prevoe, Justin Ove, John Szymakowski, Peso255, Ruben Galvao, Fatima Iqbal, Justin Lentz, and David Campos.
----------
Like SciShow? Want to help support us, and also get things to put on your walls, cover your torso and hold your liquids? Check out our awesome products over at DFTBA Records: http://dftba.com/scishow
Or help support us by becoming our patron on Patreon:
https://www.patreon.com/scishow
----------
Looking for SciShow elsewhere on the internet?
Facebook: http://www.facebook.com/scishow
Twitter: http://www.twitter.com/scishow
Tumblr: http://scishow.tumblr.com
Instagram: http://instagram.com/thescishow
Sources:
http://www.sciencedirect.com/science/article/pii/S0092867411001279
http://www.sciencedirect.com/science/article/pii/S0092867400816839
http://www.nature.com/news/technology-the-1-000-genome-1.14901
http://www.nature.com/articles/nature12831.epdf?referrer_access_token=QF6wYDyfrryBoXw1bKMWjdRgN0jAjWel9jnR3ZoTv0MMmSSO4vO-gLg0ACEpB9IWdWhSYtS2mT7zlmpQSM2I8ewJB69h-le3X7d_MwDaNd9ph7lK1cjyH2RVw7tQ1fMjGaneTN-rRSUB-u7Pmc44Ydbz0wt5_CBtIRDKZh0aXiuGgbqiR18mtUZxtm9Ypczd8TfQ4lj25tF6cWacB5ixg8BdHyXkbpxt_CVCLev1aPU%3D&amp;tracking_referrer=www.nature.com
http://www.nature.com/articles/nature11003.epdf?referrer_access_token=5E5o1uwIGh7H4tr6EHWHCdRgN0jAjWel9jnR3ZoTv0OKLuJtWKbDm_c3Ow-wMdPsS4uKo2DLWyC4t6SNVa64kDx4F45pcjmzSEARLc2JBpIkwHECqg0BsP2d5W8fmGN_to9I0UC6vgk2gpCPBD7-CY7HVVUh4uV-SplCONplc83o9WOLjkJYXsTJRXVaMPJxEhSrm2H8H-vPjL2750t7Lg%3D%3D&amp;tracking_referrer=www.nature.com
http://www.nejm.org/doi/full/10.1056/NEJMra072367
http://www.nature.com/scitable/topicpage/proto-oncogenes-to-oncogenes-to-cancer-883
http://www.nature.com/scitable/topicpage/tumor-suppressor-ts-genes-and-the-two-887#
http://www.nature.com/scitable/topicpage/gleevec-the-breakthrough-in-cancer-treatment-565
http://cancergenome.nih.gov/newsevents/newsannouncements/TCGA_The_Next_Stage
http://www.molecular-cancer.com/content/pdf/1476-4598-9-254.pdf
http://www.hindawi.com/journals/njos/2014/757534/
http://www.ncbi.nlm.nih.gov/pubmed/18425818
http://www.illumina.com/systems/hiseq-x-sequencing-system/system.html
http://europepmc.org/articles/PMC3349233
http://www.nature.com/bjc/journal/v111/n5/full/bjc2014215a.html
http://chemoth.com/
http://www.cancer.gov/cancertopics/treatment/types/radiation-therapy/radiation-fact-sheet
http://www.cancerresearchuk.org/about-cancer/cancers-in-general/treatment/chemotherapy/chemotherapy-side-effects</t>
  </si>
  <si>
    <t>In the past, some experiments were run in scary and unethical ways. From using children to unknowing subjects, these five experiments left people affected for the rest of their lives.
Hosted by: Hank Green
----------
Support SciShow by becoming a patron on Patreon: https://www.patreon.com/scishow
----------
Dooblydoo thanks go to the following Patreon supporters -- we couldn't make SciShow without them! Shout out to Patrick Merrithew, Will and Sonja Marple, Thomas J., Kevin Bealer, Chris Peters, charles george, Kathy &amp; Tim Philip, Tim Curwick, Bader AlGhamdi, Justin Lentz, Patrick D. Ashmore, Mark Terrio-Cameron, Benny, Fatima Iqbal, Accalia Elementia, Kyle Anderson, and Philippe von Bergen.
----------
Like SciShow? Want to help support us, and also get things to put on your walls, cover your torso and hold your liquids? Check out our awesome products over at DFTBA Records: http://dftba.com/scishow
----------
Looking for SciShow elsewhere on the internet?
Facebook: http://www.facebook.com/scishow
Twitter: http://www.twitter.com/scishow
Tumblr: http://scishow.tumblr.com
Instagram: http://instagram.com/thescishow
----------
Sources:
https://www.theguardian.com/law/2015/jul/10/us-torture-doctors-psychologists-apa-prosecution 
http://www.apa.org/ethics/code/
http://www.hhs.gov/ohrp/regulations-and-policy/belmont-report/ 
Little Albert
http://www.apa.org/monitor/2010/01/little-albert.aspx 
http://psychclassics.yorku.ca/Watson/emotion.htm 
The Monster Study
http://ir.uiowa.edu/cgi/viewcontent.cgi?article=6264&amp;context=etd 
http://www.uh.edu/ethicsinscience/Media/Monster%20Study.pdf 
The Milgram Experiment
https://www.und.edu/instruct/wstevens/PROPOSALCLASS/MARSDEN&amp;MELANDER2.htm 
The Bystander Effect
http://www.wadsworth.com/psychology_d/templates/student_resources/0155060678_rathus/ps/ps19.html
http://psycnet.apa.org/?&amp;fa=main.doiLanding&amp;doi=10.1037/h0025589
The Stanford Prison Experiment
http://www.prisonexp.org/
http://blogs.scientificamerican.com/beautiful-minds/an-important-but-rarely-discussed-lesson-of-the-stanford-prison-experiment/ 
Photos: 
Wundt Research Group: https://commons.wikimedia.org/wiki/File:Wundt-research-group.jpg</t>
  </si>
  <si>
    <t>Hank tells us about all of the things that live on us or in us - the good, the bad, and the very, very ugly.
Like Scishow on Facebook: http://www.facebook.com/scishow
Follow Scishow on Twitter: http://www.twitter.com/scishow
References for this episode can be found in the Google document here: http://dft.ba/-2CkS</t>
  </si>
  <si>
    <t>SciShow explores the grim story of the lobotomy, the medical procedure that earned its inventor perhaps the most regrettable Nobel Prize in history.
Hosted by: Michael Aranda
----------
SciShow has a spinoff podcast! It's called SciShow Tangents. Check it out at http://www.scishowtangents.org
----------
Like SciShow? Want to help support us, and also get things to put on your walls, cover your torso and hold your liquids? Check out our awesome products over at DFTBA Records: http://dftba.com/scishow
Support SciShow by becoming a patron on Patreon: https://www.patreon.com/scishow
----------
Looking for SciShow elsewhere on the internet?
Facebook: http://www.facebook.com/scishow
Twitter: http://www.twitter.com/scishow
Tumblr: http://scishow.tumblr.com
Instagram: http://instagram.com/thescishow
Sources:
http://www.pbs.org/wgbh/aso/databank/entries/dh35lo.html
http://www.sciencedirect.com.weblib.lib.umt.edu:8080/science/article/pii/S1045187003700296
http://ibro.info/wp-content/uploads/2012/12/Fulton-John-Faquhar.pdf
http://www.nobelprize.org/nobel_prizes/medicine/laureates/1949/moniz-article.html
http://lobotomy.umwblogs.org/the-begining/
http://www.gesnerus.ch/fileadmin/media/pdf/2005_1-2/077-101_Kotowicz.pdf</t>
  </si>
  <si>
    <t>The human body can have some odd, and sometimes gross, quirks. Like, why do we blush or laugh, especially when someone burps or farts? And what's even up with us having so much gas to begin with?! It sounds like it's time for a compilation!
Hosted by: Olivia Gordon
Why Do We Laugh: https://www.youtube.com/watch?v=Ov-kXSS1_yc
Why Do We Blush: https://www.youtube.com/watch?v=9AcQXnOscQ8
Why Do We Burp and Fart (So Much)?!: https://www.youtube.com/watch?v=3CVoTfcdd4w
Why Do We Sneeze: https://www.youtube.com/watch?v=KdypW7gglp8
Why Do We Itch: https://www.youtube.com/watch?v=spv0qAwEUI8
Why Do We Yawn: https://www.youtube.com/watch?v=ew_iZTPoC3c
SciShow has a spinoff podcast! It's called SciShow Tangents. Check it out at http://www.scishowtangents.org
----------
Support SciShow by becoming a patron on Patreon: https://www.patreon.com/scishow
----------
Huge thanks go to the following Patreon supporters for helping us keep SciShow free for everyone forever:
Matt Curls, Sam Buck, Christopher R Boucher, Avi Yashchin, Adam Brainard, Greg, Alex Hackman, Sam Lutfi, D.A. Noe, Piya Shedden, Scott Satovsky Jr, Charles Southerland, Patrick D. Ashmore, charles george, Kevin Bealer, Chris Peters
----------
Looking for SciShow elsewhere on the internet?
Facebook: http://www.facebook.com/scishow
Twitter: http://www.twitter.com/scishow
Tumblr: http://scishow.tumblr.com
Instagram: http://instagram.com/thescishow
---------</t>
  </si>
  <si>
    <t>People have struggled to understand some hypotheses scientists had, which are correct but were disclaimed back then. So here’s the 5 scientists and their ideas that nobody believed. 
Hosted by: Hank Green
SciShow has a spinoff podcast! It's called SciShow Tangents. Check it out at https://www.scishowtangents.org
----------
Support SciShow by becoming a patron on Patreon: https://www.patreon.com/scishow
----------
Dooblydoo thanks go to the following Patreon supporters: rokoko, Alex Hackman, Andrew Finley Brenan, Lazarus G, Sam Lutfi, D.A. Noe, الخليفي سلطان, Piya Shedden, KatieMarie Magnone, Scott Satovsky Jr, Charles Southerland, Patrick D. Ashmore, charles george, Kevin Bealer, Chris Peters
----------
Looking for SciShow elsewhere on the internet?
Facebook: http://www.facebook.com/scishow
Twitter: http://www.twitter.com/scishow
Tumblr: http://scishow.tumblr.com
Instagram: http://instagram.com/thescishow
----------
References:
https://www.ncbi.nlm.nih.gov/pmc/articles/PMC5539135/
https://www.ncbi.nlm.nih.gov/pmc/articles/PMC1888599/
https://www.ncbi.nlm.nih.gov/pmc/articles/PMC1742910/
https://www.ncbi.nlm.nih.gov/pmc/articles/PMC1888599/figure/F3/
https://www.ncbi.nlm.nih.gov/books/NBK333408/ 
https://www.cancerresearchuk.org/about-cancer/what-is-cancer/body-systems-and-cancer/the-immune-system-and-cancer#treatments
https://www.nobelprize.org/prizes/medicine/1966/rous/facts/
https://www.ncbi.nlm.nih.gov/pmc/articles/PMC3647430/
http://jem.rupress.org/content/12/5/696
https://blogs.plos.org/workinprogress/2012/02/09/the-story-of-peyton-rous-and-chicken-cancer/
https://link.springer.com/article/10.1007/BF02227892
https://www.ncbi.nlm.nih.gov/pmc/articles/PMC3256973/
https://qualitysafety.bmj.com/content/13/3/233
https://wwwnc.cdc.gov/eid/article/7/2/ac-0702_article 
https://cda-adc.ca/jcda/vol-66/issue-10/546.html 
https://www.ncbi.nlm.nih.gov/pmc/articles/PMC3881728/
https://www.ncbi.nlm.nih.gov/pmc/articles/PMC1088248/
https://www.genome.gov/25520238/online-education-kit-1900-rediscovery-of-mendels-work/
http://www.brooklyn.cuny.edu/bc/ahp/MBG/MBG2/MBG.Question.02.html 
https://history.nih.gov/exhibits/nirenberg/hs1_mendel.htm
https://www.ncbi.nlm.nih.gov/pubmed/11488142
https://www.scientificamerican.com/article/hugo-de-vries/
http://www.indiana.edu/~p1013447/dictionary/mendel.htm 
https://www2.palomar.edu/anthro/mendel/mendel_1.htm 
https://www.geolsoc.org.uk/Plate-Tectonics/Chap1-Pioneers-of-Plate-Tectonics/Alfred-Wegener
http://www.ucmp.berkeley.edu/history/wegener.html
https://earthobservatory.nasa.gov/Features/Wegener/wegener_4.php
https://www.nationalgeographic.org/encyclopedia/continental-drift/ 
http://www.indiana.edu/~geol105/images/gaia_chapter_3/wegener.htm</t>
  </si>
  <si>
    <t>As you know, in fashion, one day you're in and the next day your skin is falling off and your lungs are melting. 
Hosted by: Michael Aranda
----------
Looking for SciShow elsewhere on the internet?
Facebook: http://www.facebook.com/scishow
Twitter: http://www.twitter.com/scishow
Tumblr: http://scishow.tumblr.com
Instagram: http://instagram.com/thescishow
----------
Sources:
http://hyperallergic.com/133571/fatal-victorian-fashion-and-the-allure-of-the-poison-garment/ 
http://www.macleans.ca/culture/arts/deadly-victorian-fashions/  
Arsenic Pigments
http://www.fda.gov/Food/FoodborneIllnessContaminants/Metals/ucm280202.htm 
http://www.lilinks.com/mara/history.html
http://www.webexhibits.org/pigments/indiv/overview/emerald.html 
http://nj.gov/health/eoh/rtkweb/documents/fs/0529.pdf 
https://thepragmaticcostumer.wordpress.com/2014/06/11/drop-dead-gorgeous-a-tldr-tale-of-arsenic-in-victorian-life/ 
https://janeaustensworld.wordpress.com/2010/03/05/emerald-green-or-paris-green-the-deadly-regency-paint/ 
http://journals.ed.ac.uk/resmedica/article/viewFile/182/799 
http://pictorial.jezebel.com/the-arsenic-dress-how-poisonous-green-pigments-terrori-1738374597 
http://www.pysanky.info/Chemical_Dyes/History.html
https://books.google.com/books?id=FSwNAAAAYAAJ&amp;pg=PA276
https://books.google.com/books?id=CGQ9AQAAMAAJ&amp;pg=PA57
http://jama.jamanetwork.com/article.aspx?articleid=236188
http://archinte.jamanetwork.com/article.aspx?articleid=570645
https://books.google.com/books?id=nQcCAAAAYAAJ&amp;pg=PA459
http://www.ch.ic.ac.uk/motm/perkin.html 
http://www.atsdr.cdc.gov/toxfaqs/tf.asp?id=449&amp;tid=79 
https://books.google.com/books?id=DZE0AQAAMAAJ&amp;pg=PA664
https://books.google.com/books?id=izvOAAAAMAAJ&amp;pg=PA679
Asbestos Fabric
http://www.asbestos.com/asbestos/history/ 
https://books.google.com/books?id=acQ_AQAAMAAJ&amp;pg=RA5-PA52
http://www.asbestos.net/exposure/occupations/manufacturing/furnace-men-smelter-men-and-pourers/#top
http://www.ijera.com/papers/Vol2_issue5/DN25675680.pdf
http://www.ncbi.nlm.nih.gov/pubmed/11210016
https://books.google.com/books?id=ShpaAAAAYAAJ&amp;pg=PA562
https://books.google.com/books?id=re4pCgAAQBAJ&amp;pg=PA124
http://www.econscious.net/images/stories/pdf/bamboo%20article%20link.pdf
http://www.nrdc.org/international/cleanbydesign/files/CBD_FiberFacts_ViscoseRayon.pdf 
Mercury Hats
https://www.cas.org/news/insights/science-connections/mad-hatter
http://connecticuthistory.org/ending-the-danbury-shakes-a-story-of-workers-rights-and-corporate-responsibility/
http://onlinelibrary.wiley.com/doi/10.1002/tox.10116/abstract
http://medical-dictionary.thefreedictionary.com/Mad+Hatter+syndrome 
Lead Makeup
http://www.sciencedirect.com/science/article/pii/S0738081X01001961
http://www.jcia.org/n/en/info/b/ 
http://www.ncbi.nlm.nih.gov/pubmed/?term=2484407
http://www.sciencedirect.com/science/article/pii/S0305440310002682 
http://www.nbcnews.com/id/22546056/ns/health/t/suffering-beauty-has-ancient-roots/#.VsSDrZMrK9t 
https://books.google.com/books?id=LpplCgAAQBAJ&amp;pg=PT79
https://books.google.com/books?id=e9fel0gM3j0C&amp;pg=PA10
https://books.google.com/books?id=FRE4AAAAMAAJ
http://cosmeticsandskin.com/aba/glowing-complexion.php
http://www.theatlantic.com/health/archive/2013/03/how-we-realized-putting-radium-in-everything-was-not-the-answer/273780/
http://mentalfloss.com/article/12732/9-ways-people-used-radium-we-understood-risks
http://weheartvintage.co/2014/02/14/radioactive-cosmetics-makeup-of-the-atomic-era/
http://www.cancer.org/cancer/cancercauses/radiationexposureandcancer/index
http://visualiseur.bnf.fr/CadresFenetre?O=NUMM-3104&amp;I=523&amp;M=tdm 
http://science.sciencemag.org/content/sci/49/1262/227.full.pdf
http://pubs.acs.org/doi/abs/10.1021/ed003p757 
https://books.google.com/books?id=PpTi_JAx7PgC&amp;pg=PA288
http://www.chemistry.pomona.edu/chemistry/periodic_table/Elements/Radium/radium.htm 
http://www.nytimes.com/1998/10/06/science/a-glow-in-the-dark-and-a-lesson-in-scientific-peril.html?pagewanted=all 
https://labalsadelanostromo.wordpress.com/2014/10/06/cosmetica-luminosa/
http://www.wisegeek.com/what-are-atropine-eye-drops.htm
http://www.chm.bris.ac.uk/webprojects2001/gerrard/atropine.html
https://www.nlm.nih.gov/medlineplus/druginfo/natural/531.html
http://mentalfloss.com/article/50259/fatal-attraction-7-terrifying-beauty-practices-history
https://nei.nih.gov/health/glaucoma/glaucoma_facts 
Celluloid Combs and Other Accessories
http://www.chemheritage.org/discover/online-resources/conflicts-in-chemistry/the-case-of-plastics/blog/dangerous-materials.aspx
http://cdnc.ucr.edu/cgi-bin/cdnc?a=d&amp;d=PRP19040430.2.17.6
https://books.google.com/books?id=R7UOAQAAIAAJ&amp;pg=PA211
https://books.google.com/books?id=uZdlCgAAQBAJ&amp;pg=PA195
https://books.google.com/books?id=_YhMAQAAMAAJ&amp;pg=PA661
https://books.google.com/books?id=svM4AAAAMAAJ&amp;pg=PA170</t>
  </si>
  <si>
    <t>SciShow takes you to a uranium deposit in Africa where, eons ago, a unique set of conditions came together to form the world’s only known natural nuclear reactor. Check it out! No radiation suit required!
Hosted by: Hank Green
----------
Check out SciShow's podcast SciShow Tangents at http://www.scishowtangents.org
----------
Like SciShow? Want to help support us, and also get things to put on your walls, cover your torso and hold your liquids? Check out our awesome products over at DFTBA Records: http://dftba.com/scishow
Or support SciShow by becoming a patron on Patreon: https://www.patreon.com/scishow
----------
Looking for SciShow elsewhere on the internet?
Facebook: http://www.facebook.com/scishow
Twitter: http://www.twitter.com/scishow
Tumblr: http://scishow.tumblr.com
Instagram: http://instagram.com/thescishow
Thanks Tank Tumblr: http://thankstank.tumblr.com
Sources:</t>
  </si>
  <si>
    <t>It may not look like it sitting in that cute bear bottle, but honey is a supercharged bacteria-killing powerhouse!
Learn more about hydrogen peroxide: https://www.youtube.com/watch?v=vVSC79nxCvI
Hosted by: Hank Green
----------
Support SciShow by becoming a patron on Patreon: https://www.patreon.com/scishow
----------
Dooblydoo thanks go to the following Patreon supporters -- we couldn't make SciShow without them! Shout out to Justin Ove, Coda Buchanan, Lucy McGlasson, Accalia Elementia, Mark Terrio-Cameron, Saul, Kathy &amp; Tim Philip, Kevin Bealer, Christopher Collins, Thomas J., charles george, Andreas Heydeck, Patrick D. Ashmore, Justin Lentz, Will and Sonja Marple, Ed Shelley, Chris Peters, Tim Curwick, Philippe von Bergen, Fatima Iqbal.
----------
Like SciShow? Want to help support us, and also get things to put on your walls, cover your torso and hold your liquids? Check out our awesome products over at DFTBA Records: http://dftba.com/scishow
----------
Looking for SciShow elsewhere on the internet?
Facebook: http://www.facebook.com/scishow
Twitter: http://www.twitter.com/scishow
Tumblr: http://scishow.tumblr.com
Instagram: http://instagram.com/thescishow
----------
Sources:
http://www.ncbi.nlm.nih.gov/pubmed/22095907
http://pubs.acs.org/doi/abs/10.1021/ed084p1643?journalCode=jceda8
http://www.compoundchem.com/2014/08/21/chemistryofhoney/
https://edis.ifas.ufl.edu/aa142
http://www.sciencedirect.com/science/article/pii/S0278691510003959
http://www.scientificamerican.com/article/how-do-salt-and-sugar-pre/
http://www.livescience.com/33061-why-does-hydrogen-peroxide-fizz-on-cuts.html
http://emedicine.medscape.com/article/961833-overview#a5
Images:
https://commons.wikimedia.org/wiki/File:Cueva_arana.jpg
https://commons.wikimedia.org/wiki/File:Cristallizzazione_del_miele_IMG_0371.JPG
https://commons.wikimedia.org/wiki/File:77_1gpe.png
https://commons.wikimedia.org/wiki/File:Apis_mellifera_Portrait.jpg
https://en.wikipedia.org/wiki/Methylglyoxal#/media/File:Pyruvaldehyde.svg
https://commons.wikimedia.org/wiki/File:Manuka_flowers_and_native_bee.jpg</t>
  </si>
  <si>
    <t>The internet has given us access to a wealth of information about humanity, including about those big weird brains that make us who we are.
Hosted by: Brit Garner
----------
Support SciShow by becoming a patron on Patreon: https://www.patreon.com/scishow
SciShow has a spinoff podcast! It's called SciShow Tangents. Check it out at https://www.scishowtangents.org
----------
Dooblydoo thanks go to the following Patreon supporters:
Alex Hackman, Andrew Finley Brenan, Lazarus G, Sam Lutfi, D.A. Noe,  الخليفي سلطان, Piya Shedden, KatieMarie Magnone, Scott Satovsky Jr, Charles Southerland, Patrick D. Ashmore, charles george, Kevin Bealer, Chris Peters
----------
Looking for SciShow elsewhere on the internet?
Facebook: http://www.facebook.com/scishow
Twitter: http://www.twitter.com/scishow
Tumblr: http://scishow.tumblr.com
Instagram: http://instagram.com/thescishow
----------
Sources:
https://www.youtube.com/watch?v=YWKUhZJp7uw
https://www.youtube.com/watch?v=rnMkfMH3wmI
https://www.youtube.com/watch?v=sANg0NyvVnk
https://www.youtube.com/watch?v=9CQ4riP2g-M
https://www.youtube.com/watch?v=Uq0yo0OMG7c</t>
  </si>
  <si>
    <t>Being a teenager is hard. Especially when hormones play their part in wreaking havoc on the teenage body and brain. In this episode, Hank explains what is happening to the during the angsty-time. 
----------
Like SciShow? Want to help support us, and also get things to put on your walls, cover your torso and hold your liquids? Check out our awesome products over at DFTBA Records: http://dftba.com/artist/52/SciShow
Or help support us by subscribing to our page on Subbable: https://subbable.com/scishow
----------
Looking for SciShow elsewhere on the internet?
Facebook: http://www.facebook.com/scishow
Twitter: http://www.twitter.com/scishow
Tumblr: http://scishow.tumblr.com
Thanks Tank Tumblr: http://thankstank.tumblr.com
SOURCES
http://ngm.nationalgeographic.com/print/2011/10/teenage-brains/dobbs-text **
http://www.slate.com/articles/health_and_science/new_scientist/2013/04/teenage_sleep_patterns_why_school_should_start_later.html 
http://www.livescience.com/11043-teens-hurt-science-injury.html
http://www.livescience.com/12896-7-mind-body-aging.html
http://www.bbc.co.uk/science/humanbody/body/articles/lifecycle/teenagers/sleep.shtml
http://online.wsj.com/news/articles/SB10001424052970203806504577181351486558984
http://www.pbs.org/wgbh/pages/frontline/shows/teenbrain/view/ 
http://www.livescience.com/21461-teen-brain-adolescence-facts.html 
http://rendezvous.blogs.nytimes.com/2013/05/15/science-tackles-mystery-of-the-teenage-brain/
http://science.howstuffworks.com/life/teenage-brain.htm
http://www.theguardian.com/science/2005/mar/03/1 
http://www.pbs.org/wgbh/pages/frontline/shows/teenbrain/work/ 
http://www.newscientist.com/topic/teenagers 
http://www.newscientist.com/article/mg21829130.100-why-teenagers-really-do-need-an-extra-hour-in-bed.html 
http://www.sciencedaily.com/releases/2006/12/061211124302.htm 
http://www.ncbi.nlm.nih.gov/pubmed/8381804 
http://www.nature.com/jid/journal/v53/n1/full/jid1969100a.html</t>
  </si>
  <si>
    <t>Studies have found that even some of the most well-known home remedies don’t work, and sometimes they do more harm than good.
Hosted by: Stefan Chin
Healthcare Triage: https://www.youtube.com/healthcaretriage
Head to https://scishowfinds.com/ for hand selected artifacts of the universe! 
----------
Support SciShow by becoming a patron on Patreon: https://www.patreon.com/scishow
----------
Dooblydoo thanks go to the following Patreon supporters: Lazarus G, Sam Lutfi, D.A. Noe, سلطان الخليفي, Piya Shedden, KatieMarie Magnone, Scott Satovsky Jr, Charles Southerland, Patrick D. Ashmore, Tim Curwick, charles george, Kevin Bealer, Chris Peters
----------
Looking for SciShow elsewhere on the internet?
Facebook: http://www.facebook.com/scishow
Twitter: http://www.twitter.com/scishow
Tumblr: http://scishow.tumblr.com
Instagram: http://instagram.com/thescishow
----------
Sources:
Honey for allergies
https://www.honey.com/faq
https://www.annallergy.org/article/S1081-1206(10)61996-5/pdf
https://acaai.org/allergies/treatment/allergy-shots-immunotherapy
https://acaai.org/resources/connect/ask-allergist/will-honey-relieve-my-seasonal-allergies
https://www.researchgate.net/profile/Kimmo_Saarinen/publication/49719792_Birch_Pollen_Honey_for_Birch_Pollen_Allergy_-_A_Randomized_Controlled_Pilot_Study/links/00b495264d41f09d6d000000.pdf 
Butter for burns
http://www.woundsaustralia.com.au/journal/1801_01.pdf
https://www.burnsjournal.com/#http://www.burnsjournal.com/article/S0305-4179(06)00740-6/fulltext
https://www.burnsjournal.com/article/0305-4179(93)90070-O/fulltext
https://uamshealth.com/healthlibrary2/medicalmyths/butterforburns/
https://www.burnsjournal.com/article/S0305-4179(08)00352-5/fulltext 
https://www.researchgate.net/profile/William_Tiong/publication/269701993_On_Scene_First_Aid_and_Emergency_Care_for_Burn_Victims/links/5493b6ed0cf22d7925da33a9/On-Scene-First-Aid-and-Emergency-Care-for-Burn-Victims.pdf
https://www.researchgate.net/profile/William_Tiong/publication/269701993_On_Scene_First_Aid_and_Emergency_Care_for_Burn_Victims/links/5493b6ed0cf22d7925da33a9/On-Scene-First-Aid-and-Emergency-Care-for-Burn-Victims.pdf
https://xu.uic.edu/files/2014/08/Burn.pdf
https://www.ncbi.nlm.nih.gov/pubmed/25820085
http://bebc.xjtu.edu.cn/paper%20file/36.pdf
https://www.tandfonline.com/doi/abs/10.1080/00325481.1995.11945998?journalCode=ipgm20 
https://www.sciencedirect.com/science/article/pii/S0305417906000611 
Vinegar for lice
https://www.ncbi.nlm.nih.gov/pmc/articles/PMC3418981/
https://link.springer.com/content/pdf/10.1007%2Fs40257-014-0094-4.pdf#page12
https://www.sciencedirect.com/science/article/pii/S0882596304001393
https://www.ncbi.nlm.nih.gov/pmc/articles/PMC3418981/#b7-0580839
https://www.health.harvard.edu/blog/fda-approves-new-treatment-for-head-lice-201101191170
http://pediatrics.aappublications.org/content/126/2/392.full
Ipecac syrup
https://www.jahonline.org/article/S1054-139X(05)00112-6/fulltext
https://www.tandfonline.com/doi/full/10.1081/CLT-46735?scroll=top&amp;needAccess=true
https://www.tandfonline.com/doi/abs/10.3109/15563659709162567
https://www.ncbi.nlm.nih.gov/pubmed/11557913
Head back for nosebleeds
https://www.nytimes.com/2008/04/29/health/29real.html
http://www.jnsmonline.org/article.asp?issn=2589-627X;year=2018;volume=1;issue=1;spage=22;epage=27;aulast=Saleem
https://pmj.bmj.com/content/postgradmedj/74/868/113.full.pdf
Tea bags for pink eye
https://nei.nih.gov/health/pinkeye/pink_facts
https://www.ncbi.nlm.nih.gov/pubmed/21042790
https://www.ncbi.nlm.nih.gov/pubmed/18236016
https://academic.oup.com/femspd/article/51/3/443/631090
------
Images: 
https://www.istockphoto.com/photo/good-things-come-to-those-who-wait-gm860089106-142087901
https://www.istockphoto.com/photo/honey-and-honeycomb-gm810340892-131108297
https://www.istockphoto.com/photo/mother-and-daughter-with-cold-or-flu-gm173545657-25471999
https://www.istockphoto.com/photo/toast-with-honey-for-breakfast-gm675227764-124371929
https://www.istockphoto.com/photo/bees-on-honeycomb-gm853088856-140272109
https://www.istockphoto.com/photo/a-red-first-aid-box-with-supplies-for-dressings-in-front-gm473170132-63832735
https://www.istockphoto.com/photo/stick-of-butter-gm181151588-25717631
https://www.istockphoto.com/photo/stick-of-butter-gm675971696-124892439
https://www.istockphoto.com/photo/physiotherapy-patient-with-hand-in-ice-bath-gm470224943-35118798
https://www.flickr.com/photos/9082612@N05/4900275659
https://commons.wikimedia.org/w/index.php?title=File%3AHead_louse_crawling_on_hairbrush.webm
https://www.istockphoto.com/photo/lice-on-the-hair-gm841432766-137235891
https://tinyurl.com/yamv9hf3
https://tinyurl.com/y73fs7rk
https://tinyurl.com/ybogeprm
https://tinyurl.com/y8lkpc6f
https://tinyurl.com/ybyg5xtd
https://tinyurl.com/yd9jqs57
https://tinyurl.com/y9bo587b</t>
  </si>
  <si>
    <t>You might think you know how to survive if you end up stranded in the wild, but those tips you read on the internet might just make things worse!
Some tips seem too good to be true, and they are. Others are ingrained enough to be common knowledge, except they’re wrong.
Hosted by: Hank Green
Head to https://scishowfinds.com/ for hand selected artifacts of the universe! 
----------
Support SciShow by becoming a patron on Patreon: https://www.patreon.com/scishow
----------
Dooblydoo thanks go to the following Patreon supporters: Jerry Perez, Lazarus G, Sam Lutfi, Kevin Knupp, Nicholas Smith, D.A. Noe, alexander wadsworth, سلطان الخليفي, Piya Shedden, KatieMarie Magnone, Scott Satovsky Jr, Charles Southerland, Bader AlGhamdi, James Harshaw, Patrick D. Ashmore, Candy, Tim Curwick, charles george, Saul, Mark Terrio-Cameron, Viraansh Bhanushali. Kevin Bealer, Philippe von Bergen, Chris Peters, Justin Lentz
----------
Looking for SciShow elsewhere on the internet?
Facebook: http://www.facebook.com/scishow
Twitter: http://www.twitter.com/scishow
Tumblr: http://scishow.tumblr.com
Instagram: http://instagram.com/thescishow
----------
Sources:
https://www.istockphoto.com/photo/desert-cloudscape-gm482377760-69992289
https://www.istockphoto.com/photo/snowy-empty-driving-road-in-the-winter-iceland-gm657042568-119691245
Eating snow
http://scienceline.ucsb.edu/getkey.php?key=1619 
https://www.npr.org/sections/thesalt/2016/01/23/463959512/so-you-want-to-eat-snow-is-it-safe-we-asked-scientists
https://www.istockphoto.com/photo/winter-scene-thaw-gm628875450-111753311
Cactus juice
https://www.britannica.com/story/can-you-drink-water-from-a-cactus
https://www.ncbi.nlm.nih.gov/pmc/articles/PMC148931/ 
https://onlinelibrary.wiley.com/doi/pdf/10.1002/jsfa.2740350410 
https://toxnet.nlm.nih.gov/cgi-bin/sis/search/a?dbs+hsdb:@term+@DOCNO+1202
https://www.khanacademy.org/science/biology/photosynthesis-in-plants/photorespiration--c3-c4-cam-plants/a/c3-c4-and-cam-plants-agriculture
https://www.kidney.org/atoz/content/calcium-oxalate-stone  
https://commons.wikimedia.org/wiki/File:Ferocactus_wislizeni_(6541006057).jpg
https://en.wikipedia.org/wiki/File:Prickly_Pear_Closeup.jpg
https://www.istockphoto.com/photo/field-of-cactus-gm145997810-6138805
Urine and blood
http://www.slate.com/articles/news_and_politics/explainer/2008/05/the_yellow_liquid_diet.html
https://www.livescience.com/15899-drinking-blood-safe.html
https://www.hemochromatosis.org/#overview 
https://www.istockphoto.com/photo/beer-with-forth-gm183243456-14730136
https://www.istockphoto.com/photo/blood-dripping-gm157509239-10684671
Moss
http://mentalfloss.com/article/56243/does-moss-really-only-grow-north-side-trees
http://scienceline.ucsb.edu/getkey.php?key=2975
http://projects.ncsu.edu/project/bio181de/Lab/plant_phylogeny/non-vascular.html 
https://www.istockphoto.com/photo/strong-roots-of-old-tree-covered-with-green-moss-close-up-gm866600452-144131965
https://www.istockphoto.com/photo/the-gree-hell-mossy-roots-and-trunks-in-deep-forest-gm912425688-251189812
Alcohol
http://mentalfloss.com/article/32256/does-drinking-alcohol-really-keep-you-warm-when-its-cold-out
https://www.ncbi.nlm.nih.gov/pubmed/2318781
https://www.princeton.edu/~oa/safety/hypocold.shtml 
https://www.istockphoto.com/photo/close-up-view-of-the-bottle-in-ice-gm133897014-18274727
https://www.istockphoto.com/photo/young-woman-drinking-a-tea-on-the-city-gm628664428-111676911
Frostbite
https://emedicine.medscape.com/article/926249-overview#a3 
https://www.mayoclinic.org/diseases-conditions/hypothermia/diagnosis-treatment/drc-20352688 
https://www.istockphoto.com/photo/man-with-a-tan-beanie-and-red-scarf-trying-to-warm-up-gm142527503-17874723
Snakebite
http://www.nejm.org/doi/full/10.1056/NEJMra013477
https://www.omicsonline.org/open-access/pathophysiological-and-pharmacological-effects-of-snake-venom-components-molecular-targets-2161-0495.1000-190.php?aid=25709 
http://www.umich.edu/~elements/fogler&amp;gurmen/html/web_mod/cobra/avenom.htm 
https://www.istockphoto.com/photo/venomous-snake-bites-mans-finger-gm939901378-256963981
https://www.istockphoto.com/photo/isolated-diamondback-rattlesnake-gm91032724-5881298
Jellyfish
https://www.britannica.com/science/nematocyst#ref1013437
http://www.mdpi.com/2072-6651/9/3/105/htm?xid=PS_smithsonian
https://www.smithsonianmag.com/travel/how-fix-jellyfish-sting-180963582/
https://www.smithsonianmag.com/science-nature/whats-behind-that-jellyfish-sting-2844876/
https://www.ncbi.nlm.nih.gov/pmc/articles/PMC4728541/
https://www.nytimes.com/2007/08/14/health/14real.html
https://www.ncbi.nlm.nih.gov/pmc/articles/PMC3773479/ 
https://en.wikipedia.org/wiki/File:Moon_jellyfish_at_Gota_Sagher.JPG
https://www.istockphoto.com/photo/stingers-gm172300393-3544362
Thumbnail:
https://www.istockphoto.com/photo/caveman-gm157533887-11308958</t>
  </si>
  <si>
    <t>If you celebrate American Thanksgiving, odds are you're full of food and pretty sleepy right about now. While you drift off for a post-feast nap, enjoy this compilation of episodes covering all kinds of different sleepy, science-y topics!
Hosted by: Michael Aranda
SciShow has a spinoff podcast! It's called SciShow Tangents. Check it out at https://www.scishowtangents.org
----------
Support SciShow by becoming a patron on Patreon: https://www.patreon.com/scishow
----------
Dooblydoo thanks go to the following Patreon supporters: rokoko, Alex Hackman, Andrew Finley Brenan, Lazarus G, Sam Lutfi, D.A. Noe, الخليفي سلطان, Piya Shedden, KatieMarie Magnone, Scott Satovsky Jr, Charles Southerland, Patrick D. Ashmore, charles george, Kevin Bealer, Chris Peters
----------
Looking for SciShow elsewhere on the internet?
Facebook: http://www.facebook.com/scishow
Twitter: http://www.twitter.com/scishow
Tumblr: http://scishow.tumblr.com
Instagram: http://instagram.com/thescishow
----------</t>
  </si>
  <si>
    <t>There are natural poisons that lurk in bacteria, plants, and fungi pretty much everywhere, and they're there for good reasons (according to the organisms that produce them) - but what is it about their chemical make up that makes them so poisonous? How do their toxins attack the human body with such deadly efficiency? Discover the answers to these and other questions as Hank talks about some of the most deadly natural substances in the world.
Like SciShow? Want to help support us, and also get things to put on your walls, cover your torso and hold your liquids? 
Tardigrade Poster: http://vid.io/xom
SciShow Mug: http://vid.io/xoa
SciShow Shirt: http://vid.io/xog
--
SciShow elsewhere on the internet:
http://www.facebook.com/scishow
http://www.twitter.com/scishow
http://scishow.tumblr.com
References and image licenses for this episode can be found in the Google document here: http://dft.ba/-5jCx</t>
  </si>
  <si>
    <t>Why are GMOs bad? They aren’t. They just aren’t, not intrinsically, and certainly not for your health. We’ve been eating them for decades with no ill effects, which makes sense, because a genetically modified organism is simply an organism, like every other organism, produces hundreds of thousands of proteins, but one or two of them are proteins that were chosen specifically by humans.
Hosted by: Hank Green
----------
Dooblydoo thanks go to the following Patreon supporters -- we couldn't make SciShow without them! Shout out to Justin Ove, Chris Peters, John Szymakowski, Peso255, Fatima Iqbal, Justin Lentz, and David Campos.
----------
Like SciShow? Want to help support us, and also get things to put on your walls, cover your torso and hold your liquids? Check out our awesome products over at DFTBA Records: http://dftba.com/scishow
Or help support us by becoming our patron on Patreon:
https://www.patreon.com/scishow
----------
Looking for SciShow elsewhere on the internet?
Facebook: http://www.facebook.com/scishow
Twitter: http://www.twitter.com/scishow
Tumblr: http://scishow.tumblr.com
Instagram: http://instagram.com/thescishow
Sources:
GMO Salmon
http://www.independent.co.uk/news/science/a-giant-leap-into-the-unknown-gm-salmon-that-grows-and-grows-2085856.html
http://www.aquabounty.com/products/products-295.aspx
How are GMOs Made
http://cls.casa.colostate.edu/transgeniccrops/history.html
http://www.hudsonalpha.org/education/kits/gmod/gmos-made
Glycophosphate / Monsanto
http://npic.orst.edu/factsheets/glyphogen.pdf
http://www.scientificamerican.com/article.cfm?id=do-seed-companies-control-gm-crop-research
http://www.nature.com/scitable/topicpage/genetically-modified-organisms-gmos-transgenic-crops-and-732
http://blogs.scientificamerican.com/guest-blog/2011/08/11/genetically-engineered-crops/
http://californiaagriculture.ucanr.org/landingpage.cfm?articleid=ca.v054n04p6
http://www.scq.ubc.ca/transgenic-crops-how-genetics-is-providing-new-ways-to-envision-agriculture/
http://www.ca.uky.edu/entomology/entfacts/ef130.asp
http://agbiosafety.unl.edu/education/summary.htm
http://medicine.jrank.org/pages/2902/Transgenic-Plants.html
http://www.news.cornell.edu/stories/Aug11/BtLooper.html
http://www.ucsusa.org/assets/documents/food_and_agriculture/failure-to-yield-brochure.pdf
http://www.chiefscientist.gov.au/2011/11/genetically-modified-food-explained/
http://www.independent.co.uk/news/science/ready-to-eat-the-first-gm-fish-for-the-dinner-table-8430639.html
http://www.scientificamerican.com/article.cfm?id=genetically-modified-crop
http://www.independent.co.uk/news/science/ready-to-eat-the-first-gm-fish-for-the-dinner-table-8430639.html
http://www.popsci.com/science/article/2011-01/life-cycle-genetically-modified-seed
http://passel.unl.edu/pages/informationmodule.php?idinformationmodule=958077244&amp;topicorder=4&amp;maxto=7&amp;minto=1
http://passel.unl.edu/pages/informationmodule.php?idinformationmodule=958077244&amp;topicorder=3&amp;maxto=7
http://www.nytimes.com/2009/02/20/business/20crop.html
http://benthamscience.com/open/tonutraj/articles/V004/3TONUTRAJ.pdf
http://www.gov.pe.ca/af/agweb/index.php3?number=72724</t>
  </si>
  <si>
    <t>Today we take a look at six misconceptions about cancer that seem plausible, but just don't hold up.
Annotations:
Oxygen is Killing You: https://youtu.be/VnAhAX98HY4
Do We Have To Give Up Bacon: https://youtu.be/UqvXc4q0NyM
Hosted by: Hank Green
Thumbnail Credit: David Pacey
----------
Dooblydoo thanks go to the following Patreon supporters -- we couldn't make SciShow without them! Shout out to Justin Ove, Justin Lentz, David Campos, Chris Peters, Philippe von Bergen, Fatima Iqbal, John Murrin, Linnea Boyev, and Kathy &amp; Tim Philip.
----------
Like SciShow? Want to help support us, and also get things to put on your walls, cover your torso and hold your liquids? Check out our awesome products over at DFTBA Records: http://dftba.com/scishow
Or help support us by becoming our patron on Patreon:
https://www.patreon.com/scishow
----------
Looking for SciShow elsewhere on the internet?
Facebook: http://www.facebook.com/scishow
Twitter: http://www.twitter.com/scishow
Tumblr: http://scishow.tumblr.com
Instagram: http://instagram.com/thescishow
Sources:
http://scienceblog.cancerresearchuk.org/2014/03/24/dont-believe-the-hype-10-persistent-cancer-myths-debunked/
http://scienceblogs.com/observations/2010/09/06/ocean-of-pseudoscience-sharks/
http://cancerres.aacrjournals.org/content/64/23/8485.full
http://www.ncbi.nlm.nih.gov/pubmed/25157892
https://anaximperator.wordpress.com/2012/09/13/sugar-depleted-diet-is-not-a-useful-cancer-cure/
http://www.nature.com/news/2003/031021/full/news031020-2.html
https://www.newscientist.com/article/dn19591-briefing-cancer-is-not-a-disease-of-the-modern-world/
http://scienceblog.cancerresearchuk.org/2015/02/04/why-are-cancer-rates-increasing/
http://www.chicagotribune.com/lifestyles/health/sc-hlth-1223-cancer-hot-spots-20160113-story.html
http://cancerres.aacrjournals.org/content/69/16/6500.long
http://oncology.jamanetwork.com/article.aspx?articleid=2294966
http://www.livescience.com/51425-cancer-rates-decline.html
http://www.cancerresearchuk.org/about-cancer/causes-of-cancer/cancer-controversies/cancer-clusters
https://www.maurerfoundation.org/high-long-island-breast-cancer-rates-fact-or-fiction/
http://www.cancer.gov/about-cancer/causes-prevention/risk/diet/antioxidants-fact-sheet
http://www.scientificamerican.com/article/antioxidants-may-make-cancer-worse/
http://www.ncbi.nlm.nih.gov/pmc/articles/PMC3473763/#b3
http://www.cancer.org/cancer/testicularcancer/detailedguide/testicular-cancer-diagnosis
https://en.wikipedia.org/wiki/Warburg_hypothesis
Images:
https://en.wikipedia.org/wiki/File:AflatoxinB1-balls.png
https://en.wikipedia.org/wiki/File:Otto_Warburg.jpg
https://en.wikipedia.org/wiki/File:DARK_CLOUDS_OF_FACTORY_SMOKE_OBSCURE_CLARK_AVENUE_BRIDGE_-_NARA_-_550179.jpg
https://commons.wikimedia.org/wiki/File:Cigarette_smoking.jpg
https://commons.wikimedia.org/wiki/File:Brain_biopsy_under_stereotaxy.jpg
https://commons.wikimedia.org/wiki/File:Sugar_Cubes_(7164573186).jpg</t>
  </si>
  <si>
    <t>Every summer it seems like there’s that one person who always gets a lot of mosquito bites. But what makes people mosquito magnets?  
Go to http://Brilliant.org/SciShow to try out Brilliant’s Daily Challenges. The first 200 subscribers get 20% off an annual Premium subscription. 
Hosted by: Hank Green
SciShow has a spinoff podcast! It's called SciShow Tangents. Check it out at http://www.scishowtangents.org
----------
Support SciShow by becoming a patron on Patreon: https://www.patreon.com/scishow
----------
Huge thanks go to the following Patreon supporters for helping us keep SciShow free for everyone forever:
Adam Brainard, Greg, Alex Hackman, Sam Lutfi, D.A. Noe, الخليفي سلطان, Piya Shedden, KatieMarie Magnone, Scott Satovsky Jr, Charles Southerland, Patrick D. Ashmore, charles george, Kevin Bealer, Chris Peters
----------
Looking for SciShow elsewhere on the internet?
Facebook: http://www.facebook.com/scishow
Twitter: http://www.twitter.com/scishow
Tumblr: http://scishow.tumblr.com
Instagram: http://instagram.com/thescishow
----------
Sources:
https://www.nationalgeographic.com/animals/invertebrates/group/mosquitoes/ 
https://onlinelibrary.wiley.com/doi/full/10.1111/j.1461-0248.2005.00879.x 
https://www.sciencedirect.com/science/article/pii/S009286741400155X 
https://link.springer.com/article/10.1007/s10886-015-0587-5 
https://www.cambridge.org/core/journals/international-journal-of-tropical-insect-science/article/role-of-olfaction-in-hostseeking-of-mosquitoes-a-review/3B111178C42BFD66A2F09E77B2DB2AA5
https://www.cambridge.org/core/journals/bulletin-of-entomological-research/article/role-of-carbon-dioxide-in-hostfinding-by-mosquitoes-diptera-culicidae-a-review/2506B86EF63852B2D02EC3FCEE1E3B8B
https://link.springer.com/article/10.1007/s10886-015-0587-5
https://academic.oup.com/chemse/article/26/5/523/420128 
https://www.sciencedirect.com/science/article/pii/S0960982219302155 
https://onlinelibrary.wiley.com/doi/abs/10.1111/j.1365-2915.2006.00627.x 
https://www.researchgate.net/profile/Rahul_Keswani/publication/229127147_A_Review_of_Mosquito_Attraction_Studies_Important_Parameters_and_Techniques/links/0fcfd5005956f0077e000000.pdf
https://www.ncbi.nlm.nih.gov/pubmed/22678934
https://pdfs.semanticscholar.org/cd71/f7e0b01b051a7e1ea3258d3f4105db5a42c8.pdf
https://academic.oup.com/jme/article-abstract/18/6/505/2219905
https://citeseerx.ist.psu.edu/viewdoc/download?doi=10.1.1.691.2193&amp;rep=rep1&amp;type=pdf [PDF]
https://academic.oup.com/jee/article-abstract/40/3/326/1032708?redirectedFrom=PDF
https://jamanetwork.com/journals/jama/article-abstract/659138
https://academic.oup.com/jme/article/44/3/427/854447
https://www.biorxiv.org/content/biorxiv/early/2019/01/03/510594.full.pdf [PDF]
https://journals.plos.org/plosone/article?id=10.1371/journal.pone.0009546#s4 
https://www.ncbi.nlm.nih.gov/pubmed?Db=pubmed&amp;Cmd=ShowDetailView&amp;TermToSearch=12083361&amp;ordinalpos=3&amp;itool=EntrezSystem2.PEntrez.Pubmed.Pubmed_ResultsPanel.Pubmed_RVDocSum
https://www.ncbi.nlm.nih.gov/pubmed/9713547 
https://www.pnas.org/content/pnas/111/30/11079.full.pdf 
https://journals.plos.org/plosone/article?id=10.1371/journal.pone.0063602 
https://journals.plos.org/plosbiology/article?id=10.1371/journal.pbio.0030298 
https://www.ncbi.nlm.nih.gov/pubmed/10602664 
https://www.eurekalert.org/emb_releases/2019-05/p-eyp043019.php 
http://dx.doi.org/10.1371/journal.pbio.3000238</t>
  </si>
  <si>
    <t>We have a writer on our show named Gary and he has a problem. His office is a mess because he collects crap and he buys all manner of nonsense on eBay. His wife won't let him bring it home anymore, so he keeps it here. It has become such a problem that Jimmy decided to surprise him and get him some professional help from Matt Paxton from 'Hoarders.'
High Witness News – People Lie About Being High https://youtu.be/o-qMwlrWfuA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5.6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sixteenth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Kimmel Writer is a Hoarder
https://youtu.be/CJxTlLzBWMM</t>
  </si>
  <si>
    <t>Jimmy pays tribute to Kobe Bryant the day after he and his daughter Gianna and seven of their friends were killed in a helicopter crash. We take a look back at some of our favorite moments with Kobe from his 15 appearances on our show over the years. If you want to remember Kobe in a philanthropic way, make a donation to The Kobe and Vanessa Bryant Family Foundation. http://kvbff.org
Jimmy Kimmel Remembers Kobe Bryant
https://youtu.be/sk00epALZps</t>
  </si>
  <si>
    <t>Jimmy announces that after almost 18 years of doing this show he will be taking the summer off and some very talented and capable people will be filling in for him as guest hosts. Loser Matt Damon interrupts Jimmy's announcement with some thoughts on his summer break. Unbeknownst to Jimmy, Matt has been living in his house during the entire quarantine. Jimmy has been making donations to worthwhile causes chosen by our guests every day during the shutdown. Our guest today, Pharrell Williams, chose World Central Kitchen. Please help Chef José Andrés fight hunger around the world. Go here to donate -  https://wck.org/ #JimmyKimmelLiveFromHisHouse #MattDamon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Emmy®-nominated “Jimmy Kimmel Live!,” ABC’s late-night talk show. “Jimmy Kimmel Live!” is well known for its huge viral video successes, with over 11 billion views and more than 15 million subscribers on the show’s YouTube channel. Some of Kimmel’s most popular comedy bits include “Celebrities Read Mean Tweets,” “Lie Witness News,” “Unnecessary Censorship,” “Halloween Candy YouTube Challenge,” and music videos like “I (Wanna) Channing All Over Your Tatum.”</t>
  </si>
  <si>
    <t>There are almost 700,000 of what some call 'dreamers' in the United States who were brought to this country as children and many of them could face deportation if DACA isn't renewed.  A vast majority of Americans, somewhere in the neighborhood of 87% support DACA, but all of a sudden, this is becoming a polarizing issue. So, we found some Americans who say they do not support DACA and Jimmy introduces them to a real family whose future is relying on it to see if we could bring people together by bringing them face to face.
Trump and Jay-Z Feud https://youtu.be/Yl3B4wZMwoA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5.6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sixteenth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Jimmy Kimmel Introduces DACA Opponents to Dreamers
https://youtu.be/5QY5pLQqIYM</t>
  </si>
  <si>
    <t>Jimmy and Guillermo do their new handshake to avoid the Coronavirus, Jimmy realized that his 5-year-old daughter Jane is a lot like Donald Trump, Trump closed out Black History month in a big way, Joe Biden celebrated his victory in South Carolina with a lap on Sunday morning news shows, Tom Steyer, Pete Buttigieg &amp; Amy Klobuchar all dropped out of the presidential race, Public Enemy announced that they are moving forward without Flavor Flav because of a dispute with Bernie Sanders, and Donald Trump has Coronavirus totally under control.
Can You Name a Country? https://youtu.be/umpalMtQE50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5.6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seventeenth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Jimmy Kimmel’s Daughter is Just Like Trump
https://youtu.be/pYE2FnDsevM</t>
  </si>
  <si>
    <t>Shia reveals the story behind his arrest at the Broadway show “Cabaret.” 
SUBSCRIBE to get the latest #KIMMEL: http://bit.ly/JKLSubscribe
Watch the latest Mean Tweets: http://bit.ly/MeanTweets8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 nominated "Jimmy Kimmel Live," ABC's late-night talk show.
"Jimmy Kimmel Live" is well known for its huge viral video successes with 1.5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eleventh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Shia LaBeouf on His Arrest
http://youtu.be/jtAkNf_b_TM</t>
  </si>
  <si>
    <t>Trump was getting on Air Force One to head to Mar-A-Lago for the weekend when the wind blew his hair in a very peculiar way. We were so taken by this video that we decided to go around town to ask real hair styling professionals what they think about whatever that is on Donald Trump’s head.
Jimmy Kimmel Guesses 'Who's High?' https://youtu.be/2tglSRA9ks8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5.6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sixteenth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Hair Stylists React to Trump’s Hair Flapping in the Wind
https://youtu.be/AtCLwYFRp4o</t>
  </si>
  <si>
    <t>MORE FROM 'THE VIEW':
Full episodes: http://abcn.ws/2tl10qh
Twitter: http://twitter.com/theview
Facebook: http://facebook.com/TheView
Instagram: http://instagram.com/theviewabc</t>
  </si>
  <si>
    <t>In today’s #JimmyKimmelLiveFromHisHouse monologue, Jimmy talks about things opening up in California, Donald Trump's commencement speech at West Point where he struggled taking a sip of water and walking down a ramp, and Jimmy reads some of the birthday cards Trump received on his 74th birthday. Jimmy is making a donation to a worthwhile cause every day during this quarantine. Today our guest Bill Burr chose St. Jude Children’s Research Hospital. Please help them treat kids with cancer and other pediatric diseases. Go here to donate -  https://www.stjude.org/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Emmy®-nominated “Jimmy Kimmel Live!,” ABC’s late-night talk show. “Jimmy Kimmel Live!” is well known for its huge viral video successes, with over 11 billion views and more than 15 million subscribers on the show’s YouTube channel. Some of Kimmel’s most popular comedy bits include “Celebrities Read Mean Tweets,” “Lie Witness News,” “Unnecessary Censorship,” “Halloween Candy YouTube Challenge,” and music videos like “I (Wanna) Channing All Over Your Tatum.”</t>
  </si>
  <si>
    <t>Richard talks about playing Prince Charming in Cinderella and he reveals that he had some difficulty with his very tight costume.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Richard Madden on Hiding His Genitalia 
http://youtu.be/wsR6FUn5pgM</t>
  </si>
  <si>
    <t>Robert Kennedy, Jr., son of the late Robert F. Kennedy, has spent his life fighting for causes he holds dear, including controversial ones. For over three decades, Kennedy, Jr. served as an attorney for top environmental groups, going toe-to-toe in lawsuits against corporate giants. More recently, he's questioned the safety of vaccines, eliciting rebukes from a consensus of mainstream scientists, and even from family members. 
Subscribe to Yahoo Finance: https://yhoo.it/2fGu5Bb
About Yahoo Finance: 
At Yahoo Finance, you get free stock quotes, up-to-date news, portfolio management resources, international market data, social interaction and mortgage rates that help you manage your financial life.
Connect with Yahoo Finance:
Get the latest news: https://yhoo.it/2fGu5Bb
Find Yahoo Finance on Facebook: http://bit.ly/2A9u5Zq
Follow Yahoo Finance on Twitter: http://bit.ly/2LMgloP
Follow Yahoo Finance on Instagram: http://bit.ly/2LOpNYz</t>
  </si>
  <si>
    <t>Seth sticks it to Chris Christie, Rand Paul and other vaccination critics.
» Subscribe to Late Night: http://bit.ly/LateNightSeth
» Get more Late Night with Seth Meyers: http://www.nbc.com/late-night-with-seth-meyers/
» Watch Late Night with Seth Meyers Weeknights 12:35/11:35c on NBC.
Follow Late Night: http://www.twitter.com/LateNightSeth
Late Night Tumblr: http://latenightseth.tumblr.com/
Get more NBC:
NBC YouTube: http://full.sc/MtLxIM
Like NBC: http://Facebook.com/NBC
Follow NBC: http://Twitter.com/NBC
NBC Tumblr: http://nbctv.tumblr.com/
Late Night with Seth Meyers on YouTube features A-list celebrity guests, memorable comedy and the best in musical talent.
The Sticking Point: The Anti-Vaxxer Movement - Late Night with Seth Meyers
http://www.youtube.com/user/latenightseth</t>
  </si>
  <si>
    <t>Scientists and religious leaders come together to find middle ground in exploring their worldviews. 
SUBSCRIBE for more! _xD83D__xDC49_http://bit.ly/SUBSCRIBEjubilee _xD83D__xDC48_
Watch more Middle Ground: http://bit.ly/WatchMiddleGround
Follow us on INSTAGRAM: https://www.instagram.com/jubileemedia/
Are you a loyal Jubilee fan? Join our Facebook group: https://www.facebook.com/groups/407942859721012/
Want to be in a Jubilee video? Fill out our casting form: https://goo.gl/forms/EYJEIGgtGTOrb8GC2
FEATURING:
Jess
https://instagram.com/volcano.jess 
Andrew
https://instagram.com/oddrobotband
Don
https://www.donaldprothero.com
Gyokei
https://longbeachbuddhistchurch.dosugoi.net/
Matt
https://www.facebook.com/profile.php?id=663852323
| ABOUT |
Jubilee exists to bridge people together and inspire love through compelling stories. We create shareable human-centric videos that create connection, challenge assumptions, and touch the soul.
Ultimately, we aim to inspire people to LIVE GREATER.
| SOCIAL |
Jubilee Facebook: https://www.facebook.com/jubileemedia
Jubilee Instagram: https://www.instagram.com/jubileemedia/
Jubilee Twitter: https://www.twitter.com/jubileemedia
Jubilee Website: https://www.jubileemedia.com
Jubilee MERCH: https://www.jubileegear.com
For brands interested in partnering with Jubilee, email us:
hello@jubileemedia.com
Help us caption &amp; translate this video!
https://amara.org/v/mja2/</t>
  </si>
  <si>
    <t>Critics of genetically modified organisms or GMOs claim that they pose health risks to the public. Jimmy is always interested in people who have strong opinions, so we sent a crew to one of our local farmers markets to ask people why they avoid GMOs and, more specifically, what the letters GMO stand for. 
SUBSCRIBE to get the latest #KIMMEL: http://bit.ly/JKLSubscribe
Watch the latest Mean Tweets: http://bit.ly/MeanTweets8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 nominated "Jimmy Kimmel Live," ABC's late-night talk show.
"Jimmy Kimmel Live" is well known for its huge viral video successes with 1.5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eleventh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What's a GMO?
http://youtu.be/EzEr23XJwFY</t>
  </si>
  <si>
    <t>Cate talks about her ears popping for the first time in 19 years, prompting her and Jimmy talk at length about their fascination with ears.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Cate Blanchett’s Ears Popped After 19 Years
http://youtu.be/2lBqbREuyD8</t>
  </si>
  <si>
    <t>Teachers are so important to this country. Jimmy thinks it’s our job to listen to them to find out what we can do to make their lives better. So we reached out to teachers and asked them to tell us what they hate about their jobs. Here’s just some of the responses we received. 
The next group up is the I.T. people of America! We want to know the funny things you dislike about working in technical support. Record yourself complaining about your job and post it using #WhatIHate in your title so we can find it. Be on the lookout for a message from us in your YouTube account.
Matt Damon Surprises Idina Menzel https://www.youtube.com/watch?v=BcnkMODvJPk
SUBSCRIBE to get the latest #KIMMEL: http://bit.ly/JKLSubscribe
Watch the latest Halloween Candy Prank: http://bit.ly/KimmelHalloweenCandy
Watch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t>
  </si>
  <si>
    <t>Jimmy texts with his niece Allison about One Direction taking an extended break.
SUBSCRIBE to get the latest #KIMMEL: http://bit.ly/JKLSubscribe
Watch the latest Halloween Candy Prank: http://bit.ly/KimmelHalloweenCandy
Watch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Jimmy Kimmel Texts His Niece About One Direction Split
https://youtu.be/QNDLZoi3lo0</t>
  </si>
  <si>
    <t>It has been almost a year since the inauguration of Donald Trump and his positive approval rating is at 37% among adults. Jimmy wanted to see what kids thought of his first year in office so we stopped some on the street and asked them how they think he is doing.
Wolf Blitzer Accepts Donald Trump’s Fake News Award https://youtu.be/VGPKryH8D2o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5.6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sixteenth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We Ask Kids How Trump is Doing
https://youtu.be/XYviM5xevC8</t>
  </si>
  <si>
    <t>Teachers have difficult jobs and so in honor of Teacher Appreciation Week, we went out to Hollywood Boulevard to give people a chance to say sorry for the terrible things they did while in school.
Jimmy Kimmel on the Met Gala https://youtu.be/vlujbzP1G_g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5.6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sixteenth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People Apologize to Their Teachers
https://youtu.be/I2lQ_gFO3I0</t>
  </si>
  <si>
    <t>Will Arnett pranked Jimmy with an iPhone trick this morning, and it quickly took over his day as he inflicted the same prank on all his friends.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Jimmy's Accidental Selfie Prank
https://youtu.be/LyDKS5ubiDI</t>
  </si>
  <si>
    <t>Some people can't eat gluten for medical reasons, but a lot of people in Los Angeles don't eat gluten because someone in their yoga class told them not to. Jimmy wondered how many of these people even know what gluten is, so we sent a camera crew out to a popular exercise spot here in LA and asked people who are gluten-free a simple question: "What is gluten?" #PedestrianQuestion
SUBSCRIBE to get the latest #KIMMEL: http://bit.ly/JKLSubscribe
Watch the latest Mean Tweets: http://bit.ly/MeanTweets8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 nominated "Jimmy Kimmel Live," ABC's late-night talk show.
"Jimmy Kimmel Live" is well known for its huge viral video successes with 1.5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eleventh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Pedestrian Question - What is Gluten?  http://youtu.be/AdJFE1sp4Fw</t>
  </si>
  <si>
    <t>Emily recently became an American citizen, but Jimmy wanted to test her knowledge of America with his own, more realistic citizenship test.
SUBSCRIBE to get the latest #KIMMEL: http://bit.ly/JKLSubscribe
Watch the latest Halloween Candy Prank: http://bit.ly/KimmelHalloweenCandy
Watch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Emily Blunt Takes the REAL U.S. Citizenship Test
https://youtu.be/8yqLqAlcrrE</t>
  </si>
  <si>
    <t>Gordon evaluates Jimmy’s palate with a blind taste test.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Gordon Ramsay Gives Jimmy Kimmel a Blind Taste Test
http://youtu.be/Y6iila6HedI</t>
  </si>
  <si>
    <t>February is Black History Month. President Ford officially recognized Black History Month in 1976. Since then a lot has changed when it comes to race relations. Jimmy thought that might be a good area for tonight’s Pedestrian Question. So we went out onto Hollywood Boulevard and asked people “Do You Have a Black Friend?” #PedestrianQuestion
SUBSCRIBE to get the latest #KIMMEL: http://bit.ly/JKLSubscribe
Watch the latest Halloween Candy Prank: http://bit.ly/KimmelHalloweenCandy
Watch the latest Mean Tweets: http://bit.ly/KimmelMeanTweets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Pedestrian Question - Do You Have a Black Friend?
http://youtu.be/yrR48pQTQhc</t>
  </si>
  <si>
    <t>Equal pay is an issue that could affect many generations of Americans and since children are our future, Jimmy thought it would be a good idea to get their take on it. So we went out on the street and asked kids to explain why they think women get paid less than men. This is what they had to say.
Deleted Scene from "Batman v Superman” Starring Jimmy Kimmel - https://www.youtube.com/watch?v=0Y8iRvQdSGA
SUBSCRIBE to get the latest #KIMMEL: http://bit.ly/JKLSubscribe
Watch the latest Halloween Candy Prank: http://bit.ly/KimmelHalloweenCandy
Watch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Kids Explain Why Women Are Paid Less Than Men
https://youtu.be/S1Onniy08AY</t>
  </si>
  <si>
    <t>Mila teaches Jimmy an important lesson for expectant fathers.
SUBSCRIBE to get the latest #KIMMEL: http://bit.ly/JKLSubscribe
Watch the latest Mean Tweets: http://bit.ly/MeanTweets8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 nominated "Jimmy Kimmel Live," ABC's late-night talk show.
"Jimmy Kimmel Live" is well known for its huge viral video successes with 1.5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eleventh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Mila Kunis Against Men Saying "We Are Pregnant" http://youtu.be/onDCvHtHSkY</t>
  </si>
  <si>
    <t>Donald Trump is overseas visiting Belgium, England, Scotland and then his pal Putin in Russia. It is imperative that America has strong relationships with and knowledge about other nations, and that responsibility extends to all of us. So we came up with a test and went out on the street to ask people passing by, to name any country on a map. It didn't go well.
Pedestrian Question World Cup Edition – Are You Drunk? https://youtu.be/y0fU1gSvvYQ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5.6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sixteenth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Can You Name a Country?
https://youtu.be/kRh1zXFKC_o</t>
  </si>
  <si>
    <t>Some things are not as they seem.
Subscribe! http://bit.ly/asapsci
GET THE ASAPSCIENCE BOOK: http://asapscience.com/book/
Created by: Mitchell Moffit and Gregory Brown
Written by: Rachel Salt, Amanda Edward, Gregory Brown &amp; Mitchell Moffit
Illustrated: by: Max Simmons
Edited by: Sel Ghebrehiwot
FOLLOW US!
Instagram and Twitter: @whalewatchmeplz and @mitchellmoffit 
Clickable: http://bit.ly/16F1jeC and http://bit.ly/15J7ube
AsapINSTAGRAM: https://instagram.com/asapscience/
Snapchat: realasapscience
Facebook: http://facebook.com/AsapSCIENCE
Twitter: http://twitter.com/AsapSCIENCE
Tumblr: http://asapscience.tumblr.com
Vine: Search "AsapSCIENCE" on vine!
SNAPCHAT US 'whalewatchmeplz' and 'pixelmitch'
Created by Mitchell Moffit (twitter @mitchellmoffit) and Gregory Brown (twitter @whalewatchmeplz).
Send us stuff!
ASAPSCIENCE INC.
P.O. Box 93, Toronto P
Toronto, ON, M5S2S6
References:
https://blogs.scientificamerican.com/roots-of-unity/sex-makes-you-rich-why-we-keep-saying-e2809ccorrelation-is-not-causatione2809d-even-though-ite28099s-annoying/  Sex Makes You Rich? Why We Keep Saying “Correlation Is Not Causation” Even Though It’s Annoying
https://academic.oup.com/ije/article-lookup/doi/10.1093/ije/dyh124 Commentary: The hormone replacement–coronary heart disease conundrum: is this the death of observational epidemiology
http://researchnews.osu.edu/archive/nitelite.htm  Night lights do not lead to nearsightedness, study suggests
http://tylervigen.com/spurious-correlations Spurious correlations
http://sciencebasedmedicine.org/evidence-in-medicine-correlation-and-causation/  Evidence in Medicine: Correlation and Causation
https://www.ncbi.nlm.nih.gov/pmc/articles/PMC4488611/ Illusions of causality: how they bias our everyday thinking and how they could be reduced
http://io9.gizmodo.com/i-fooled-millions-into-thinking-chocolate-helps-weight-1707251800  I Fooled Millions Into Thinking Chocolate Helps Weight Loss. Here's How.
http://www.cbsnews.com/news/how-the-chocolate-diet-hoax-fooled-millions/  ​How the "chocolate diet" hoax fooled millions
http://science.sciencemag.org/content/342/6154/60.full  Who's Afraid of Peer Review?</t>
  </si>
  <si>
    <t>With the new Star Wars Trailer for The Last Jedi movie and Star Wars Battlefront II release, we explore the Jedi - because science!
Check out: SCIENCE WARS - Acapella Parody https://youtu.be/LTXTeAt2mpg
Subscribe! http://bit.ly/asapsci
Created by: Mitchell Moffit and Gregory Brown
Written by: Mitchell Moffit &amp; Rachel Salt
Illustrated by: Max Simmons
Edited by: Sel Ghebrehiwot &amp; Mitchell Moffit
FOLLOW US!
Instagram and Twitter: @whalewatchmeplz and @mitchellmoffit 
Clickable: http://bit.ly/16F1jeC and http://bit.ly/15J7ube
AsapINSTAGRAM: https://instagram.com/asapscience/
Facebook: http://facebook.com/AsapSCIENCE
Twitter: http://twitter.com/AsapSCIENCE
Tumblr: http://asapscience.tumblr.com
SNAPCHAT US 'whalewatchmeplz' and 'pixelmitch'
Created by Mitchell Moffit (twitter @mitchellmoffit) and Gregory Brown (twitter @whalewatchmeplz).
Send us stuff!
ASAPSCIENCE INC.
P.O. Box 93, Toronto P
Toronto, ON, M5S2S6
Some other cool videos:
Film Theory: Rey's Parents SOLVED! (Star Wars: The Last Jedi): https://www.youtube.com/watch?v=-uZv_gXLNew
Star Wars Battlefront II (dunkview) https://www.youtube.com/watch?v=DTBu4tigSDo
References:
Effects of Exercise on Mitochondrial Content and Function in Aging Human Skeletal Muscle
http://www.ncbi.nlm.nih.gov/pmc/articles/PMC1540458/ 
Michio Kaku - Can you build a real Lightsaber? 
Could Lightsabers Exist?
https://www.youtube.com/watch?v=1lr5OUjFDkg 
Electroreception and electrolocation in platypus http://www.nature.com/nature/journal/v319/n6052/abs/319401a0.html
KCNJ15/Kir4.2 couples with polyamines to sense weak extracellular electric fields in galvanotaxis
http://www.nature.com/ncomms/2015/151009/ncomms9532/full/ncomms9532.html 
Diamagnetic levitation: Flying frogs and floating magnets http://www.physics.ucla.edu/marty/diamag/diajap00.pdf  
Metabolic rate and body size are linked with perception of temporal information http://ac.els-cdn.com/S0003347213003060/1-s2.0-S0003347213003060-main.pdf?_tid=56e8fd4a-cab2-11e5-9ee4-00000aacb35f&amp;acdnat=1454530481_ce0b225453bf7e7fbe4f38c66bc0c95f 
Can brain waves interfere with radio waves? https://engineering.mit.edu/engage/ask-an-engineer/can-brain-waves-interfere-with-radio-waves/ 
Mutations in myostatin (GDF8) in double-muscled Belgian Blue and Piedmontese cattle. https://www.ncbi.nlm.nih.gov/pubmed/9314496
Why Is It So Hard To Swat A Housefly?
http://www.independent.co.uk/news/science/q-why-is-it-so-hard-to-swat-a-housefly-a-it-sees-you-coming-in-slow-motion-8818124.html
Songs:
Cortosis - Scoring Action by Kevin MacLeod is licensed under a Creative Commons Attribution license (https://creativecommons.org/licenses/by/4.0/)
Source: http://incompetech.com/music/royalty-free/index.html?isrc=USUAN1100815
Artist: http://incompetech.com/
Cycles by Audionautix is licensed under a Creative Commons Attribution license (https://creativecommons.org/licenses/by/4.0/)
Artist: http://audionautix.com/
Frozen Star by Kevin MacLeod is licensed under a Creative Commons Attribution license (https://creativecommons.org/licenses/by/4.0/)
Source: http://incompetech.com/music/royalty-free/index.html?isrc=USUAN1100356
Artist: http://incompetech.com/</t>
  </si>
  <si>
    <t>Can you trust your gut feelings?
Subscribe for more! http://bit.ly/asapsci
Get a FREE Audible Trial: http://audible.com/asap
Created by: Mitchell Moffit and Gregory Brown
Written: by Rachel Salt, Greg Brown and Mitchell Moffit
Illustrated: by: Max Simmons
Edited by: Sel Ghebrehiwot
GET THE ASAPSCIENCE BOOK: http://asapscience.com/book/
FOLLOW US!
Instagram and Twitter: @whalewatchmeplz and @mitchellmoffit 
Clickable: http://bit.ly/16F1jeC and http://bit.ly/15J7ube
AsapINSTAGRAM: https://instagram.com/asapscience/
Snapchat: realasapscience
Facebook: http://facebook.com/AsapSCIENCE
Twitter: http://twitter.com/AsapSCIENCE
Tumblr: http://asapscience.tumblr.com
Vine: Search "AsapSCIENCE" on vine!
SNAPCHAT US 'whalewatchmeplz' and 'pixelmitch'
Created by Mitchell Moffit (twitter @mitchellmoffit) and Gregory Brown (twitter @whalewatchmeplz).
Send us stuff!
ASAPSCIENCE INC.
P.O. Box 93, Toronto P
Toronto, ON, M5S2S6
Further reading --
Self-Deception: A Concept in Search of a Phenomenon http://psycnet.apa.org/psycinfo/1980-25654-001
Intuition: A fundamental bridging construct in the behavioural sciences http://www.trans-techresearch.net/wp-content/uploads/2015/05/intuition.pdf 
The neural basis of intuitive best next-move generation in board game experts.
http://www.ncbi.nlm.nih.gov/pubmed/21252348 
Intuition May Reveal Where Expertise Resides in the Brain
http://www.scientificamerican.com/article/intuition-may-reveal-where-expertise-resides-in-the-brain/ 
Thinking Fast and Slow https://www.amazon.com/gp/product/0374275637/ref=as_li_qf_sp_asin_il_tl?ie=UTF8&amp;camp=1789&amp;creative=9325&amp;creativeASIN=0374275637&amp;linkCode=as2&amp;tag=a0b340-20 
On making the right choice: the deliberation-without-attention effect. http://www.ncbi.nlm.nih.gov/pubmed/16484496 
Deciding Advantageously Before Knowing the Advantageous Strategy http://psych-www.colorado.edu/~tito/sp03/7536/becahra_et_al_1997.pdf 
New study reveals powerful people rely on their gut 'motor' feelings when making judgements
https://www.sciencedaily.com/releases/2015/10/151013144146.htm 
Perception in Chess http://citeseerx.ist.psu.edu/viewdoc/download?doi=10.1.1.601.2724&amp;rep=rep1&amp;type=pdf</t>
  </si>
  <si>
    <t>We started a podcast! Listen to a follow up conversation with one of the Flat Earthers in our first episode: _xD83D__xDC49_https://anchor.fm/radicalempathy _xD83D__xDC48_
SUBSCRIBE for more! _xD83D__xDC49_http://bit.ly/SUBSCRIBEjubilee _xD83D__xDC48_
Be in a Jubilee video: http://bit.ly/JubileeCasting
Follow us on INSTAGRAM: https://www.instagram.com/jubileemedia/
Are you a loyal Jubilee fan? Join our Facebook group: https://www.facebook.com/groups/407942859721012/
| ABOUT |
Jubilee exists to bridge people together and inspire love through compelling stories. We create shareable human-centric videos that create connection, challenge assumptions, and touch the soul.
Ultimately, we aim to inspire people to LIVE DEEPER.
| SOCIAL |
Jubilee Facebook: https://www.facebook.com/jubileemedia
Jubilee Instagram: https://www.instagram.com/jubileemedia/
Jubilee Twitter: https://www.twitter.com/jubileemedia
Jubilee Website: https://www.jubileemedia.com
FEATURING:
Ali
James
Spencer - http://livinghistorynovel.com/
Dan - https://www.youtube.com/channel/UCAj298RpjxS85lw3jjJnobg
Shelley - https://www.youtube.com/channel/UC8g_CCDyv_hOLph93Zc-KtA
Wendell - https://www.youtube.com/channel/UCSnozJEN9ATZT64mfwKiscA
For brands interested in partnering with Jubilee, email us:
hello@jubileemedia.com
Help us caption &amp; translate this video!
https://amara.org/v/BRLmm/</t>
  </si>
  <si>
    <t>Thanks to Cancer Research UK! http://www.cancerresearchuk.org
Links to LEARN MORE and SOURCES are below.
follow me: http://www.twitter.com/tweetsauce
What is cancer?
http://www.cancerresearchuk.org/cancer-info/cancerandresearch/all-about-cancer/what-is-cancer/
http://www.cancerresearchuk.org/cancer-info/cancerstats/keyfacts/
http://en.wikipedia.org/wiki/Hallmarks_of_cancer
Visualizing the prevention of cancer: http://www.cancerresearchuk.org/cancer-info/cancerstats/causes/attributable-risk/visualisation/
10 cancer MYTHS debunked: http://scienceblog.cancerresearchuk.org/2014/03/24/dont-believe-the-hype-10-persistent-cancer-myths-debunked/
other cancer articles:
http://www.slate.com/articles/health_and_science/science/2014/02/deadliest_cancer_chart_shows_mortality_and_incidence_rates.html
http://www.nytimes.com/2014/01/05/sunday-review/why-everyone-seems-to-have-cancer.html?=ref=opinion&amp;_r=6&amp;
http://www.pbs.org/wgbh/takeonestep/cancer/interviews-demetri.html
http://www.huffingtonpost.com/bill-couzens/cancer-an-inevitable-stag_b_4558325.html
http://www.wired.com/2013/05/al_argcancer/
http://www.theguardian.com/environment/2011/may/06/nuclear-power-leukaemia
Stirling Engine: http://www.grand-illusions.com/acatalog/Low-Temperature-Stirling-Engine-612.html
Stirling Engine: VIDEO: https://www.youtube.com/watch?v=zCGTNArwJ0s
dying cells: http://www.ncbi.nlm.nih.gov/pubmed/16355657
dead outer-layer of skin (the HORNY layer): http://en.wikipedia.org/wiki/Stratum_corneum
human skin in dust: http://ohioline.osu.edu/hyg-fact/2000/2157.html
mistakes in DNA replication: http://www.nature.com/scitable/topicpage/dna-replication-and-causes-of-mutation-409
how long it takes cells to divide: http://www.wisegeek.org/how-long-does-it-take-for-cells-to-divide.htm
not all genetic mutations causes cancer: http://ghr.nlm.nih.gov/handbook/mutationsanddisorders/neutralmutations
leading causes of death (in US): http://i1213.photobucket.com/albums/cc469/EternallyLearning/COD.jpg
unbalanced skin damage:
http://www.nejm.org/doi/full/10.1056/NEJMicm1104059
http://www.sungrubbies.com/product_index_html/UVASkinDamage.htm
Giraffe tongues: http://www.noozhawk.com/article/102609_santa_barbara_zoos_male_giraffe_dies
DNA repair mechanisms: http://www.abcam.com/index.html?pageconfig=resource&amp;rid=11812
the Selection Shadow: http://www.nature.com/scitable/knowledge/library/the-evolution-of-aging-23651151
life expectancy: http://en.wikipedia.org/wiki/Life_expectancy
Living after cancer diagnosis stats: http://www.cancerresearchuk.org/about-us/our-organisation/beating-cancer-sooner-our-strategy
losing cells: http://www.madsci.org/posts/archives/2001-02/981770369.An.r.html
Cancer and the metaphor of war: http://www.theguardian.com/society/2014/apr/25/having-cancer-not-fight-or-battle
Cool image gallery: http://publications.nigms.nih.gov/biobeat/gallery/index.html
extra: why do we age and die? 
http://www.todayifoundout.com/index.php/2014/05/age/
http://www.psychologytoday.com/blog/adventures-in-old-age/200903/problem-darwin-why-do-we-age-and-die-rather-live-forever
http://en.wikipedia.org/wiki/Evolution_of_ageing</t>
  </si>
  <si>
    <t>Video in collaboration with Bill and Melinda Gates! Check out their Annual Letter here: http://b-gat.es/2lhhtmJ
SUBSCRIBE! http://bit.ly/asapsci
GET THE ASAPSCIENCE BOOK: http://asapscience.com/book/
Created by: Mitchell Moffit and Gregory Brown
Written by: Greg Brown, Rachel Salt and Mitchell Moffit
Illustrated: by: Max Simmons
Edited by: Sel Ghebrehiwot
FOLLOW US!
Instagram and Twitter: @whalewatchmeplz and @mitchellmoffit 
Clickable: http://bit.ly/16F1jeC and http://bit.ly/15J7ube
AsapINSTAGRAM: https://instagram.com/asapscience/
Facebook: http://facebook.com/AsapSCIENCE
Twitter: http://twitter.com/AsapSCIENCE
Tumblr: http://asapscience.tumblr.com
SNAPCHAT US 'whalewatchmeplz' and 'pixelmitch'
Created by Mitchell Moffit (twitter @mitchellmoffit) and Gregory Brown (twitter @whalewatchmeplz).
Send us stuff!
ASAPSCIENCE INC.
P.O. Box 93, Toronto P
Toronto, ON, M5S2S6</t>
  </si>
  <si>
    <t>Learn more about your DNA by going to: https://www.23andme.com/ASAP
Subscribe for weekly videos: http://bit.ly/asapsci
Created by: Mitchell Moffit and Gregory Brown
Written by: Amanda Edward, Rachel Salt, Greg Brown &amp; Mitch Moffit
Illustrated by: Max Simmons
Edited by: Sel Ghebrehiwot
FOLLOW US!
Instagram and Twitter: @whalewatchmeplz and @mitchellmoffit 
Clickable: http://bit.ly/16F1jeC and http://bit.ly/15J7ube
AsapINSTAGRAM: https://instagram.com/asapscience/
Facebook: http://facebook.com/AsapSCIENCE
Twitter: http://twitter.com/AsapSCIENCE
Tumblr: http://asapscience.tumblr.com
SNAPCHAT US 'whalewatchmeplz' and 'pixelmitch'
Created by Mitchell Moffit (twitter @mitchellmoffit) and Gregory Brown (twitter @whalewatchmeplz).
Send us stuff!
ASAPSCIENCE INC.
P.O. Box 93, Toronto P
Toronto, ON, M5S2S6
Further Reading/References:
https://www.sciencedirect.com/science/article/pii/S0167629616303666?via%3Dihub 
https://www.scientificamerican.com/article/babies-paternal-resemblance/ 
https://www.nature.com/articles/srep45885 
https://www.23andme.com/en-ca/gen101/origins/ 
http://anthro.palomar.edu/biobasis/bio_4.htm  
https://www.alnmag.com/news/2013/08/dad%E2%80%99s-genes-build-placentas 
http://news.cornell.edu/stories/2013/08/dad-s-genes-build-placentas-study-shows
https://www.ncbi.nlm.nih.gov/pmc/articles/PMC3696791/
https://www.khanacademy.org/science/biology/classical-genetics/sex-linkage-non-nuclear-chromosomal-mutations/a/sex-linkage-sex-determination-and-x-inactivation
http://learn.genetics.utah.edu/content/basics/observable/
http://www.genesinlife.org/genetics-101/how-does-genetics-work/main-inheritance-patterns
https://www.ncbi.nlm.nih.gov/pmc/articles/PMC5308812/
http://www.nature.com/ng/journal/v40/n11/abs/ng.228.html
http://www.nature.com/ng/journal/v40/n11/abs/ng.255.html 
https://www.khanacademy.org/science/biology/classical-genetics/sex-linkage-non-nuclear-chromosomal-mutations/a/x-inactivation
https://ghr.nlm.nih.gov/condition/turner-syndrome 
http://www.phschool.com/science/biology_place/labbench/lab3/crossovr.html 
https://www.nature.com/scitable/definition/principle-of-independent-assortment-law-of-independent-302 
http://blogs.discovermagazine.com/d-brief/2015/03/03/genetically-more-like-dad/#.WVejxITythE 
http://www.nature.com/ng/journal/v47/n4/full/ng.3222.html
https://www.sciencedaily.com/releases/2015/03/150302123253.htm
https://www.scientificamerican.com/article/like-mother-like-daughter-the-science-says-so-too/ 
http://centaur.reading.ac.uk/49005/
http://www.iflscience.com/health-and-medicine/do-you-share-more-genes-your-mother-or-your-father/
http://www.sciencedirect.com/science/article/pii/S0167488913001092
http://www.cell.com/cell/fulltext/S0092-8674(12)01106-3?_returnURL=http%3A%2F%2Flinkinghub.elsevier.com%2Fretrieve%2Fpii%2FS0092867412011063%3Fshowall%3Dtrue
http://www.mitocanada.org/about-mitochondrial-disease/how-is-mitochondrial-disease-inherited-2/ 
http://www.mitoaction.org/mito-faq 
https://www.youtube.com/watch?v=9b7w2wJu7Eo 
https://ghr.nlm.nih.gov/condition/prader-willi-syndrome 
http://www.fpwr.ca/about-prader-willi-syndrome/ 
https://ghr.nlm.nih.gov/condition/angelman-syndrome 
Mom vs Dad Genetic Traits inherited Characteristics Y Chromosome X Chromosome Mitochondrial DNA Maternal Linked Disease Why Am I going Bald Male Colour Blindness Do babies look more like their fathers is intelligence inherited is depression inherited is depression genetic genetic facial features how DNA is inherited how ancestry works</t>
  </si>
  <si>
    <t>What is it, and are we close to a cure?
SHARE on Twitter: http://bit.ly/1NalHm8  &amp; Facebook: http://on.fb.me/1MTLpMp
Get a FREE Audible Trial: http://audible.com/asap
Written by Rachel Salt, Mitchell Moffit and Gregory Brown
SUBSCRIBE for more (it's free!): http://bit.ly/asapsci
GET THE ASAPSCIENCE BOOK: http://asapscience.com/book/
FOLLOW US!
Instagram and Twitter: @whalewatchmeplz and @mitchellmoffit 
Clickable: http://bit.ly/16F1jeC and http://bit.ly/15J7ube
AsapINSTAGRAM: https://instagram.com/asapscience/
Facebook: http://facebook.com/AsapSCIENCE
Twitter: http://twitter.com/AsapSCIENCE
Tumblr: http://asapscience.tumblr.com
Vine: Search "AsapSCIENCE" on vine!
SNAPCHAT 'whalewatchmeplz' and 'pixelmitch'
Created by Mitchell Moffit (twitter @mitchellmoffit) and Gregory Brown (twitter @whalewatchmeplz).
Send us stuff!
ASAPSCIENCE INC.
P.O. Box 93, Toronto P
Toronto, ON, M5S2S6
Further Reading:
 https://www.aids.gov/hiv-aids-basics/hiv-aids-101/global-statistics/ The Global HIV/AIDS Epidemic
 HIV Transmission http://www.cdc.gov/hiv/basics/transmission.html
 http://lcbb4.epfl.ch/reading/HIV/2013-PeetersOriginEpidemiologyHIV.pdf  The origin and molecular epidemiology of HIV
 https://www.ncbi.nlm.nih.gov/pmc/articles/PMC2441482/  Env length and N-linked glycosylation following transmission of Human Immunodeficiency Virus Type 1 subtype B viruses
 http://www.researchgate.net/profile/Pavel_Pugach/publication/8679190_The_CCR5_and_CXCR4_coreceptors--central_to_understanding_the_transmission_and_pathogenesis_of_human_immunodeficiency_virus_type_1_infection/links/0fcfd51200b440c2fe000000.pdf  The CCR5 and CXCR4 coreceptors-central to understanding the transmission and pathogenesis of human immunodeficiency virus type 1 infection. AIDS Res. Hum. Retroviruses 20, 111-126
 http://dspace.uah.es/dspace/bitstream/handle/10017/5071/840.pdf?sequence=1  Dimerization inhibitors of HIV-1 reverse transcriptase, protease and integrase: A single mode of inhibition for the three HIV enzymes?
 http://www.biomedcentral.com/content/pdf/1742-4690-6-40.pdf A historical reflection on the discovery of human retroviruses
 http://www.ms.uky.edu/~ma137/Fasttrack13/HIV_Perelson_Science1996.pdf  HIV-1 Dynamics in Vivo: Virion Clearance Rate, Infected Cell Life-Span, and Viral Generation Time 
  Precise determination of time to reach viral load set point after acute HIV-1 infection. http://www.ncbi.nlm.nih.gov/pubmed/23143525
 http://www.nature.com/nature/journal/v362/n6418/abs/362355a0.html HIV infection is active and progressive in lymphoid tissue during the clinically latent stage of disease
 http://www.joponline.org/doi/abs/10.1902/jop.1994.65.5.393 Necrotizing Ulcerative Periodontitis: A Marker for Immune Deterioration and a Predictor for the Diagnosis of AIDS
 https://www.aids.gov/hiv-aids-basics/just-diagnosed-with-hiv-aids/hiv-in-your-body/stages-of-hiv/ Stages of HIV Infection
 http://www.cdc.gov/hiv/basics/livingwithhiv/opportunisticinfections.html Opportunistic Infections
 https://aidsinfo.nih.gov/drugs/445/pyrimethamine/0/patient AIDSinfo Drug Database
 http://www.cdc.gov/hiv/basics/prep.html PrEP
 http://www.who.int/hiv/topics/mtct/q2_chi_2007.pdf Single-dose tenofovir and emtricitabine for reduction of viral resistance to non-nucleoside reverse transcriptase inhibitor drugs in women given intrapartum nevirapine for perinatal HIV prevention: an open-label randomised trial
 http://dspace.uah.es/dspace/bitstream/handle/10017/5071/840.pdf?sequence=1  Dimerization inhibitors of HIV-1 reverse transcriptase, protease and integrase: A single mode of inhibition for the three HIV enzymes?
 http://lcbb4.epfl.ch/reading/HIV/2013-PeetersOriginEpidemiologyHIV.pdf
 http://www.ncbi.nlm.nih.gov/pmc/articles/PMC3234451/  
 http://www.nejm.org/doi/full/10.1056/NEJMoa0802905 Long-Term Control of HIV by CCR5 Delta32/Delta32 Stem-Cell Transplantation</t>
  </si>
  <si>
    <t>This is everything you need to know for when a virus becomes a pandemic.
The New Coronavirus Cure? https://youtu.be/OTYfke545vI
JOIN OUR NEW EMAIL LIST https://mailchi.mp/072240d817d6/asapscience
Subscribe for more asapscience, and hit that bell :)
Created by: Mitchell Moffit and Gregory Brown
FOLLOW US!
Mitch
Instagram: https://instagram.com/mitchellmoffit
Twitter: https://twitter.com/mitchellmoffit 
Greg
Instagram: https://instagram.com/whalewatchmeplz 
Twitter: https://twitter.com/whalewatchmeplz 
AsapSCIENCE
Instagram: https://instagram.com/asapscience 
Facebook: https://facebook.com/asapscience 
Twitter: https://twitter.com/asapscience
Tumblr: https://asapscience.tumblr.com 
Send us stuff!
ASAPSCIENCE INC.
P.O. Box 93, Toronto P
Toronto, ON, M5S2S6</t>
  </si>
  <si>
    <t>Put your intelligence to the test! 
Check out skillshare! http://skl.sh/asapscience3
GET OUR T-SHIRTS! https://www.asapscience.com/merch
Subscribe, it's free! http://bit.ly/asapsci
Created by: Mitchell Moffit and Gregory Brown
Written by: Rachel Salt
Illustrated by: Max Simmons
Edited by: Sel Ghebrehiwot
FOLLOW US!
Instagram and Twitter: @whalewatchmeplz and @mitchellmoffit 
Clickable: http://bit.ly/16F1jeC and http://bit.ly/15J7ube
AsapINSTAGRAM: https://instagram.com/asapscience/
Snapchat: realasapscience
Facebook: http://facebook.com/AsapSCIENCE
Twitter: http://twitter.com/AsapSCIENCE
Tumblr: http://asapscience.tumblr.com
SNAPCHAT US 'whalewatchmeplz' and 'pixelmitch'
Created by Mitchell Moffit (twitter @mitchellmoffit) and Gregory Brown (twitter @whalewatchmeplz).
Send us stuff!
ASAPSCIENCE INC.
P.O. Box 93, Toronto P
Toronto, ON, M5S2S6
Further Reading/References:
http://science.sciencemag.org/content/316/5832/1717.full 
http://psycnet.apa.org/record/1982-25210-001
https://www.ncbi.nlm.nih.gov/pubmed/17365130 
http://www.thelancet.com/journals/langlo/article/PIIS2214-109X(15)70002-1/abstract
http://www.sciencedirect.com/science/article/pii/S1047279712001706
http://www.sciencedirect.com/science/article/pii/S1047279712001706 
http://personal.lse.ac.uk/kanazawa/pdfs/RGP2010.pdf 
https://link.springer.com/article/10.1007/s10339-016-0789-y 
http://www.sciencedirect.com/science/article/pii/S0191886914005558
https://www.ncbi.nlm.nih.gov/pubmed/10706169?dopt=Abstract
https://www.ncbi.nlm.nih.gov/pubmed/10706169?dopt=Abstract 
https://personal.lse.ac.uk/kanazawa/pdfs/paid2009.pdf 
http://www.sciencedirect.com/science/article/pii/S0028393217302592?via%3Dihub 
http://onlinelibrary.wiley.com/doi/10.1111/j.1360-0443.2009.02740.x/abstract 
http://journals.sagepub.com/doi/abs/10.1177/0956797611416999
White board animation, science video, Is the first born/oldest child the smartest, left handed more creative, breastfed vs. bottle fed which is better, are drug users smart, why smart kids do drugs, why smart kids drink, why are tall people higher earners, are tall people smarter, are virgins more smart, are anxious people smarter than average, dark sense of humor sign of intelligence, am i smarter than average, am i below average intelligence, what's my IQ?, will music lessons make my kid smart?, does smoking impact intelligence, am I smart?, smarter than average</t>
  </si>
  <si>
    <t>What is the coronavirus and what does it actually do in your body?
The New Coronavirus Cure?: https://youtu.be/p0Su-xQHffM
JOIN OUR NEW EMAIL LIST https://mailchi.mp/072240d817d6/asapscience
Subscribe for more asapscience, and hit that bell :)
Created by: Mitchell Moffit and Gregory Brown
Animations created by and for
the Vaccine Makers Project. http://www.VaccineMakers.org Copyright © 2016, Medical History
Pictures, Inc. All rights reserved.;
FOLLOW US!
Mitch
Instagram: https://instagram.com/mitchellmoffit
Twitter: https://twitter.com/mitchellmoffit 
Greg
Instagram: https://instagram.com/whalewatchmeplz 
Twitter: https://twitter.com/whalewatchmeplz 
AsapSCIENCE
Instagram: https://instagram.com/asapscience 
Facebook: https://facebook.com/asapscience 
Twitter: https://twitter.com/asapscience
Tumblr: https://asapscience.tumblr.com 
Send us stuff!
ASAPSCIENCE INC.
P.O. Box 93, Toronto P
Toronto, ON, M5S2S6</t>
  </si>
  <si>
    <t>Support us by signing up for DROPOUT: https://www.dropout.tv
Every episode of your favorite web series, all in one video! Starring Brian Huskey, If Google Was A Guy answers the stupid questions we asked, still ask, and will always ask.
FOLLOW THE CAST:
ALLY: http://www.twitter.com/agbeardsley
GRANT: http://www.twitter.com/grantob
KATIE: http://www.twitter.com/katiemarovitch
LILY: http://www.twitter.com/LilyD
TAO:  http://www.twitter.com/tyang209
TRAPP: http://www.twitter.com/mikewtrapp
RAPH: http://www.twitter.com/chestangraphael
REKHA: http://www.twitter.com/rekhalshankar
BRENNAN: https://twitter.com/brennanlm
RYAN: https://twitter.com/ryguyguyry
CAROLYN: https://twitter.com/jacuzzitubbs
SAM: http://www.twitter.com/samreich
See more http://www.collegehumor.com
LIKE us on: http://www.facebook.com/collegehumor
FOLLOW us on: http://www.twitter.com/collegehumor
FOLLOW us on: http://www.collegehumor.tumblr.com
SIGN UP for our emails: http://bit.ly/2E6svor</t>
  </si>
  <si>
    <t>Your body is f***ing amazing!!!
SUBSCRIBE for more videos! http://bit.ly/asapsci
What Your PEE Says About You: https://youtu.be/5GIfISN4-G8
GET THE ASAPSCIENCE BOOK: http://asapscience.com/book/
Written by Rachel Salt, Mitchell Moffit and Greg Brown
Inspired by "Sex Sleep Eat Drink Dream: A Day in the Life of Your Body" by Jennifer Ackerman. Check it out here:
http://amzn.to/1gfvNcQ
Instagram and Twitter: @whalewatchmeplz and @mitchellmoffit 
Clickable: http://bit.ly/16F1jeC and http://bit.ly/15J7ube
AsapINSTAGRAM: https://instagram.com/asapscience/
Facebook: http://facebook.com/AsapSCIENCE
Twitter: http://twitter.com/AsapSCIENCE
Tumblr: http://asapscience.tumblr.com
Vine: Search "AsapSCIENCE" on vine!
SNAPCHAT 'whalewatchmeplz' and 'pixelmitch'
Created by Mitchell Moffit (twitter @mitchellmoffit) and Gregory Brown (twitter @whalewatchmeplz).
Send us stuff!
ASAPSCIENCE INC.
P.O. Box 93, Toronto P
Toronto, ON, M5S2S6</t>
  </si>
  <si>
    <t>With Starbucks banning plastic straws and zero waste on trend, is the solution to plastic pollution and climate change burning all the trash?
FOLLOW US!
Greg
Instagram: https://instagram.com/whalewatchmeplz 
Twitter: https://twitter.com/whalewatchmeplz 
Mitch
Instagram: https://instagram.com/mitchellmoffit
Twitter: https://twitter.com/mitchellmoffit 
ASAPScience
Instagram: https://instagram.com/asapscience 
Facebook: https://facebook.com/asapscience 
Twitter: https://twitter.com/asapscience
Tumblr: https://asapscience.tumblr.com 
Created by Mitchell Moffit and Gregory Brown
Written by: Rachel Salt &amp; Greg Brown
Illustrated by: Max Simmons
Edited by: Sel Ghebrehiwot
Send us stuff!
ASAPSCIENCE INC.
P.O. Box 93, Toronto P
Toronto, ON, M5S2S6
REFERENCES
https://www.nationalgeographic.com/environment/2019/03/should-we-burn-plastic-waste/
https://www.reuters.com/article/us-petrochemicals-iea/rising-use-of-plastics-to-drive-oil-demand-to-2050-iea-idUSKCN1ME2QD
https://www.businessinsider.com/ap-study-twice-as-much-trash-put-in-landfills-than-estimated-2015-9
https://www.weforum.org/agenda/2016/10/every-minute-one-garbage-truck-of-plastic-is-dumped-into-our-oceans/
http://www.fao.org/save-food/resources/keyfindings/en/
https://regions20.org/wp-content/uploads/2016/08/OPEN-BURNING-OF-WASTE-A-GLOBAL-HEALTH-DISASTER_R20-Research-Paper_Final_29.05.2017.pdf
https://www.canada.ca/en/environment-climate-change/services/managing-reducing-waste/municipal-solid/environment/open-burning-garbage-health-risks.html
https://slate.com/business/2014/07/wte-in-sweden-weirdly-enough-burning-garbage-makes-environmental-sense.html
http://siteresources.worldbank.org/INTURBANDEVELOPMENT/Resources/336387-1334852610766/AnnexE.pdf
https://www.sciencedirect.com/science/article/pii/B9780128121658000019
https://www.who.int/en/news-room/fact-sheets/detail/ambient-(outdoor)-air-quality-and-health
https://www.who.int/news-room/detail/29-10-2018-more-than-90-of-the-world%E2%80%99s-children-breathe-toxic-air-every-day
https://engineering.mit.edu/engage/ask-an-engineer/can-we-safely-burn-used-plastic-objects-in-a-domestic-fireplace/
https://link.springer.com/article/10.1065%2Flca2004.09.180.10
https://www.epa.gov/sites/production/files/2018-01/documents/2018_complete_report.pdf
https://www.reuters.com/article/us-singapore-waste/in-singapore-where-trash-becomes-ash-plastics-are-still-a-problem-idUSKCN1J20HX
https://www.mdpi.com/1996-1944/11/1/141/pdf 
https://www.cbc.ca/news/technology/waste-to-energy-incineration-1.4831798
http://siteresources.worldbank.org/INTURBANDEVELOPMENT/Resources/336387-1334852610766/AnnexE.pdf
https://www.sciencedirect.com/science/article/pii/B9780128121658000019
https://www.teenvogue.com/story/fossil-fuel-industry-is-worsening-the-global-plastics-crisis
https://www.pca.state.mn.us/waste/concerns-about-backyard-burning-trash
https://www.theguardian.com/us-news/2016/oct/23/detroit-garbage-incinerator-pollution-health-problems-environmentalists</t>
  </si>
  <si>
    <t>Is there a better alternative to tampons?
WATCH '10 Period Hacks' https://youtu.be/IyQOjwScygc
Subscribe to AsapSCIENCE: http://bit.ly/asapsci
Featuring Kimberly Moffit as voice over https://www.youtube.com/kmatherapy
Created by: Mitchell Moffit and Gregory Brown
Written by: Rachel Salt, Greg Brown and Mitchell Moffit
Illustrated: by: Max Simmons
Edited by: Sel Ghebrehiwot
GET THE ASAPSCIENCE BOOK: http://asapscience.com/book/
FOLLOW US!
Instagram and Twitter: @whalewatchmeplz and @mitchellmoffit 
Clickable: http://bit.ly/16F1jeC and http://bit.ly/15J7ube
AsapINSTAGRAM: https://instagram.com/asapscience/
Snapchat: realasapscience
Facebook: http://facebook.com/AsapSCIENCE
Twitter: http://twitter.com/AsapSCIENCE
Tumblr: http://asapscience.tumblr.com
Vine: Search "AsapSCIENCE" on vine!
SNAPCHAT US 'whalewatchmeplz' and 'pixelmitch'
Created by Mitchell Moffit (twitter @mitchellmoffit) and Gregory Brown (twitter @whalewatchmeplz).
Send us stuff!
ASAPSCIENCE INC.
P.O. Box 93, Toronto P
Toronto, ON, M5S2S6
Further Reading --
Tampon Use in Young Women http://www.sciencedirect.com/science/article/pii/S1083318898701342
Dioxins and their effects on human health http://www.who.int/mediacentre/factsheets/fs225/en/ 
Tampons and Asbestos, Dioxin, &amp; Toxic Shock Syndrome
http://www.fda.gov/MedicalDevices/Safety/AlertsandNotices/PatientAlerts/ucm070003.htm 
The ‘tampon tax,’ explained https://www.washingtonpost.com/news/wonk/wp/2016/01/08/the-tampon-tax-explained/
'Tampon tax' will end July 1 http://www.cbc.ca/news/politics/tampon-tax-will-end-july-1-1.3091533 
Greening the Crimson Tide http://www.slate.com/articles/health_and_science/the_green_lantern/2010/03/greening_the_crimson_tide.html
Better menstrual management options for adolescents needed in South Africa: What about the menstrual cup? http://www.scielo.org.za/pdf/samj/v105n5/07.pdf 
Acceptability and Performance of the Menstrual Cup in South Africa: A Randomized Crossover Trial Comparing the Menstrual Cup to Tampons or Sanitary Pads http://online.liebertpub.com/doi/abs/10.1089/jwh.2014.5021
FLOW (finding lasting options for women): Multicentre randomized controlled trial comparing tampons with menstrual cups http://www.ncbi.nlm.nih.gov/pmc/articles/PMC3114692
Menstrual Blood: A Valuable Source Of Multipotential Stem Cells? https://www.sciencedaily.com/releases/2008/04/080423075810.htm
Student invents silicone “tampons” to harvest monthly menstrual stem cells http://www.popsci.com/science/article/2010-05/student-invents-stem-cell-collecting-silicon-tampons-women 
The Tampon of the Future http://www.nytimes.com/2016/04/03/opinion/sunday/the-tampon-of-the-future.html 
Why do women have periods when most animals don’t? http://www.bbc.com/earth/story/20150420-why-do-women-have-periods
The Tampon: A History http://www.theatlantic.com/health/archive/2015/06/history-of-the-tampon/394334/
Tampon safety http://center4research.org/i-saw-it-on-the-internet/tampon-safety/</t>
  </si>
  <si>
    <t>Good reason to stay inside during this Polar Vortex!
How To Survive Being Trapped in -35° Weather?
Sidenote Podcast: Winter Debate! https://youtu.be/6cPwbAPCrVM
Ask us your burning questions in the comments!
Created by: Mitchell Moffit and Gregory Brown
Written by: Tharsan Kana, Rachel Salt &amp; Matthew Carter
Illustrated by: Max Simmons
Edited by: Sel Ghebrehiwot
FOLLOW US!
Instagram and Twitter: @whalewatchmeplz and @mitchellmoffit 
Clickable: http://bit.ly/16F1jeC and http://bit.ly/15J7ube
AsapINSTAGRAM: https://instagram.com/asapscience/
Facebook: http://facebook.com/AsapSCIENCE
Twitter: http://twitter.com/AsapSCIENCE
Tumblr: http://asapscience.tumblr.com
Created by Mitchell Moffit (twitter @mitchellmoffit) and Gregory Brown (twitter @whalewatchmeplz).
Send us stuff!
ASAPSCIENCE INC.
P.O. Box 93, Toronto P
Toronto, ON, M5S2S6
REFERENCES/FURTHER READING
1.https://www.ncbi.nlm.nih.gov/pubmed/26924539
2.https://onlinelibrary.wiley.com/doi/abs/10.1038/icb.1938.1
3.https://www.tc.gc.ca/eng/marinesafety/tp-tp14659-hypothermia-3017.htm
4.https://www.khanacademy.org/science/biology/principles-of-physiology/metabolism-and-thermoregulation/a/animal-temperature-regulation-strategies
5.https://www.ncbi.nlm.nih.gov/pubmed/19401428
6.https://www.livescience.com/7452-brrrr-science-shivering-revealed.html
7.https://www.businessinsider.com/at-what-temperatures-can-you-get-frostbite-or-hypothermia-2015-2
8.https://journals.lww.com/jtrauma/Abstract/2000/01000/Frostbite__Pathogenesis_and_Treatment.36.aspx
9.https://www.nhs.uk/conditions/frostbite/
10.http://www.inspiraem.com/myfiles/139-Frostbite.pdf
11.https://www.theweathernetwork.com/news/articles/five-terrible-effects-of-extreme-cold-on-the-human-body/88925
12.https://www.theweathernetwork.com/news/articles/five-terrible-effects-of-extreme-cold-on-the-human-body/88925
13.https://www.ncbi.nlm.nih.gov/pubmed/7632602
14.https://io9.gizmodo.com/why-freezing-to-death-makes-you-want-to-get-naked-1688151366
15.https://www.livescience.com/41730-hypothermia-terminal-burrowing-paradoxical-undressing.html
16.https://core.ac.uk/download/pdf/82402935.pdf 
17.http://drdougbrown.ca/wp-content/uploads/2012/12/Accidental-Hypothermia-NEJM-Review-Article-2012.pdf 
18. https://www.encyclopedia-titanica.org/csi-titanic-who-died-how.html</t>
  </si>
  <si>
    <t>Last week I posted a video about how we know the Earth is round, from the perspective of modern astronomy. The Flat Earth community did not like it one bit, and the channel "Globebusters" decided to talk for three hours on their livestream about how stupid my video is, and how stupid I am. I didn't really appreciate that, so I decided to make a video about their video to illustrate precisely how little they know about science, and to further reinforce how utterly absurd the Flat Earth "model" is, as well as some of the finer points about the conspiracy. Enjoy!
My original video: https://www.youtube.com/watch?v=tC5RalYWZ5Y&amp;lc=Ugz81BVxvXL8vHxBpCF4AaABAg
The Globebusters livestream about me: https://www.youtube.com/watch?v=J32rhGBDsok
Learn more from me about astronomy: https://www.youtube.com/playlist?list=PLybg94GvOJ9E9BcCODbTNw2xU4b1cWSi6
My other debunking pals:
Conspiracy Catz: https://www.youtube.com/channel/UCbuO3qj9_dSjnKQf-LhRqPA
SciMan Dan: https://www.youtube.com/channel/UCRtsZ5Iak9wSLsQLQ3XOAeA
Kudos to UNIROCK for helping me get this video reinstated after the Globebusters tried to flag it: https://www.youtube.com/c/unirocktv</t>
  </si>
  <si>
    <t>Could we stop an asteroid on a collision course for Earth? 
Subscribe! It's FREE: http://bit.ly/10kWnZ7
Bill Nye Twitter: http://bit.ly/14DOBKA
AsapSCIENCE Twitter: http://bit.ly/16mYsWW
AsapSCIENCE Facebook: http://on.fb.me/12fEcFg
The Planetary Society: http://planetary.org
@exploreplanets
Written and created by Mitchell Moffit (twitter @mitchellmoffit) and Gregory Brown (twitter @whalewatchmeplz).</t>
  </si>
  <si>
    <t>The Dolan Twins, Cardi B and even YOU are going to die. So, this is how science can help you cope with death.
Buy THE BIG PICTURE: https://www.goodreads.com/book/show/26150770-the-big-picture
FOLLOW US!
Greg
Instagram: https://instagram.com/whalewatchmeplz 
Twitter: https://twitter.com/whalewatchmeplz 
Mitch
Instagram: https://instagram.com/mitchellmoffit
Twitter: https://twitter.com/mitchellmoffit 
AsapSCIENCE
Instagram: https://instagram.com/asapscience 
Facebook: https://facebook.com/asapscience 
Twitter: https://twitter.com/asapscience
Tumblr: https://asapscience.tumblr.com 
Created by Mitchell Moffit and Gregory Brown
Written by: Greg Brown and Rachel Salt
Illustrated by: Max Simmons
Edited by: Sel Ghebrehiwot
Send us stuff!
ASAPSCIENCE INC.
P.O. Box 93, Toronto P
Toronto, ON, M5S2S6
References:
The Big Picture by Sean Carroll
https://www.ncbi.nlm.nih.gov/pmc/articles/PMC5570697/
https://www.ncbi.nlm.nih.gov/pmc/articles/PMC4889815/
https://journals.plos.org/plosone/article?id=10.1371/journal.pone.0151435
https://www.ncbi.nlm.nih.gov/pmc/articles/PMC3005285/
https://www.ncbi.nlm.nih.gov/pmc/articles/PMC516796/
https://www.ncbi.nlm.nih.gov/pmc/articles/PMC3718341/</t>
  </si>
  <si>
    <t>If we suddenly disappeared, what would happen to our planet?
Squarespace: http://squarespace.com/asap click for a free trial and 10% off
Why Do You Mishear Lyrics?: http://youtu.be/5cmOKiGklcQ
GET THE BOOK! http://asapscience.com/book
Subscribe! (It's free): http://bit.ly/asapsci
Written by Tyler Irving (@tylereirving), Mitchell Moffit and Greg Brown
Instagram and Twitter: @whalewatchmeplz and @mitchellmoffit 
Clickable: http://bit.ly/16F1jeC and http://bit.ly/15J7ube
Facebook: http://on.fb.me/1fjWszw
Twitter: http://bit.ly/1d84R71
Tumblr: http://bit.ly/1amIPjF
Vine: Search "AsapSCIENCE" on vine!
Created by Mitchell Moffit (twitter @mitchellmoffit) and Gregory Brown (twitter @whalewatchmeplz).
Send us stuff!
ASAPSCIENCE INC.
P.O. Box 93, Toronto P
Toronto, ON, M5S2S6
-- Further Reading --
The World Without Us by Alan Weisman
http://www.worldwithoutus.com/
Life After People (History Channel Documentary)
http://en.wikipedia.org/wiki/Life_After_People
Corrosion of structural steel
http://www.steelconstruction.info/Corrosion_of_structural_steel
Keeping Space Clean: Responsible satellite fleet operations
https://www.planet.com/pulse/keeping-space-clean-responsible-satellite-fleet-operations/
Are we screwing ourselves by transmitting radio signals into space?
http://io9.com/are-we-screwing-ourselves-by-transmitting-radio-signals-493800730</t>
  </si>
  <si>
    <t>SimpliSafe is awesome security. It’s really effective, it's really
easy to use, and the price is great. Check SimpliSafe out here: https://simplisafe.com/asap
Are you able to tell what is real and what is fake?
Listen to our podcast! https://youtu.be/l1DzEphw1WA
Ask us your burning questions in the comments!
Created by: Mitchell Moffit and Gregory Brown
Written by: Rachel Salt, Gregory Brown &amp; Mitchell Moffit
Illustrated by: Max Simmons
Edited by: Sel Ghebrehiwot
FOLLOW US!
Instagram and Twitter: @whalewatchmeplz and @mitchellmoffit 
Clickable: http://bit.ly/16F1jeC and http://bit.ly/15J7ube
AsapINSTAGRAM: https://instagram.com/asapscience/
Facebook: http://facebook.com/AsapSCIENCE
Twitter: http://twitter.com/AsapSCIENCE
Tumblr: http://asapscience.tumblr.com
Created by Mitchell Moffit (twitter @mitchellmoffit) and Gregory Brown (twitter @whalewatchmeplz).
Send us stuff!
ASAPSCIENCE INC.
P.O. Box 93, Toronto P
Toronto, ON, M5S2S6
REFERENCES/FURTHER READING
https://www.bbc.com/news/av/technology-45827813/ai-painting-to-go-under-the-hammer 
https://www.forbes.com/sites/quora/2018/01/18/technology-has-already-taken-over-90-of-the-jobs-humans-used-to-do/#22ce4ff51bdd 
https://www.bbc.com/news/technology-45980863 
https://medium.com/@hello.obvious/ai-the-rise-of-a-new-art-movement-f6efe0a51f2e#.eemf26f2n 
https://www.theguardian.com/technology/video/2018/may/09/new-google-assistant-mimics-human-voice-video 
https://www.washingtonpost.com/news/innovations/wp/2016/05/11/this-professor-stunned-his-students-when-he-revealed-the-secret-identity-of-his-teaching-assistant/?noredirect=on&amp;utm_term=.936427035d46 
https://arxiv.org/abs/1703.10593 
https://www.businessinsider.com/facebook-350-million-photos-each-day-2013-9 
https://mashable.com/video/bob-ross-challenge-donald-trump-david-carl/ 
https://www.brookings.edu/blog/techtank/2018/04/18/will-robots-and-ai-take-your-job-the-economic-and-political-consequences-of-automation/ 
https://qz.com/488701/humans-are-confusing-music-composed-by-a-computer-for-j-s-bach/ 
https://ai.googleblog.com/2018/05/duplex-ai-system-for-natural-conversation.html 
https://www.youtube.com/watch?v=MVBe6_o4cMI  
https://www.youtube.com/watch?v=wejt939QXko 
https://soundcloud.com/donyaquick/kulitta-short-example-1
https://www.youtube.com/watch?v=Rx3aekqJQ-w 
https://resources.wolframcloud.com/NeuralNetRepository/resources/CycleGAN-Orange-to-Apple-Translation-Trained-on-ImageNet-Competition-Data
https://www.brookings.edu/blog/techtank/2018/04/18/will-robots-and-ai-take-your-job-the-economic-and-political-consequences-of-automation/ 
http://www.openculture.com/2018/12/artificial-intelligence-creates-realistic-photos-of-people-none-of-whom-actually-exist.html
https://www.youtube.com/watch?v=kSLJriaOumA
https://arxiv.org/abs/1812.04948
https://www.bloomberg.com/news/articles/2018-10-25/ai-generated-portrait-is-sold-for-432-500-in-an-auction-first</t>
  </si>
  <si>
    <t>Subscribe (It's FREE!) http://bit.ly/10kWnZ7
TWEET IT - http://clicktotweet.com/nS9Xk
"We were all female" video - http://www.youtube.com/watch?v=z1Kdoja3hlk
In the battle of the sexes, who suffers more pain? A scientific breakdown of which hurts more - Childbirth or Getting Kicked in the Balls!
Written and created by Mitchell Moffit (twitter @mitchellmoffit) and Gregory Brown (twitter @whalewatchmeplz).
TWITTER: http://www.twitter.com/AsapSCIENCE
FACEBOOK: http://www.facebook.com/AsapSCIENCE
Mitchell Moffit
http://www.mitchellmoffit.com
http://www.twitter.com/mitchellmoffit
http://www.facebook.com/mitchellmoffit
Gregory Brown
http://www.gregorybrownart.tumblr.com
http://www.twitter.com/whalewatchmeplz
Further Reading --
Pain:
http://pain.about.com/od/whatischronicpain/a/feeling_pain.htm
Visceral Pain:
http://www.wellcome.ac.uk/en/pain/microsite/science3.html
Nociceptors:
http://www.tocris.com/researchArea.php?ItemId=295768#.UXp7A7Xvt8G</t>
  </si>
  <si>
    <t>A lot of things can kill you - but here are some surprising ones!
This Much Will Kill You pt 1: https://youtu.be/vPszR0-vTqc
WHEN SCIENTISTS GO TO MUSIC FESTIVALS: https://youtu.be/jnlNMNHCRDE
SUBSCRIBE (it's free): http://bit.ly/asapsci
GET THE ASAPSCIENCE BOOK: http://asapscience.com/book/
Created by: Mitchell Moffit and Gregory Brown
Written by: Rachel Salt &amp; Mitchell Moffit
Illustrated by: Max Simmons
Produced by: Rachel Salt &amp; Gregory Brown
Edited by: Sel Ghebrehiwot &amp; Mitchell Moffit
AsapINSTAGRAM: https://instagram.com/asapscience/
Snapchat: realasapscience
Facebook: http://facebook.com/AsapSCIENCE
Twitter: http://twitter.com/AsapSCIENCE
Tumblr: http://asapscience.tumblr.com
Created by Mitchell Moffit (twitter @mitchellmoffit) and Gregory Brown (twitter @whalewatchmeplz).
Send us stuff!
ASAPSCIENCE INC.
P.O. Box 93, Toronto P
Toronto, ON, M5S2S6
Further Reading/References:
http://onlinelibrary.wiley.com/doi/10.1111/1541-4337.12246/full  Piperine—The Bioactive Compound of Black Pepper: From Isolation to Medicinal Formulations
https://fscimage.fishersci.com/msds/18940.htm Material Safety Data Sheet Piperidine
https://well.blogs.nytimes.com/2014/11/25/a-warning-on-nutmeg/?_r=0 A Warning on Nutmeg
https://toxnet.nlm.nih.gov/cgi-bin/sis/search/a?dbs+hsdb:@term+@DOCNO+500 Sucrose toxicology
http://gizmodo.com/how-many-x-would-you-need-to-eat-to-die-1684237567 How Much [X] Could You Eat Before It Would Kill You?
https://www.atsdr.cdc.gov/phs/phs.asp?id=210&amp;tid=38  Toxic Substances Portal - Fluorides, Hydrogen Fluoride, and Fluorine
https://www.ncbi.nlm.nih.gov/pubmed/20698714  Content of botulinum neurotoxin in Botox®/Vistabel®, Dysport®/Azzalure®, and Xeomin®/Bocouture®.
https://www.sciencelab.com/msds.php?msdsId=9922972 Ascorbic Acid MSDS
http://www.popsci.com/science/article/2011-04/future-travel  Bodies In Motion: Exploring the Human Limits of Future Travel
http://time.com/3903873/extreme-heat-india-body/  This Is How Extreme Heat Can Kill
https://www.researchgate.net/publication/13569135_Influence_of_the_sympathetic_nervous_system_on_renal_function_during_hypothermia  Influence of the sympathetic nervous system on renal function during hypothermia
https://www.fda.gov/Radiation-EmittingProducts/RadiationEmittingProductsandProcedures/MedicalImaging/MedicalX-Rays/ucm115359.htm Questions and Answers for Physicians About Medical X-Rays
http://www.smithsonianmag.com/arts-culture/horrific-tales-of-potatoes-that-caused-mass-sickness-and-even-death-3162870/  Horrific Tales of Potatoes That Caused Mass Sickness and Even Death
https://www.researchgate.net/publication/222339790_Evaluation_of_solanine_toxicity Evaluation of solanine toxicity</t>
  </si>
  <si>
    <t>Here's why we've evolved to fall for conspiracy theories.
Listen to Sidenote: https://youtu.be/pyNLbJ9VStA
WATCH MORE!
Tech!: https://youtube.com/playlist?list=PLv... 
Health!: https://youtube.com/playlist?list=PLv...  
Food!: https://youtube.com/playlist?list=PLv... 
FOLLOW US!
Greg
Instagram: https://instagram.com/whalewatchmeplz 
Twitter: https://twitter.com/whalewatchmeplz 
Mitch
Instagram: https://instagram.com/mitchellmoffit
Twitter: https://twitter.com/mitchellmoffit 
ASAPScience
Instagram: https://instagram.com/asapscience 
Facebook: https://facebook.com/asapscience 
Twitter: https://twitter.com/asapscience
Tumblr: https://asapscience.tumblr.com 
Created by Mitchell Moffit and Gregory Brown
Written by: Matthew Carter, Mitch Moffit &amp; Greg Brown
Illustrated by: Max Simmons
Edited by: Sel Ghebrehiwot, Mitch Moffit &amp; Greg Brown
Send us stuff!
ASAPSCIENCE INC.
P.O. Box 93, Toronto P
Toronto, ON, M5S2S6
REFERENCES
https://undark.org/article/the-psychology-and-allure-of-conspiracy-theories/ 
https://www.scientificamerican.com/article/how-come-some-people-believe-in-the-paranormal/ 
http://time.com/4965093/conspiracy-theories-beliefs/ 
https://www.ncbi.nlm.nih.gov/pmc/articles/PMC5646574/ 
https://www.ncbi.nlm.nih.gov/pmc/articles/PMC5900972/ 
https://onlinelibrary.wiley.com/doi/10.1002/ejsp.2507 
https://www.shape.com/blogs/shape-your-life/more-half-people-believe-conspiracy-theory 
https://www.seeker.com/why-do-so-many-people-believe-in-conspiracy-theories-1842225519.html 
https://www.theatlantic.com/national/archive/2013/04/12-million-americans-believe-lizard-people-run-our-country/316706/ 
https://www.orlandosentinel.com/opinion/os-op-florida-conspiracy-theories-20180906-story.html 
https://www.vox.com/2018/3/19/17139910/deep-state-poll-trump 
https://www.france24.com/en/20180108-8-10-french-people-believe-conspiracy-theory-survey 
http://time.com/5023383/conspiracy-theories-reasons-believe/ 
https://www.theguardian.com/society/2018/nov/23/study-shows-60-of-britons-believe-in-conspiracy-theories 
https://www.publicpolicypolling.com/polls/republicans-more-likely-to-subscribe-to-conspiracy-theories/ 
https://www.youtube.com/watch?v=z98U1nMFrJQ 
https://www.psychologytoday.com/ca/blog/experimentations/201810/what-makes-conspiracy-theorists-tick 
https://www.union.edu/news/stories/201809/Who-believes-in-conspiracies-Research-by-Union-professor-offers-a-theory 
https://www.ncbi.nlm.nih.gov/pmc/articles/PMC6238178/ 
https://neurosciencenews.com/thinkng-error-creation-conspiracy-9716/ 
https://www.seeker.com/why-do-so-many-people-believe-in-conspiracy-theories-1842225519.html 
https://www.mayoclinic.org/diseases-conditions/schizotypal-personality-disorder/symptoms-causes/syc-20353919 
https://www.nytimes.com/2019/02/19/technology/youtube-conspiracy-stars.html
https://www.theguardian.com/science/2019/feb/17/study-blames-youtube-for-rise-in-number-of-flat-earthers
https://www.sciencefocus.com/the-human-body/the-rise-of-the-flat-earthers/
https://journals.sagepub.com/doi/full/10.1177/1745691618774270
https://onlinelibrary.wiley.com/doi/pdf/10.1002/ejsp.2530
https://www.youtube.com/watch?v=Kme1vaWJJms
http://oxfordre.com/climatescience/view/10.1093/acrefore/9780190228620.001.0001/acrefore-9780190228620-e-328
https://www.smithsonianmag.com/history/plot-kill-george-washington-180970729/</t>
  </si>
  <si>
    <t>How long could you survive without oxygen?
Check out our new PODCAST: http://sidenotepodcast.com
Created by: Mitchell Moffit and Gregory Brown
Written by: Jodre Datu and Mitch Moffit
Illustrated by: Max Simmons
Edited by: Sel Ghebrehiwot
Narrated by: Mitch Moffit
FOLLOW US!
Instagram and Twitter: @whalewatchmeplz and @mitchellmoffit 
Clickable: http://bit.ly/16F1jeC and http://bit.ly/15J7ube
AsapINSTAGRAM: https://instagram.com/asapscience/
Facebook: http://facebook.com/AsapSCIENCE
Twitter: http://twitter.com/AsapSCIENCE
Tumblr: http://asapscience.tumblr.com
SNAPCHAT US 'whalewatchmeplz' and 'pixelmitch'
Created by Mitchell Moffit (twitter @mitchellmoffit) and Gregory Brown (twitter @whalewatchmeplz).
Send us stuff!
ASAPSCIENCE INC.
P.O. Box 93, Toronto P
Toronto, ON, M5S2S6
References/Further Reading:
https://www.encyclopedia.com/science-and-technology/chemistry/compounds-and-elements/oxygen
https://www.space.com/17683-earth-atmosphere.html
https://www.ck12.org/book/CK-12-Chemistry-Concepts-Intermediate/section/14.12 
https://www.mide.com/pages/air-pressure-at-altitude-calculator 
https://www.emedicinehealth.com/mountain_sickness/article_em.htm 
https://www.mayoclinic.org/diseases-conditions/airplane-ear/symptoms-causes/syc-20351701
https://psychcentral.com/blog/why-does-pain-get-worse-when-a-storm-is-coming/
https://www.khanacademy.org/science/biology/cellular-respiration-and-fermentation/variations-on-cellular-respiration/a/fermentation-and-anaerobic-respiration 
http://crosstalk.cell.com/blog/how-cells-survive-without-oxygen-an-interview-with-david-ho
https://www.energy.gov/eere/vehicles/articles/internal-combustion-engine-basics 
http://ffden-2.phys.uaf.edu/211_fall2002.web.dir/David_Giessel/basics.html
https://flightaware.com/live/ 
Material compositions: http://matse1.matse.illinois.edu/concrete/prin.html, http://www.bioenergyadvice.com/facts/composition-of-wood/, https://en.wikipedia.org/wiki/Glass, https://civilseek.com/types-of-stones/, https://civilseek.com/manufacturing-of-bricks/, http://textilefashionstudy.com/what-is-cotton-fiber-chemical-composition-of-cotton-fiber/ 
https://www.space.com/17777-what-is-earth-made-of.html
http://www.bbc.co.uk/schools/gcsebitesize/science/triple_ocr_gateway/chemistry_out_there/energy_transfers/revision/1/ 
https://www.livescience.com/3505-chemistry-life-human-body.html</t>
  </si>
  <si>
    <t>What was supposed to be a relaxing trip home to visit Mom turned out to be a battle of science and spite. One of our writers shared his head-butting story about his mother and her new affinity for the Flat Earth "Theory". Is it even a theory? Watch our new funny video to find out!
Check out my new channel I Am: https://www.youtube.com/channel/UCH5YmeRhiQZt9_5Eky3A2og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https://pastebin.com/ALmaczN4
All videos are based on publicly available information unless otherwise noted.</t>
  </si>
  <si>
    <t>Could you catch someone in a lie? It's harder than you think!
Many thanks to the Kang Lee Lab for having us at their lab!  Learn more about their research here: http://www.kangleelab.com/
Check out our new PODCAST: http://sidenotepodcast.com
Created by: Mitchell Moffit and Gregory Brown
FOLLOW US!
Instagram and Twitter: @whalewatchmeplz and @mitchellmoffit 
Clickable: http://bit.ly/16F1jeC and http://bit.ly/15J7ube
AsapINSTAGRAM: https://instagram.com/asapscience/
Facebook: http://facebook.com/AsapSCIENCE
Twitter: http://twitter.com/AsapSCIENCE
Tumblr: http://asapscience.tumblr.com
Created by Mitchell Moffit (twitter @mitchellmoffit) and Gregory Brown (twitter @whalewatchmeplz).
Send us stuff!
ASAPSCIENCE INC.
P.O. Box 93, Toronto P
Toronto, ON, M5S2S6</t>
  </si>
  <si>
    <t>Debunking some common diets, and seeing which work!
More Food and Health Science videos! https://www.youtube.com/watch?v=ztiHRiFXtoc&amp;list=PLvFsG9gYFxY_2tiOKgs7b2lSjMwR89ECb&amp;index=1
Subscribe for more! http://bit.ly/asap
Eating Disorder Information: http://www.nedic.ca/
Created by: Mitchell Moffit and Gregory Brown
Written by: Annik Carson, Rachel Salt, Greg Brown and Mitchell Moffit
Illustrated: by: Max Simmons
Edited by: Sel Ghebrehiwot
GET THE ASAPSCIENCE BOOK: http://asapscience.com/book/
FOLLOW US!
Instagram and Twitter: @whalewatchmeplz and @mitchellmoffit 
Clickable: http://bit.ly/16F1jeC and http://bit.ly/15J7ube
AsapINSTAGRAM: https://instagram.com/asapscience/
Snapchat: realasapscience
Facebook: http://facebook.com/AsapSCIENCE
Twitter: http://twitter.com/AsapSCIENCE
Tumblr: http://asapscience.tumblr.com
Vine: Search "AsapSCIENCE" on vine!
SNAPCHAT US 'whalewatchmeplz' and 'pixelmitch'
Created by Mitchell Moffit (twitter @mitchellmoffit) and Gregory Brown (twitter @whalewatchmeplz).
Send us stuff!
ASAPSCIENCE INC.
P.O. Box 93, Toronto P
Toronto, ON, M5S2S6
Further Reading --
Weight Loss Overview Studies
http://ajcn.nutrition.org/content/66/2/239.short
http://www.jstor.org/stable/25457080?seq=1#page_scan_tab_contents
Low Carb
http://annals.org/aim/article/717452/effects-low-carbohydrate-versus-conventional-weight-loss-diets-severely-obese
http://www.nejm.org/doi/full/10.1056/NEJMoa0708681
https://login.medscape.com/login/sso/getlogin?urlCache=aHR0cDovL3d3dy5tZWRzY2FwZS5jb20vdmlld2FydGljbGUvNzgzMjQ2P3Q9MQ==&amp;ac=401
http://ajcn.nutrition.org/content/83/5/1055.abstract
http://content.onlinejacc.org/article.aspx?articleid=1133010&amp;issueno=5
High Protein
http://www.pnas.org/content/110/26/10513.abstract
https://www.researchgate.net/profile/Alexandra_Johnstone/publication/5673933_Johnstone_AM_Horgan_GW_Murison_SD_Bremner_DM_Lobley_GE._Effects_of_a_high-protein_ketogenic_diet_on_hunger_appetite_and_weight_loss_in_obese_men_feeding_ad_libitum._Am_J_Clin_Nutr_87_44-55/links/0c960525c45cddbd08000000.pdf
Metabolic Slowing
https://www.ncbi.nlm.nih.gov/pubmed/22535969
Biggest Loser
http://www.nytimes.com/2016/05/02/health/biggest-loser-weight-loss.html?_r=1
White Tongue
http://www.mayoclinic.org/symptoms/white-tongue/basics/causes/sym-20050676</t>
  </si>
  <si>
    <t>DON'T Buy Apple AirPods Without Watching This...
How Old Are Your Ears? (Test) https://youtu.be/VxcbppCX6Rk
Sidenote Podcast: https://youtu.be/jCUPcbueOtg
WATCH MORE!
Tech!: https://youtube.com/playlist?list=PLv... 
Health!: https://youtube.com/playlist?list=PLv...  
Food!: https://youtube.com/playlist?list=PLv... 
FOLLOW US!
Greg
Instagram: https://instagram.com/whalewatchmeplz 
Twitter: https://twitter.com/whalewatchmeplz 
Mitch
Instagram: https://instagram.com/mitchellmoffit
Twitter: https://twitter.com/mitchellmoffit 
ASAPScience
Instagram: https://instagram.com/asapscience 
Facebook: https://facebook.com/asapscience 
Twitter: https://twitter.com/asapscience
Tumblr: https://asapscience.tumblr.com 
Created by Mitchell Moffit and Gregory Brown
Written by: Greg Brown
Illustrated by: Max Simmons
Edited by: Sel Ghebrehiwot
Send us stuff!
ASAPSCIENCE INC.
P.O. Box 93, Toronto P
Toronto, ON, M5S2S6
REFERENCES
https://www.quora.com/If-you-wore-headphones-since-birth-and-never-took-them-off-what-would-happen
https://www.ncbi.nlm.nih.gov/pmc/articles/PMC4754097/
https://www.ncbi.nlm.nih.gov/pmc/articles/PMC5501022/
https://www.ncbi.nlm.nih.gov/pmc/articles/PMC3406203/
https://www.ncbi.nlm.nih.gov/pmc/articles/PMC5193416/
https://www.ncbi.nlm.nih.gov/pmc/articles/PMC5442866/
https://www.ncbi.nlm.nih.gov/books/NBK207834/
https://www.ncbi.nlm.nih.gov/pubmed/22712926
https://www.digitaltrends.com/home-theater/airpod-swallow-stomach-news/
https://www.asha.org/public/hearing/Otoacoustic-Emissions/
https://www.nad.org/resources/american-sign-language/community-and-culture-frequently-asked-questions/
https://www.ecowatch.com/plastic-consumption-food-dust-2556502607.html
https://www.nationalgeographic.com/magazine/2018/06/plastic-planet-health-pollution-waste-microplastics/</t>
  </si>
  <si>
    <t>Get the book: http://amzn.to/U2MRGI
TWEET VIDEO - http://clicktotweet.com/SIfb3
Ever wonder how your brain processes information? These brain tricks and illusions help to demonstrate the two main systems of Fast and Slow Thinking in your brain. 
Written and created by Mitchell Moffit (twitter @mitchellmoffit) and Gregory Brown (twitter @whalewatchmeplz).
TWITTER: http://www.twitter.com/AsapSCIENCE
FACEBOOK: http://www.facebook.com/AsapSCIENCE
Mitchell Moffit
http://www.mitchellmoffit.com
http://www.twitter.com/mitchellmoffit
http://www.facebook.com/mitchellmoffit
Gregory Brown
http://www.gregorybrownart.tumblr.com
http://www.twitter.com/whalewatchmeplz
Further Reading --
1) Thinking Fast and Slow - Daniel Khaneman
2) http://www.ncbi.nlm.nih.gov/pubmed/11120344
3) http://bit.ly/UGmTGY</t>
  </si>
  <si>
    <t>Adam Conover reveals the hidden truths on hot button issues such as immigration, climate change, and marijuana.
#truTV #AdamRuins 
SUBSCRIBE to get the latest truTV content: http://bit.ly/truTVSubscribe
Check out videos from Impractical Jokers: http://bit.ly/IJTruTV
Check out videos from Adam Ruins Everything: http://bit.ly/ARETruTV
Check out videos from The Carbonaro Effect: http://bit.ly/TheCarbonaroEffect
Check out videos from At Home with Amy Sedaris: http://bit.ly/2FwmyST
Check out videos from The Chris Gethard Show: http://bit.ly/2D78wJ5
Check out videos from I’m Sorry: http://bit.ly/2ATzqzf
Check out videos from Laff Mobb’s Laff Tracks: http://bit.ly/2mBmWYL 
Check out videos from Hack My Life: Inside Hacks: http://bit.ly/HackMyLife
Check out videos from Comedy Knockout: http://bit.ly/ComedyKnockout
Check out videos from Talk Show The Game Show: http://bit.ly/TalkShowTheGameShow
Check out videos from Jon Glaser Loves Gear: http://bit.ly/2D5a46z 
Check out videos from Billy On The Street: http://bit.ly/BillyOnTheStreet
Watch Full Episodes On Demand and on the truTV App
See more from truTV: http://bit.ly/FunnyBecauseItsTRU
Like truTV on Facebook: http://bit.ly/truTVFacebook
Follow truTV on Twitter: http://bit.ly/truTVTweets
Follow truTV on Instagram: http://bit.ly/truTVInsta
About Adam Ruins Everything:
In Adam Ruins Everything, host Adam Conover employs a combination of comedy, history and science to dispel widespread misconceptions about everything we take for granted. A blend of entertainment and enlightenment, Adam Ruins Everything is like that friend who knows a little bit too much about everything and is going to tell you about it... whether you like it or not. 
About truTV:
Looking for something funny? truTV is the home for original, creator-driven comedy series with a distinct point of view. Subscribe so you never miss a clip from your favorite shows on our growing roster of critically-acclaimed premium scripted, non-scripted and hybrid series, such as Adam Ruins Everything, At Home with Amy Sedaris, Bobcat Goldthwait’s Misfits &amp; Monsters, Hack My Life, I’m Sorry, Impractical Jokers, Jon Glaser Loves Gear, The Carbonaro Effect, Those Who Can’t and more. Get your truTV fix on air, on truTV.com or by downloading the free truTV app for your phone and connected devices.
truTV is part of Turner, a WarnerMedia company. Turner creates and programs branded news; entertainment; kids and young adult; and sports media environments on television and other platforms for consumers around the world.
Adam Ruins Everything - Most Controversial Ruins (Mashup) | truTV
http://bit.ly/truTVSubscribe</t>
  </si>
  <si>
    <t>Designer babies, the end of diseases, genetically modified humans that never age. Outrageous things that used to be science fiction are suddenly becoming reality. The only thing we know for sure is that things will change irreversibly.
Support us on Patreon so we can make more videos (and get cool stuff in return): https://www.patreon.com/Kurzgesagt?ty=h
Steady: https://steadyhq.com/de/kurzgesagt
Merchandise:  https://shop.kurzgesagt.org 
Newsletter: http://eepurl.com/cRUQxz
Facebook: http://bit.ly/1NB6U5O
Twitter: http://bit.ly/2DDeT83
Instagram: http://bit.ly/2DEN7r3
Discord: https://discord.gg/cB7ycdv
The Voice of Kurzgesagt: 
Steve Taylor: http://voice-pool.com/en/english/
Get the music of the video here: 
soundcloud: http://bit.ly/2aRxNZd
bandcamp: http://bit.ly/2berrSW
http://www.epic-mountain.com
Thanks to Volker Henn, James Gurney and (prefers anonymity) for help with this video! 
THANKS A LOT TO OUR LOVELY PATRONS FOR SUPPORTING US:
Jeffrey Schneider, Konstantin Kaganovich, Tom Leiser, Archie Castillo, Russell Eishard, Ben Kershaw, Marius Stollen,  Henry Bowman, Ben Johns, Bogdan Radu, Sam Toland, Pierre Thalamy, Christopher Morgan, Rocks Arent People, Ross Devereux, Pascal Michaud, Derek DuBreuil, Sofia Quintero, Robert Swiniarski, Merkt Kızılırmak, Michelle Rowley, Andy Dong, Saphir Patel, Harris Rotto, Thomas Huzij, Ryan James Burke, NTRX, Chaz Lewis, Amir Resali, The War on Stupid, John Pestana, Lucien Delbert, iaDRM, Jacob Edwards, Lauritz Klaus, Jason Hunt, Marcus : ), Taylor Lau, Rhett H Eisenberg, Mr.Z, Jeremy Dumet, Fatman13, Kasturi Raghavan,  Kousora, Rich Sekmistrz, Mozart Peter, Gaby Germanos, Andreas Hertle, Alena Vlachova, Zdravko Šašek
SOURCES AND FURTHER READING: 
The best book we read about the topic:  GMO Sapiens 
https://goo.gl/NxFmk8
(affiliate link, we get a cut if buy the book!)
– Good Overview by Wired:
http://bit.ly/1DuM4zq
–timeline of computer development:
http://bit.ly/1VtiJ0N
– Selective breeding: 
http://bit.ly/29GaPVS
– DNA:
http://bit.ly/1rQs8Yk
– Radiation research:
http://bit.ly/2ad6wT1
– inserting DNA snippets into organisms:
http://bit.ly/2apyqbj
– First genetically modified animal:
http://bit.ly/2abkfYO
– First GM patent:
http://bit.ly/2a5cCox
– chemicals produced by GMOs:
http://bit.ly/29UvTbh
http://bit.ly/2abeHwU
http://bit.ly/2a86sBy
– Flavr Savr Tomato:
http://bit.ly/29YPVwN
– First Human Engineering:
http://bit.ly/29ZTfsf
– glowing fish:
http://bit.ly/29UwuJU
– CRISPR:
http://go.nature.com/24Nhykm
– HIV cut from cells and rats with CRISPR:
http://go.nature.com/1RwR1xI
http://ti.me/1TlADSi
– first human CRISPR trials fighting cancer:
http://go.nature.com/28PW40r
first human CRISPR trial approved by Chinese for August 2016:
http://go.nature.com/29RYNnK
– genetic diseases:
http://go.nature.com/2a8f7ny
– pregnancies with Down Syndrome terminated:
http://bit.ly/2acVyvg
( 1999 European study)
– CRISPR and aging:
http://bit.ly/2a3NYAV
http://bit.ly/SuomTy
http://go.nature.com/29WpDj1
http://ti.me/1R7Vus9
Help us caption &amp; translate this video!
http://www.youtube.com/timedtext_cs_panel?c=UCsXVk37bltHxD1rDPwtNM8Q&amp;tab=2</t>
  </si>
  <si>
    <t>What if we could stop aging forever?
Thanks so much for help with the video to Lifespan.io. Check them out and learn how you can get active here: 
Lifespan.io 
facebook.com/LifespanIO
https://www.leafscience.org/blog/
Sources and further reading:
https://sites.google.com/view/sources-aging-part-ii/startseite
Support us on Patreon so we can make more videos (and get cool stuff in return): https://www.patreon.com/Kurzgesagt?ty=h
Steady: https://steadyhq.com/de/kurzgesagt
Merchandise:  https://shop.kurzgesagt.org 
Newsletter: http://eepurl.com/cRUQxz
Facebook: http://bit.ly/1NB6U5O
Twitter: http://bit.ly/2DDeT83
Instagram: http://bit.ly/2DEN7r3
Discord: https://discord.gg/cB7ycdv
The Voice of Kurzgesagt: 
Steve Taylor: http://voice-pool.com/en/english/
The MUSIC of the video: 
Soundcloud: http://bit.ly/2gZBGNB
Bandcamp: http://bit.ly/2lKjJYF
Facebook: http://bit.ly/2qW6bY4
THANKS A LOT TO OUR LOVELY PATRONS FOR SUPPORTING US:
Phil Winterleitner, David Blayney, Stuart Dunlop, Jordi Riera, James Lamberg, Alexander Fortin, Philipp Hiestand, Shalyn Thong, Elizabeth Meisterling, Tyler Graybill, Felix Diercks, Carson Hynes, Julian Maurel, Jacek Złydach, Paul Lenoue, Stephen Murillo, Justin Fowler, Michael Andregg, Justin Stocking, Andrew, Michael Altarriba, Andy Holaday, Karel Hulec, CJ Canton, Cédric Coulombe, Radomir Kaleta, J K, Rada199, Claudio Fan, etti, Zen, Alen Kecic, Patrick Preuss, deMat01, Erickson Phoenix, iamBadgers, Tom Motto, William Asheshov, Chris O'Hara, Lobo Olsson, Zachary Hall, Donis A., Ismael, The_CJ, Michal Janček, Lars Midgaard, ElRichMC, Mariann Nagy
Help us caption &amp; translate this video!
http://www.youtube.com/timedtext_cs_panel?c=UCsXVk37bltHxD1rDPwtNM8Q&amp;tab=2
How to Cure Aging – During Your Lifetime?</t>
  </si>
  <si>
    <t>What if the sun goes out right now?
This video was sponsored by Google Science Fair
Enter the 2018 Google Science Fair at https://bit.ly/2OsnU9r and check out their YouTube page at https://www.youtube.com/user/GoogleScienceFair/featured. See official rules for full details: https://bit.ly/2MNOggg
Created by: Mitchell Moffit and Gregory Brown
Written by: Rachel Salt, Greg Brown and Mitch Moffit
Illustrated by: Max Simmons
Edited by: Sel Ghebrehiwot
Special thanks to Dr. Michael A. Reid (http://www.astro.utoronto.ca/~mreid/) &amp; Jesse Rogerson (https://twitter.com/jesserogerson?lang=en) for their help on this video!
FOLLOW US!
Instagram and Twitter: @whalewatchmeplz and @mitchellmoffit 
Clickable: http://bit.ly/16F1jeC and http://bit.ly/15J7ube
AsapINSTAGRAM: https://instagram.com/asapscience/
Facebook: http://facebook.com/AsapSCIENCE
Twitter: http://twitter.com/AsapSCIENCE
Tumblr: http://asapscience.tumblr.com
Created by Mitchell Moffit (twitter @mitchellmoffit) and Gregory Brown (twitter @whalewatchmeplz).
Send us stuff!
ASAPSCIENCE INC.
P.O. Box 93, Toronto P
Toronto, ON, M5S2S6
References: 
https://en.wikipedia.org/wiki/Agricultural_land  
https://en.wikipedia.org/wiki/Greenhouse 
https://phys.org/news/2013-04-sunlight-earth.html 
https://en.wikipedia.org/wiki/World_energy_consumption
http://www.rsc.org/Education/Teachers/Resources/cfb/Photosynthesis.htm
http://scienceline.ucsb.edu/getkey.php?key=3949
https://www.ncbi.nlm.nih.gov/pubmed/16499405 
https://www.ncbi.nlm.nih.gov/pubmed/16499405 
http://news.mit.edu/2012/leaf-decay-1004  
https://science.howstuffworks.com/life/inside-the-mind/human-brain/brain-death1.htm 
https://en.wikipedia.org/wiki/Atmosphere_of_Earth 
https://earthobservatory.nasa.gov/experiments/biome/biodesert.php
https://earthobservatory.nasa.gov/experiments/biome/biorainforest.php
https://www.atsdr.cdc.gov/emergency_response/common_misconceptions.pdf 
http://www.rsc.org/Education/Teach
ers/Resources/cfb/Photosynthesis.htm 
http://scienceline.ucsb.edu/getkey.php?key=3949 
https://www.youtube.com/watch?v=NucdlR9EGbA
https://science.howstuffworks.com/science-vs-myth/what-if/what-if-sun-disappeared-for-week.htm
https://phys.org/news/2018-06-antarctica-coldest-temperatures.html 
https://phet.colorado.edu/sims/html/gravity-and-orbits/latest/gravity-and-orbits_en.html</t>
  </si>
  <si>
    <t>Are GMOs bad for your health? Or is this fear unfounded?
Support us on Patreon so we can make more videos (and get cool stuff in return): https://www.patreon.com/Kurzgesagt?ty=h
Steady: https://steadyhq.com/de/kurzgesagt
Merchandise:  https://shop.kurzgesagt.org 
Newsletter: http://eepurl.com/cRUQxz
Facebook: http://bit.ly/1NB6U5O
Twitter: http://bit.ly/2DDeT83
Instagram: http://bit.ly/2DEN7r3
Discord: https://discord.gg/cB7ycdv
The Voice of Kurzgesagt: 
Steve Taylor: http://voice-pool.com/en/english/
Get the music of the video here: 
Soundcloud: http://bit.ly/2okalIy
Bandcamp: http://bit.ly/2nCOQnR
Facebook: https://www.facebook.com/epic-mountain-music
THANKS A LOT TO OUR LOVELY PATRONS FOR SUPPORTING US:
Richard Martinez, Festive  Madman, Christopher Jimenez, William Robertson, Peter, Christin Paul, Sitong Li, Noah T Blanchard, conquesttintin, Lukas Schopphoff, Vivian Wagner, Leon Klang, Max Wahrhaftig, Adrià, Vila Ruaix, Christian Fiedler, Adam Martin, Benjamin Bethea, Robert Smith, Stif, Alexandria  Walters, Jack  Neubauer, Gabriele Simeone, ComradKing, Michael  Malocha, Paul Rozs, Mark Provan, oskars, Dar, Daria  Blednova, Joshua Smith, Ke2theKe, Constantin-Marius  Jaeck, Christopher  Davidson, DK DK, Jon, Richter, Nova Kane, Someone, David Joseph, nsa  smith, Husita, Robert Arnaud, SG2 Infinity, Jawnan, Dan Lukas  Lundh, Jose Retana, Jake wirtanen, Abdulaziz Al-Kuwari, Roy Malamud, Krishna Yogi, Gonçalo Marques, Duke spork, itamar steigrad, I3aneFuL, Georg Kranz, Shiro Kawa, Janet Kim, Santina Lin, Chris Serdaris, Occam, Radek Starý, Abraham Callahan, Brent Charles, Emil Kampp, Scott Chamberlin-Wibbeke, Sebastian  Gemal Vitting, Ray Jobbins, Jacques Quail, Scott Yanos, Tim Preuß, Attila Bögözi, Tarot, Noah Fechter-Dickson, Bogdan Bucur, James Bell, Jarek, Noah T-Blanchard, Adriana Vila
SOURCES:
#What is natural:
GM insulin:
http://bit.ly/2ncHaW5
Genetic engineering for thousands of years:
http://bit.ly/2eCHKfi
http://bit.ly/2mLCvPm
CRISPR:
http://bit.ly/2ncI2uN
# Are GMOs bad for your health
GMOs and gene flow:
http://bit.ly/2bKauBe
terminator seeds:
http://n.pr/2o0ADSZ
http://bit.ly/2obZ9NS
Plants that are destined to be eaten are evaluated by different agencies
http://bit.ly/2mLbU5g
http://bit.ly/2nGPtNy
http://bit.ly/2ncMXf0
GMOs are safe– various studies and reports by respected authorities:
National Academies of Science, Engineering and Medicine:
http://bit.ly/2o0IT55
An overview of the last 10 years of genetically engineered crop safety research:
http://bit.ly/2ot8tfH
Letter of 110 Nobel laureates vouching for GMOs:
http://bit.ly/295Nvg1
WHO:
http://bit.ly/1slbfSV
Various others:
http://bit.ly/1pEOq9T
http://bit.ly/1xq9iGn
http://bit.ly/14XU8yl
http://pewrsr.ch/1LqMLAe
http://bit.ly/2nduCOV
http://bit.ly/20BHOsU
Bt crops:
http://bit.ly/2nd9rg8
herbicide-resistant crops:
http://bit.ly/2o5kdJk
http://bit.ly/2o5nSGQ
# What good GMOs can do
Bt eggplants:
http://bit.ly/2nHbdsW
http://bit.ly/2nvmg89
Gm papaya:
http://bit.ly/2nbN0ab
http://bit.ly/2nvl6cz
http://bit.ly/2ndxPy0
# Look in the crystal ball: 
drought-resistant crops:
http://bit.ly/2mLmnxf
plants that produce more nutrients:
http://bbc.in/1WxsfnJ
vitamin-fortified banana:
http://bit.ly/1MKS0sJ
nitrogen-fixing crops:
http://bit.ly/2mLN9Wn
http://bit.ly/2nc9mrZ
Chestnut tree:
http://bit.ly/1VqkL2D
Potential for landsparing:
http://go.nature.com/2oc18Sp
http://bit.ly/1T1J2NX
# Further reading:
Bt cotton in India:
http://bit.ly/2nH5AdZ
http://bit.ly/1JQKG1u
Article on popular science:
http://bit.ly/2o5oVqp
Blog series on GMOs:
http://bit.ly/2o18w5X
Ecomodernist manifesto:
http://bit.ly/1PSVE6n
Help us caption &amp; translate this video!
http://www.youtube.com/timedtext_cs_panel?c=UCsXVk37bltHxD1rDPwtNM8Q&amp;tab=2
Are GMOs Good or Bad? Genetic Engineering &amp; Our Food</t>
  </si>
  <si>
    <t>What are the principles behind Homeopathy and does it work?
Support us on Patreon so we can make more videos (and get cool stuff in return): https://www.patreon.com/Kurzgesagt?ty=h
Steady: https://steadyhq.com/de/kurzgesagt
Merchandise:  https://shop.kurzgesagt.org 
Newsletter: http://eepurl.com/cRUQxz
Facebook: http://bit.ly/1NB6U5O
Twitter: http://bit.ly/2DDeT83
Instagram: http://bit.ly/2DEN7r3
Discord: https://discord.gg/cB7ycdv
The Voice of Kurzgesagt: 
Steve Taylor: http://voice-pool.com/en/english/
The MUSIC of the video: 
Soundcloud: http://bit.ly/2BI1Wb5
Bandcamp: http://bit.ly/2sJaEmh
Facebook: http://bit.ly/2qW6bY4
We would like to thank Dr. Natalie Grams, Dr.-Ing. Norbert Aust and Udo Endruscheit as well as Dr. Robin Fears and Professor Paul Glasziou for supporting us with our research.
www.natalie-grams.de
www.netzwerk-homoeopathie.eu
www.gwup.org
Quellen:
Main principles of homeopathy:
http://bit.ly/2En7XsQ
http://bit.ly/2nmH29j
Information Network Homeopathy Germany:
http://bit.ly/2DEbSDO
Homeopedia – German Online Encyclopedia:
http://bit.ly/2DBII87
List of homeopathic remedies:
http://bit.ly/2DPPBUw
Information regarding different homeopathic potencies:
http://bit.ly/2kf8xB5
http://bit.ly/2nobVtY
Physical examination of dilution
http://bit.ly/2EpX5dY
Hahnemanns explanation for the efficacy of homeopathy despite dilution:
§ 270 Sixth edition
http://bit.ly/2EwxkZr
18th century medicine
http://bit.ly/29LJFuD
http://bit.ly/1R8Pp0W
https://en.wikipedia.org/wiki/Doctrine\_of\_signatures
Hahnemanns rules for taking homeopathic remedies, Organon of medicine §260 Sixth edition:
http://bit.ly/2rxz9T4
Studies about the lacking efficacy of homeopathic products:
Statement of the European Academies Science Advisory Council September 2017:
http://bit.ly/2w94FET
Australian Study from the National and Medical Health Council, 2015:
http://bit.ly/1BheAmR
Systematic reviews from Mathie et al, employees of the Homeopathy Research Institutehttp://bit.ly/2GaWI7x
Statement from the FDA demanding homeopathic companies must prove efficacy of their products:
http://bit.ly/2f71t3j
Statement from the FDA regarding their approach towards homeopathic remedies
http://bit.ly/2BLq1tF
Quote: There are no drug products labeled as homeopathic that are approved by FDA.
Placeboeffect:
The Placebo and Nocebo Phenomena: Their Clinical Management and Impact on Treatment Outcomes 
http://bit.ly/2BlOMg6
Placebo interventions for all clinical conditions
http://bit.ly/2n5bfZs
Components of placebo effect: randomised controlled trial in patients with irritable bowel syndrome 
http://bit.ly/2DCd9Ms
http://bit.ly/2n5yYcS
Placeboeffect on children and animals
Caregiver placebo effect in analgesic clinical trials for cats with naturally occurring degenerative joint disease-associated pain.
http://bit.ly/2DCdQW4
http://bit.ly/2Dxpph8
http://bit.ly/1n71rX2
Homeopathy is big pharma:
http://bit.ly/2DQjQqd
http://bit.ly/23Faftl
http://bit.ly/2FBe5wW
Homeopathic anamnesis/ initial interview:
http://bit.ly/2Ew3apa
Exemplary questionnaire for initial interview:
http://bit.ly/2nsQpnV
Marketshare and market development for homeopathy
http://on.mktw.net/2DxS0Tp
http://bit.ly/2n5wgnG
Further reading:
Blog beweisaufnahme-homoeopathie.de (German, some articles in English)
http://bit.ly/2E0NKc3
ORGANON OF MEDICINE by Hahnemann Samuel (Original text)
http://bit.ly/2EwxkZr
Free ebooks on „Materiae Medicae” (German and English)http://bit.ly/2DtjNQW
Deutsches Informationsnetzwerk Homöopathie
(Short english version)
http://bit.ly/2E3gP6P
US Department of Health: Information overview about homeopathy
http://bit.ly/1Nf0Miq
Homepathic Pharmacopoeia of the United States
(Official Compendium of Homeopathic ingredients)
http://bit.ly/2n5GnZX
List of over 5000 homeopathic ingredients A-Z
http://bit.ly/2E0RCKj
FDA warns against the use of homeopathic teething tablets and gels
http://bit.ly/2DVtfB6
THANKS A LOT TO OUR LOVELY PATRONS FOR SUPPORTING US:
Flavio Storino, Alice Balcon, Hari Krishnan, Warren Wiscombe, Sara Zeglin, Asiryan Alexander, maarten sprengers, William Northern, Kerem Mimaroglu, Yana Kultysheva, Josh, Keaton Anderson, Croconaw, Peter Steinberger, Jonathan Diamond, Troy McConaghy, Paddy, Darko Sperac, Peter Burkhalter, Chris Amaris, Tyler Lovell, John Ruble, Chase Henson, Arpita Singh, Edward C.P., Andreas Edlund, Ryan Bubinski, Paul Greyson, Jerry Ding, Austin Sundquist, Daniel Link, Tim Johnson, kayleigh dreste, Johan Sjöblom, Max Stuart, Mush Rain, Andor Baranyi, Eduardas Afanasjevas, Bill Clem, Jake Smith, Stephen Woerner, Jeff Sorensen, Christopher Damsgaard, Eduardo AV, Michael Gawenka, Florian Hoedt, Lucas Nyman, Nathanael Baker, Martin Wierzyk, Mauricio Streb, Karl, Rameet Chawla, Joachim Andersen, Avinash, Erik Golden, Glenn Stoltz, Elliott Nelson, Andrew Averett, Ben Wei</t>
  </si>
  <si>
    <t>So it's been a minute since I made my response to the Globebusters, and for two months now I've had to listen to flat earthers spew the same nonsense in the comment section of that video, day after day. Now that I'm intimately familiar with their most popular and most ridiculous talking points, I thought I would put them all together in one clip for a vigorous debunking.
My original flat earth video:
https://www.youtube.com/watch?v=tC5RalYWZ5Y
My response to the Globebusters:
https://www.youtube.com/watch?v=JDy95_eNPzM
How to actually calculate earth's curvature:
https://www.youtube.com/watch?v=2Wyzjs-PROI
Proving that moonlight is not cold:
https://www.youtube.com/watch?v=zLsZwp4RWWg</t>
  </si>
  <si>
    <t>Can't fall asleep? These sleep tips are better than ASMR!
What If You Sleep 2 Hours Less Every Night?: https://youtu.be/fuvbS7cdKbs
FOLLOW US!
Greg
Instagram: https://instagram.com/whalewatchmeplz 
Twitter: https://twitter.com/whalewatchmeplz 
Mitch
Instagram: https://instagram.com/mitchellmoffit
Twitter: https://twitter.com/mitchellmoffit 
ASAPScience
Instagram: https://instagram.com/asapscience 
Facebook: https://facebook.com/asapscience 
Twitter: https://twitter.com/asapscience
Tumblr: https://asapscience.tumblr.com 
Created by Mitchell Moffit and Gregory Brown
Written by: Mitch Moffit and Rachel Salt
Illustrated by: Max Simmons
Edited by: Sel Ghebrehiwot
Send us stuff!
ASAPSCIENCE INC.
P.O. Box 93, Toronto P
Toronto, ON, M5S2S6
REFERENCES
Why We Sleep https://www.amazon.com/Why-We-Sleep-Unlocking-Dreams-ebook/dp/B06ZZ1YGJ5
https://www.ncbi.nlm.nih.gov/pubmed/22738673
https://www.researchgate.net/publication/51765558_Sleep_vigilance_and_thermosensitivity
https://www.fastcompany.com/90253444/what-happened-when-i-tried-the-u-s-armys-tactic-to-fall-asleep-in-two-minutes
https://www.ncbi.nlm.nih.gov/pubmed/19060203
https://www.ncbi.nlm.nih.gov/pubmed/1801013/
https://www.ncbi.nlm.nih.gov/pubmed/22932731
https://academic.oup.com/advances/article/7/5/938/4616727</t>
  </si>
  <si>
    <t>Hi guys! Today I wanted to talk to you about vaccine controversies that currently exist. Many people are becoming anti-vaccine and I wanted to address this anti-vaccine movement. There’s a lot of different information out there but not all of it is scientifically based. Are vaccines responsible for autism? In this episode, I will discuss some vaccine myths and truths.  So here’s the fact-based truth behind the vaccines debate. Are vaccines safe? Don’t forget to subscribe for new videos every Sunday ▶  https://goo.gl/87kYq6
Let’s connect:
IG https://goo.gl/41ZS7w
Twitter https://goo.gl/kzmGs5
Facebook https://goo.gl/QH4nJS
Contact Email: DoctorMikeMedia@Gmail.com
A Full Fat Production 
http://fullfatentertainment.com/</t>
  </si>
  <si>
    <t>mailtime mail doctor mike dr. mike dr mike mikhail varshavski mail bag mailbag unboxing mail time with dr mike mail time with doctor mike opening fan mail fan mail po box mail responding to your letters reading fan mail funny mail time bear doctor mike unboxing fan mail dr mike varshavski ask doctor mike health and wellness mike varshavski doctor mike on ellen funny doctor family medicine responding to comments doctor reaction video</t>
  </si>
  <si>
    <t>doctor travel travel doctor traveling doctor doctor mike travel los angeles doctor mike dr. mike hot doctor mikhail varshavski dr. mike varshavski jet lag how to beat jet lag packing tips packing hacks ricky dillon hollywood travel doctor health healthy international travel vaccines vaccinations travel vaccines travel video vlogs vlogger how to not get sick travel tips vlog travel hacks doctor vlog doctor.mike travel guide doctor's travel guide</t>
  </si>
  <si>
    <t>dr mike doctor mike mike varshavski mikhail varshavski ask doctor mike ask dr mike ask a doctor responding to comments dr. mike dr mike varshavski dr mike responding to comments reading comments reading youtube comments funny comments doctor mike responding to comments doctor mike on ellen doctor q and a doctor q + a doctor answers questions doctor mike q and doctor mike q and a human cloning</t>
  </si>
  <si>
    <t>ask doctor mike ask dr. mike doctor mike dr. mike mikhail varshavski varshavski responding to comments reading comments doctors with tattoos doctor tattoo doctor q + a ask a doctor instagram doctor dr mike varshavski health and wellness question and answer reading funny comments sexiest doctor alive dr mike youtube doctor with tattoos don't judge</t>
  </si>
  <si>
    <t>Questions YOU Should Ask Your Doctor 10 questions to ask your doctor questions to ask your doctor ask your doctor ask doctor mike dr mike varshavski ask a doctor doctor.mike Doctor Mike Mikhail Varshavski health questions 10 questions treatment patient questions Dr. Mike health Instagram doctor question and answer doctor questions and answers physician doctor appointment doctor medicine dr mike wellness</t>
  </si>
  <si>
    <t>doctor mike doctor mike sensory deprivation float tank isolation tank alternative medicine therapy treatment doctor mike tries sensory deprivation mikhail varshavski physician medicine meditation anxiety restricted environmental stimulation therapy joe rogan tank floating tries it dr. mike asmr spa treatment health benefits sensory deprivation tank tank sensory deprivation joe rogan float tanks float pod joe rogan float tank float tank therapy doc mike</t>
  </si>
  <si>
    <t>doctor vlog day in the life of a doctor med student medical school med school vlogging in the hospital life as a doctor life as a resident medical student doctor mike work life balance doctor vlogging in hospital doctor blog dr mike dr. mike mike varshavski instagram doctor family medicine doctor mike varshavski interview family medicine doctor day in the life health and wellness educational video we saved her life</t>
  </si>
  <si>
    <t>gabbie hanna thegabbieshow gabbie show doctor mike dr mike dr. mike mikhail varshavski ask doctor mike why's my body crooked youtube doctor the gabbie show the gabby show thegabbieshow nose doctor answering questions ask a doctor doctor mike collab youtube collab embarrrassing health questions gabbie hanna doctor doctor mike and gabbie hanna medical myths ask doctor mike ft. gabbie hanna medical myths exposed embarrassing health questions</t>
  </si>
  <si>
    <t>nurses nurse nursing nurses week nurses week 2018 hospital vlog nurse vlog nursing school doctor mike dr mike mike varshavski vlogging in hospital hospital life my take on nurses doctors take on nurses noble career whats it like to be a nurse a day in the hospital registered nurse rn being a nurse doctors and nurses lpn nursing home nursing (field of study) nursing job working as a nurse nurse video nurse appreciation nursing student health</t>
  </si>
  <si>
    <t>doctor mike dr. mike mikhail varshavski ask doctor mike dr mike dr mike varshavski ask a doctor sexiest doctor alive ig doctor tv doctors instagram doctor doctor mike family doctor mike nephews kids ask a doctor kids ask awkward questions kids ask health questions curbside consult doctor mike reacts</t>
  </si>
  <si>
    <t>conspiracy theory conspiracy theories medical conspiracy wednesday checkup doctor mike dr mike dr. mike mike varshavski instagram doctor health conspiracy gene editing crispr crispr cas9 chinese baby editing scientist gene edited babies genetics sci fi in real life doctor talks conspiracy conspiracies in medicine conspiracies in healthcare china gene editing ask doctor mike ask dr mike alltime conspiracy doctor mike on ellen</t>
  </si>
  <si>
    <t>juanpa zurita juanpa doctor mike dr. mike dr mike medical confessions juanpazurita zurita doctor mike collab dr mike collab doctor plays true confessions two truths and a lie instagram doctor doctor vs</t>
  </si>
  <si>
    <t>medical memes doctor mike meme review funny medical memes funniest medical memes dr mike doctor reacts dr. mike medical satire doctor jokes doctor memes medical humor medical comedy hospital humor doctor mike meme mike varshavski doctor meme review doctor humor nursing humor medical meme compilation meme review dr mike dr reacts medical school humor health memes real doctor reacts medical meme review real doctor reaction satire memes</t>
  </si>
  <si>
    <t>7 Health Benefits of Green Tea &amp; How to Drink it health health benefits health benefits of green tea green tea tea green tea benefits how to make green tea weight loss green tea health benefits lose weight weight Doctor Mike Dr. Mike doctor.mike Mikhail Varshavski medicine green tea for weight loss weight loss drink how to drink green tea antioxidants green tea fat burn benefits of green tea benefits of drinking green tea tea benefits benefits of tea</t>
  </si>
  <si>
    <t>ask a doctor instagram doctor ask doctor mike dr. mike dr mike youtube mikhail varshavski curbside consult street medicine dr mike doctor on the street curbside consult florida aspartame healthy doctor answers medical questions medical questions and answers health questions and answers health questions doctor health tips doctor check up doctor q and a curbside consult #2 Orlando premium outlets common health questions is blood blue</t>
  </si>
  <si>
    <t>medical drama review doctor mike dr mike mike varshavski doctor mike reacts to tv drama medical drama doctor tv shows hospital drama medical tv show doctor mikhail varshavski code black code black review code black tv show code black reaction doctor reacts to code black code black tv series code black pilot code black accurate code black realistic how accurate is code black real doctor watches code black doctor reaction video code black trailer</t>
  </si>
  <si>
    <t>doctor mike doctor health advice health tips comments responding to comments coffee caffeine supplements mikhail varshavski sexy doctor</t>
  </si>
  <si>
    <t>doctor mike dr. mike dr mike varshavski dr mike doctor.mike mike varshavski doctor mike on ellen ask dr mike health and wellness reading comments read mean tweets reading mean comments comments responding to comments doctor funny doctor medical family medicine funny comments ask a doctor healthy question and answer thoughts on plastic surgery plastic surgery plastic surgery opinion cosmetic surgery plastic surgery addiction protein build muscle</t>
  </si>
  <si>
    <t>dr mike puppy doctor mike puppy what to know before getting a dog before getting a dog dog tips PREPARE FOR GETTING A PUPPY puppy tips cons of getting a dog crate training feeding a puppy reasons to not get a puppy cute puppy videos walking a puppy should I get a puppy dont get a dog adorable puppy dogs 101 puppy dog doctor mike PUPPY CARE NEW PUPPY PREPARE FOR A PUPPY Want a puppy how to get ready for a puppy taking care of dog owning a dog</t>
  </si>
  <si>
    <t>ASK DOCTOR MIKE: MEDICAL MYTHS EXPOSED FT. MYLIFEASEVA ask doctor mike doctor mike mikhail varshavski doctor dr. mike mike wellness medicine ig doctor doctor.mike sexy doctor sexiest doctor alive dr mike dr dr mike youtube mylifeaseva Eva Gutowski eva collab collaboration doctor mike and eva doctor mike eva collab medical myths medical myths medical myths exposed ft. mylifeaseva my life as eva mylifeaseva doctor doctors answer questions ask the doctor</t>
  </si>
  <si>
    <t>Mike Varshavski Instagram star New York Citys most eligible bachelor Sexiest Doctor Alive People magazine celebrity abc abcnews</t>
  </si>
  <si>
    <t>john oliver john oliver medical bias medical bias dr mike doctor mike mike varshavski mikhail varshavski instagram doctor last week tonight with john oliver last week tonight last week tonight with john oliver (tv program) gender bias medicine race bias medicine diversity in medicine gender bias in medicine doctors make mistakes john oliver (tv writer) doctor mike reaction</t>
  </si>
  <si>
    <t>real doctors vs tv doctors tv doctor tv drama myths television doctor real doctor vs tv doctor tv medical drama medical drama real doctors watch grey's anatomy mikhail varshavski real doctor dr mike doctor doctor mike real doctor watches greys varshavski real life doctor grey's anatomy hospital romance hospital life hospital drama whats it like to a doctor a day in the hospital mcdreamy house greys anatomy medicine television doc ER good doctor</t>
  </si>
  <si>
    <t>cracking knuckles knuckle cracking cracking your knuckles knuckle crack crack knuckles popping knuckles cracking joints is cracking your knuckles bad for you is cracking your knuckles bad knuckle cracking is bad cracking knuckles arthritis does cracking knuckles cause arthritis dr. mike dr mike doctor mike mike varshavski mikhail varshavski instagram doctor responding to comments dr mike truth about cracking your knuckles</t>
  </si>
  <si>
    <t>doctor mike dr mike dr. mike mike varshavski mikhail varshavski wednesday checkup instagram doctor medical drama review doctor reacts dr reacts doctor reacts to reddit real doctor reacts doctors of reddit thread reddit health reddit mental health instagram doctor mike doctor mike reacts top posts of r/ reddit top posts reddit stories</t>
  </si>
  <si>
    <t>TEDxTalks English Health Behavior Communication Decision making Life Marketing Media Medicine</t>
  </si>
  <si>
    <t>new hypertension guidelines blood pressure high high blood pressure hypertension what is high blood pressure lowering blood pressure what is hypertension htn heart attack doctor dr. mike doctor mike heart health prevention silent killer heart disease stroke health hypertension explained lifestyle modifications cardiology high blood pressure treatment blood pressure medicine hypertension treatment high blood pressure causes symptoms how to take blood pressure</t>
  </si>
  <si>
    <t>doctor mike dr mike dr. mike mike varshavski meme review medical meme review doctor reacts medical memes funny medical memes doctor memes funniest doctor memes funniest medical memes health memes doctor mike meme doctor meme review medical humor doctor humor laughter as medicine doctor jokes medical comedy medical satire hospital humor health humor nursing humor medical school humor real doctor reacts real doctor reaction</t>
  </si>
  <si>
    <t>wednesday checkup doctor mike dr mike dr. mike doctor reacts doctor fails doctor humor idiot test moron test trick questions brain teasers</t>
  </si>
  <si>
    <t>intermittent fasting review doctor mike diet intermittent fasting intermitent fasting doctor mike diet fasting dr. mike dr mike doctormike how to lose weight weight loss eating healthy diet review warrior diet 16:8 diet dieting time restricted eating quick weight loss fasting doctor weight loss tips what is intermittent fasting mikhail varshavski nutrition lose weight healthy diets belly fat lose belly visceral fat fast weight loss diets</t>
  </si>
  <si>
    <t>dr mike doctor mike mikhail varshavski dr. mike mike varshavski reddit stories responding to comments ask reddit reddit and chill medical reddit doctors of reddit second opinions instagram doctor reddit doctor crazy reddit stories</t>
  </si>
  <si>
    <t>doctor mike medical school how i got into medical school how I got into med school my premed journey premed journey how to get into med school medschool journey med school pre med pre-med how to get into medical school dr. mike dr mike doctor mike medical school premed med school tips medical education premed plan mikhail varshavski osteopathic medicine medical student how to study in med school first year medical student med student study tips</t>
  </si>
  <si>
    <t>weed marijuana is marijuana safe doctors take on weed doctors take on marijuana responding to comments reading comments doctor mike dr mike mikhail varshavski marijuana research medical marijuana ask dr mike reading funny comments truth about marijuana cannabis medical cannabis cannabidiol marijuana facts marijuana health pot smoking pot marijuana unhealthy smoking weed medical conditions marijuanna doctor mike merch ask doctor mike</t>
  </si>
  <si>
    <t>Are vitamins fake news? I Doctor Mike doctor mike dr mike dr. mike mikhail varshavski Are vitamins fake news? fake news misinformation vitamins vitamin D vitamin B12 true vitamins are fake news fake news health wellness mike nutrition healthy instagram doctor diet nutrients doctor.mike доктор майк instagram IG IG doctor sexy doctor weight food energy supplements vitamin (chemical compound) multivitamin dietary supplement (industry) medicine</t>
  </si>
  <si>
    <t>good doctor doctor watches the good doctor the good doctor reaction the good doctor good doctor accurate doctor mike reacts to doctor reviews medical tv show medical drama review real doctor watches greys anatomy medical drama doctor mike dr mike the good doctor 1x01 the good doctor (tv program) resident medical drama tv TV doctors doctor tv shows autism tv tv medical drama the good doctor season 1 medical tv show shaun murphy best doctor tv shows</t>
  </si>
  <si>
    <t>doctor mike dr. mike dr mike varshavski dr mike doctor.mike mike varshavski doctor mike on ellen ask dr mike health and wellness reading comments read mean tweets reading mean comments comments responding to comments doctor funny doctor family medicine funny comments ask a doctor question and answer healthy apple cider vinegar apple cider vinegar weight loss apple cider vinegar benefits apple cider vinegar health benefits health claims IKA experts</t>
  </si>
  <si>
    <t>doctor mike dr mike dr. mike mike varshavski meme review medical meme review doctor reacts medical memes funny medical memes doctor memes funniest doctor memes funniest medical memes health memes doctor mike meme doctor meme review medical humor doctor humor laughter as medicine doctor jokes medical comedy medical satire hospital humor health humor nursing humor medical school humor real doctor reacts real doctor reaction mikhail varshavski</t>
  </si>
  <si>
    <t>Doctor Mike Dr. Mike doctor Instagram doctor doctor.mike Mikhail Varshavski Curbside Consult NYC | Ask Doctor Mike ask doctor mike curbside consult consult curbside consultation man on the street medical consultation health curbside interview medical medicine q&amp;a ask a doctor question and answer questions answers q and a frequently asked questions on the street NYC streets New York New York City ask dr mike</t>
  </si>
  <si>
    <t>doctor mike dr mike mikhail varshavski probiotics microbiome benefits of probiotics improve gut health what are probiotcs probiotics weight loss probiotics foods probiotics side effects good bacteria good bacteria vs bad bacteria microbiome diet digestive health how to improve gut bacteria treatment for diarrhea improve your digestion probiotic supplements gut mind axis leaky gut gut flora fermented foods health benefits of probiotics bacteria gut</t>
  </si>
  <si>
    <t>A Day in the Life: Husky Edition | Doctor Mike Doctor Mike Dr. Mike doctor Instagram doctor doctor.mike dr mike Mikhail Varshavski a day in the life: husky edition a day in the life husky dog pet Roxy New York vlog NYC vlog vlog day in the life Siberian husky cute dog animal funny dog husky videos funny husky husky running vlogger new York city new York nyc vlogs new Yorker huskies doctor mike roxy dr mike husky doctor mike husky dr mike roxy</t>
  </si>
  <si>
    <t>doctor mike dr mike medical drama review medical tv show tv medical drama medical drama resident medical drama tv tv doctors doctor tv shows doctor reviews medical tv show best doctor tv shows doctor mike reacts to doctor mike watches dr house doctor mike watches house house md house m.d. real doctor reacts to house house md funny hugh laurie dr house dr house season 1 episode 1 house md review dr house accurate Real Doctor Watches House M.D. house</t>
  </si>
  <si>
    <t>doctor mike dr mike mikhail varshavski dr. mike tv doctors wednesday checkup ask doctor mike mike varshavski instagram doctor patient files a complaint patient complaint patient complains doctor health and wellness ask dr mike funny doctor storytime doctor mike storytime healthy and happy patient complaints in hospitals patient complaint scenarios dr mike varshavski family medicine doctor low back pain MRI good intentions bad outcomes</t>
  </si>
  <si>
    <t>Doctor Mike Dr. Mike doctor Instagram doctor doctor.mike Mikhail Varshavski misleading food label claims nutrition food labels nutrition facts nutrition labels organic food label reading food labels calories health fda how to read food labels understanding food labels busted debunked nutrition myths busted nutrition myths debunked food dr mike food misleading food labels misleading food health claims food labels explained food labels nutrition information</t>
  </si>
  <si>
    <t>doctor mike dr. mike dr mike varshavski dr mike doctor.mike mike varshavski doctor mike on ellen ask dr mike health and wellness reading comments read mean tweets reading mean comments comments responding to comments doctor funny doctor family medicine funny comments ask a doctor question and answer vaping my thoughts on vaping vaping healthy why do men have nipples vaping vs smoking vaping doctor's opinion health effects of vaping asmr healthy</t>
  </si>
  <si>
    <t>ketogenic diet keto diet keto ketosis ketosis diet ketogenic diet explained keto diet for beginners lose weight weight loss diet diet review doctor mike on diets what is ketogenic diet low carb diet high fat low carb diet keto diet healthy keto diet claims low carb weight loss ketosis explained ketogenic diet weight loss doctor mike dr mike mikhail varshavski doctor ketogenic diet doctor keto diet is ketosis healthy ketone</t>
  </si>
  <si>
    <t>Doctor Mike Dr. Mike doctor Instagram doctor doctor.mike Mikhail Varshavski health 50 Facts About Me | Doctor Mike 50 facts about me facts about me get to know me 50 facts 50 random facts about me 50 things about me random tag video tag 50 facts about me tag challenge 50 facts about me challenge medical student ig nutrition med school 50 random facts tag wellness facts school medical school physician challenge video</t>
  </si>
  <si>
    <t>dailymemes anti vax anti vaxxers anti vaccination anti vaxxer house anti vaxxer anti vaxxer cringe reddit anti-vaxxer anti-vaxxers anti vax memes anti vaxxers mom anti vaccines anti vaxxers memes anti-vaccine house anti vax anti vaxxers sorrow tv soft kore anti vaxxers anti vaxxers best memes anti vaxxer logic anti-vax vaccines anti vaxxers logic fails anti vaxxer cringe news anti vaxxer movement the mind of an anti vaxxer</t>
  </si>
  <si>
    <t>r/ sbubby subway thanos red dead redemption funny photoshop edit giofilms sorrowtv slazo kwite marshalldoesstuff softkore dark dom facepalm softwaregore woooosh oopsdidntmeanto</t>
  </si>
  <si>
    <t>dailymemes anti-vaxxer anti-vaxxers anti-vaxx debunking anti-vaxxers antivaxxers anti-vaccine anti-vax vaccines anti vaxxer anti vax anti vaxxers autism anti-vaccination anti vaccination antivaxxer news vaccine anti-vaxxer plague anti vaccine house anti vax anti-vaxxers rally flat earth anti-vaxxer anti-vaxxer interview house anti vaxxer vaccinations house md anti-vaxxers vaccination anti-vaxx facebook vaccine controversies anti-vaxxer facebook groups</t>
  </si>
  <si>
    <t>dailymemes r/choosingbeggars choosing beggars choosingbeggars r/choosingbeggars top posts reddit reddit cringe choosing reddit choosing beggars beggars reddit top posts top posts cringe top posts of all time r/ r/choosing beggars posts r/choosing beggars top posts subreddit r/choosingbeggars top posts of all time reddit posts e beggars comedy r/ choosingbeggars r /choosingbeggars reading r / choosingbeggars cuestar r/choosingbeggars 4</t>
  </si>
  <si>
    <t>r/dailymemes getting owned people getting owned top 5 people getting owned top 10 people getting owned getting owned on tv owned people getting owned on tv people getting owned compilation racist people getting owned in 2017 racist people getting owned failed people getting caught lying online racist people getting owned racist people getting owned 2017 racist people getting owned compilation</t>
  </si>
  <si>
    <t>dailymemes owned top 10 people getting owned people getting owned on tv people people getting owned compilation racist people getting owned racist people getting owned failed people getting caught lying online racist people getting owned compilation racist peiple getting owned in 2018 top 10 people getting owned! _xD83D__xDD25_ (warning) top 10 people getting owned! _xD83D__xDD25_ online getting owned on tv</t>
  </si>
  <si>
    <t>rachel girl rachel oates oates english british english vlogger atheist opinion skeptic facebook facebook group natural parenting vaccinations vaccines anti-vaxx anti-vax debunking anti-vaxxers anti-vaxx facebook vaccines and autism how vaccines work do vaccines work vaccines and parenting alternative medicine psuedoscience r/vaxxhappened anti-vaxxer</t>
  </si>
  <si>
    <t>dailymemes r/facepalm facepalm reddit facepalm face palm r/facepalm best posts best of r/facepalm reddit r/ r / facepalm r/ facepalm r facepalm facepalm reddit facepalm meme r/facepalm top posts of all time facepalm posts r\/facepalm /r/facepalm facepalm top posts comedy face palm r/facepalm posts funny r/facepalm reddit r/facepalm r/facepalm reaction r/facepalm top posts giofilms subreddit facepalm top posts of r/facepalm reddit top posts</t>
  </si>
  <si>
    <t>Anti-Vaxxer r/insanepeoplefacebook Autism Anti Vaxxer try not to laugh people vaxxhappened narration Vaccines Cause Adults Vaccine Cause reading Measles r/vaxxhappened Vaccines facebook insane reddit reading Oz Media reddit cringe compilation Measles Outbreak</t>
  </si>
  <si>
    <t>dailymemes r/fatlogic fatlogic fat reddit fat acceptance logic fat logic fat shaming fat girl fat acceptance cringe fat phobia r/fatlogic 1 r/fatlogic #1 fat women fail fapo fat cringe fat women eating fails fat people eating acceptance fat activist reddit fatlogic r/fatlogic ailurus meme compilation fat shame tumblrinaction fatlogic cringe privilege compilation rekt body positive reddit cringe massive cringe fatphobia cake gainer cringe</t>
  </si>
  <si>
    <t>dailymemes vegan vegan memes vegan memes funny memes vegan gets owned vegan gains hilarious vegan memes vegan humor vegan jokes vegan food dank memes anti vegan memes funniest vegan memes vegan meme vegan cringe memes compilation vegan diet vegan fail vegetarian funny memes vegans getting destroyed veganism sjw gets owned vegan gets mad vegan owned vegan comedy vegan vs meat eater vegan protest pro vegan memes vegan sjw</t>
  </si>
  <si>
    <t>dailymemes facepalm r/facepalm face palm reddit facepalm best of r/facepalm r facepalm r/facepalm best posts r / facepalm r/ facepalm facepalm posts r/ reddit funny r/facepalm palm face facepalm meme r/facepalm top posts of all time r/facepalm reaction r/facepalm top posts facepalm reddit r\/facepalm /r/facepalm facepalm top posts r/facepalm v2 r.facepalm r/facepalm memes r/facepalm posts r/facepalm funny r/facepalm reddit r/facepalm is epic</t>
  </si>
  <si>
    <t>anti vax anti-vaccine house anti vax kat von d anti vax anti vaccination anti-vaxxers anti-vaxxer anti-vaccination anti-vax anti vaxxer autism anti vaccine house anti vaxxer vaccine vax health nas anti vaccine news anti vaccine nurse anti-vaxx anti vaccine doctor vaccination kat von d anti vaccine vaxxed politics measles vaccines national vaccine controversies cognitive bias vaccine (drug class) health (industry) breaking news antimlm slazo sorrow tv nxivm</t>
  </si>
  <si>
    <t>r/dailymemes Flat Earth Meme flat earth funny memes flat earth memes flat earthers crazy flat earth debate flat earth facebook groups memeulous flat earth girl reaction time flat earther goes up in rocket flat earthers flat earthing triggered tro 2 globalist flat earth funny flat earth theory</t>
  </si>
  <si>
    <t>dailymemes owned people getting owned people getting owned on tv people getting owned gta 5 people getting owned top 5 people getting owned top 10 people getting owned people getting owned compilation racist people getting owned people getting caught lying online racist people getting owned in 2017 racist people getting owned failed entitled people getting owned racist people getting owned 2017</t>
  </si>
  <si>
    <t>dailymemes r/fatlogic fat logic fatlogic fat acceptance fat fat girl reddit fat shaming r/fat logic fat women fat cringe fat people eating fat phobia reddit fatlogic r/fatlogic ailurus fat acceptance cringe reddit cringe fatlogic reddit logic fat shame fatlogic cringe fapo fail fat women eating fails fat activist tumblrinaction r/ r/fatlogic 1 r fatlogic lol body positive r/fatlogic #2 r/fatlogic 10 r/fatlogic #1 compilation rekt</t>
  </si>
  <si>
    <t>memes clean memes wholesome memes clean wholesome reddit memes reddit dank doodle memes ddm best wholesome memes funny memes dank memes memes compilation dog memes cat memes satisfying funniest best</t>
  </si>
  <si>
    <t>medical professionals doctors doctors share stories how are you still alive r/ askreddit r/askreddit reddit top posts brainydude dankify reddit</t>
  </si>
  <si>
    <t>dailymemes r/quityourbullshit quityourbullshit r/quityourbullshit top posts quit your bullshit reddit bullshit top posts reddit cringe r/quityourbullshit sorrow tv r/ r/iamverysmart top posts of all time reddit top posts r/thathappened r/oopsdidntmeanto r/quit your bull shit reddit challenge subreddit r/quityourbullshit slazo best of r/quityourbullshit reddit quityourbullshit top posts r/quityourbullshit quit your bullshit reddit</t>
  </si>
  <si>
    <t>reddit r/ rslash r\ sub subreddit best of reddit reddit top posts top posts top posts of all times comedy funny reddit posts funny reddit fails cringe entitledparents r/entitledparents entitledparents posts entitledparents fails entitled parents entitled parents fail r/ entitled parents</t>
  </si>
  <si>
    <t>dailymemes r/iamverysmart iamverysmart i am very smart reddit r/iamverysmart top posts r/ r/iamverysmart 2 r/iamverysmart top posts of all time smart subreddit iamverysmart top posts comedy sorrow tv cringe r iamverysmart r/iamverysmart neil degrasse tyson reddit iamverysmart best of iamverysmart iamverysmart best posts best of reddit iamverysmart r/niceguys /r/iamverysmart r\/iamverysmart reddit top posts r/amverysmart r/nicegirls reddit smart</t>
  </si>
  <si>
    <t>vaxxhappened</t>
  </si>
  <si>
    <t>dailymemes r/choosingbeggars choosingbeggars choosing beggars beggars choosing r/choosingbeggars top posts r/choosing beggars cringe reddit choosing beggars reddit r/ reddit top posts reddit cringe top posts subreddit top posts of all time r/beggars r\/choosingbeggars r\/choosing beggars /rchoosingbeggars r/choosingbeggars fresh choosingbeggars fails funny choosing beggars choosingbeggars funny choosingbeggars posts r/choosing beggars top posts</t>
  </si>
  <si>
    <t>memes meme review medical memes funny medical memes funniest medical memes health memes doctor mike meme doctor mike dr mike dr. mike mike varshavski mikhail varshavski doctor meme review medical humor doctor humor laughter as medicine nursing humor medical satire doctor reacts doctor jokes medical comedy health humor doctor memes medical meme compilation hospital humor funniest doctor memes dr reacts medical school humor nurse humor</t>
  </si>
  <si>
    <t>jubilee jubilee media jubilee project live deeper blind devotion love language middle ground spectrum jubilee spectrum do all christians think the same christians spectrum christians debate christianity christians different opinions gay christian christian stereotypes waspy christians react christians argue what do christians believe what do christians think christians christians believe christian beliefs</t>
  </si>
  <si>
    <t>dailymemes vegan vegan gains vegan owned vegan gets owned vegans raw vegan veganism owned vegan protest vegan diet sjw gets owned vegetarian vegan vs meat eater vegan food vegan fox news vegan sjw vegan destroyed sv3rige owned vegan gets mad vegan blogger vegan youtuber vegan memes vegan gets debunked vegan sjw triggered go vegan vegan unhealthy vegan interview vegan triggered vegan youtubers vegan gets destroyed vegan debate</t>
  </si>
  <si>
    <t>insane people facebook</t>
  </si>
  <si>
    <t>pauschmanagement gerald 'gerald pauschmann' TPTV The Point TV Media TV and Video Presenting</t>
  </si>
  <si>
    <t>reddit multilinguals language story conversation askreddit top posts reddit top posts best of reddit r/ reddit cringe top posts of all time askreddit funny top posts of r/ brainy memes</t>
  </si>
  <si>
    <t>reddit teachers students school high school rule student r/ askreddit top posts reddit top posts best of reddit reddit cringe top posts of all time askreddit funny top posts of r/ brainy memes funny reddit fails funniest reddit posts funniest posts</t>
  </si>
  <si>
    <t>reddit askreddit askreddit funny top posts top posts of r/ r/ r/askreddit reddit top posts reddit compilation top posts of all time askreddit question askreddit top posts ask reddit askreddit reading subreddit reddit stories best of r/askreddit funny reddit best reddit posts best of reddit reddit ama ask me anything reddit ask me anything r/IAmA</t>
  </si>
  <si>
    <t>dailymemes anti vaxxers anti vaxxer house anti vaxxer anti-vaxxers anti vaxxers best memes anti vaxxer cringe reddit anti vaxxer cringe anti vaxxers memes anti vaccination anti vaxxers logic fails anti vaxxer movement anti vaccine anti vaxxers mom vaccines anti vaxxers sorrow tv anti vaxxer logic anti vaccines measles soft kore anti vaxxers anti-vaxxer anti-vaccine vaccination anti vaccers house anti vax</t>
  </si>
  <si>
    <t>anti-vaccination vaccination anti-vaxx misinformation disinformation anti-vaccination myths the truth about vaccinations misinformation campaign anti-vaxxers anti-vaxx campaign hidden camera investigation hidden camera investigation social media Facebook anti-vaxx movement Facebook ads children's health defense Timothy Caulfield medical freedom medical choice vaccine safety global health cognitive bias vaccines and autism CBC Marketplace CBC News</t>
  </si>
  <si>
    <t>VICE News VICE News Tonight VICE on HBO news vice video vice news 2018 This County Banned Unvaccinated Kids From Public Spaces anti-vaxxers health and disease public health vaccination rockland county anti-semitism religion unvaccinated children measle outbreak orthodox ani-vaxxer us health emergency religious community science education public exposure law enforcement patricia ruppert safety health commisioner</t>
  </si>
  <si>
    <t>anti-vaccine vaccine vaccination anti-vaccination anti-vaccine movement pro-vaccine measles polio Edward Jenner Inoculation Louis Pasteur Disneyland MMR mumps rubella herd immunity Andrew Wakefield The Lancet measles outbreak Vaccine Controversies Health (Industry) anti-vax anti-vaxxers Jenny McCarthy (Celebrity) Polio Vaccine (Vaccine) thimerosal doctors medical science autism spectrum disorder social psychology cognitive psychology cognitive bias</t>
  </si>
  <si>
    <t>jimmy kimmel jimmy kimmel live late night talk show funny humor comedic stand-up funny video variety highlight clip sketch comedy music comedy improv sketch comedian Vaccine (Drug Class) anti-vaccination anti-vax doctor dr rant medicine modern medicine measles polio Vaccine Controversies psa public service announcement medical school</t>
  </si>
  <si>
    <t>Anti-Vaxxer Anti-Vaxxers In Texas Arielle Duhaime-Ross VICE News news VICE VICE Magazine documentary interviews breaking news happening now politics conflict national international environment economics VICE News Tonight HBO VICE on HBO VICE Money Vaccine Vaccines Anti-Vaccine Anti-Vaxxers Healthcare vaccine controversies vaccine (drug class) flu shot vice news 2018 vice on hbo episode</t>
  </si>
  <si>
    <t>vaccines vaccinations anti-vaxxers autism autism spectrum disorder psychology social psychology cognitive psychology cognitive bias negativity bias confirmation bias explanatory attribution pattern recognition risk perception cognition science hank green sci show Vaccine Controversies Vaccination (Field Of Study) Vaccine (Drug Class)</t>
  </si>
  <si>
    <t>Gregory House House M.D. Dr House House Hugh Laurie House Funniest Moments House Best Moments Allison Cameron Olivia Wilde Lisa Cuddy Wilson Best Of House Thirteen Foreman Chase house md vegans vegans house vegans vegan couple house md vegan couple cheating vegan piper perabo piper perabo house nutritionist house md hugh laurie vegans piper perabo vegan</t>
  </si>
  <si>
    <t>antivaxxers comedy vaxxhappened insanefacebookpeople</t>
  </si>
  <si>
    <t>Gregory House House M.D. Dr House House Hugh Laurie House Funniest Moments House Best Moments Allison Cameron Olivia Wilde Lisa Cuddy Wilson Best Of House Thirteen Foreman Chase house md vaccination house anti vaxxer house anti vax house md anti-vaxxers house comeback house md insults house md lesson anti vaccination vaccinations</t>
  </si>
  <si>
    <t>video cbs news CBS News CBS this Morning vaccinations anti-vaccination childhood vaccines health U.S.</t>
  </si>
  <si>
    <t>smallpox virus disease medicine vaccination TED-Ed TED TEDEducation TED Ed Jenner Virolation Virology (Medical Specialty)</t>
  </si>
  <si>
    <t>anti vaxxers vaccination vaccine vaccinations the infographics show wrong generations family health doctor family doctor vaccinate children small pox the plague black death virus educational animation animated</t>
  </si>
  <si>
    <t>vaccine controversies vaccine (drug class) doctor mike dr mike anti vaccination jubilee media jubilee project middle ground medical drama review mike varshavski mikhail varshavski antivax anti vaxxer vaccines vaccines toxic vaccines revealed vaccination doctor vaccine vaccine toxic are vaccines tested are vaccines safe pro vaccine doctor reaction video vaccines cause autism should you vaccinate vaccinate the truth about vaccines</t>
  </si>
  <si>
    <t>Popular Science (Magazine) PopSci popular science magazine science bill nye the science guy bill nye the science guy mean tweets bill nye mean tweets anti-science anti-science tweets twitter climate change global warming evolution nasa science hoax billy nye house science committee twitter reactions bill nye twitter science twitter bill nye answers questions bill nye roasting people</t>
  </si>
  <si>
    <t>anti-vaxxer why you should get vaccinated why you should vaccinate your kids vaccines save lives do vaccines contain mercury do vaccines cause autism are vaccines safe verything you should know about vaccines. Measles Mumps Rubella MMR vaccine Polio Small Pox eradicating disease why is the anti-vax movement growing flu shot does the flu shot work why you should get the flu shot thimerosal measles outbreak USA andrew wakefield</t>
  </si>
  <si>
    <t>Vaccines Risk Side-effects Child Vaccinate Measles Virus Flu MMA Polio Pneumonia Encephalitis SSPE Genitalia Imflammation Memory Cell Rash Fever Immunsystem Infection Medicine Antibodies Allergic death Allergic Reaction Autism Healthcare Health vaccine public health herd immunity side effects illness sickness human funny</t>
  </si>
  <si>
    <t>jubilee jubilee media jubilee project live for something greater blind devotion love language middle ground middle ground jubilee vaccine safety vaccination video should you vaccinate pro vaccine anti vaccine vaccine vaccination vaccines autism anti-vaccine vaccinate forced vaccination vaccinations vaccines cause autism vaccine injury vaccine side effect vaccine risks vaccination debate vaccines and autism the truth about vaccines</t>
  </si>
  <si>
    <t>House M.D. Dr. House Anti-Vaxxers Vaccines Vaccination Anti-vaccination Gregory House teeny tiny baby coffins autism jenny mccarthy House MD rand paul chris christie republicans libertarians public health big pharma multinational coroporations frog green fire engine red antibodies yummy mummy big business conspiracy Greg House science rationality reason sarcasm hugh laurie penn &amp; teller bullshit all-natural toy companies pseudoscience measles anti vaccine</t>
  </si>
  <si>
    <t>doctor mike dr mike mikhail varshavski doctor reacts doctor reacts to good doctor good doctor review dr reacts medical drama review doctor breaks down doctor tv shows tv doctors doctor reaction video real doctor watches the good doctor the good doctor good doctor episode 2 mike varshavski tv drama best doctor tv show good doctor freddie highmore how accurate is the good doctor doctor reviews medical tv show the good doctor reaction shaun murphy</t>
  </si>
  <si>
    <t>house md you're fired dr saison season hugh laurie s04 ep1 s04e01</t>
  </si>
  <si>
    <t>house housemd funny moments wilson cuddy foreman chase thirteen cameron taub season season1</t>
  </si>
  <si>
    <t>bilingualism Mandarin English</t>
  </si>
  <si>
    <t>My Movie2</t>
  </si>
  <si>
    <t>house md gratification masturbation girl funny</t>
  </si>
  <si>
    <t>Dr House amazing diagnoses smart intelligent House Hugh Laurie Dr Cuddy Sexy genius medical doctor medical doctor show</t>
  </si>
  <si>
    <t>house best of house md house md series funny comedy clinic hours</t>
  </si>
  <si>
    <t>house lupus cameron chase cuddy wilson foreman thirteen taub kutner</t>
  </si>
  <si>
    <t>Gregory House House M.D. Dr House House Hugh Laurie House Funniest Moments House Best Moments Allison Cameron Olivia Wilde Lisa Cuddy Wilson Best Of House Thirteen Foreman Chase wilsons heart season 4 episode 16</t>
  </si>
  <si>
    <t>Gregory House House M.D. Dr House House Hugh Laurie House Funniest Moments House Best Moments Allison Cameron Olivia Wilde Lisa Cuddy Wilson Best Of House Thirteen Foreman Chase house of highlights house md foreman brother</t>
  </si>
  <si>
    <t>Gregory House House M.D. Dr House House Hugh Laurie House Funniest Moments House Best Moments Allison Cameron Olivia Wilde Lisa Cuddy Wilson Best Of House Thirteen Foreman Chase house md inhaler inhaler fail house md inhaler idiot house md duty clinic inhaler idiot house dr house inhaler</t>
  </si>
  <si>
    <t>Gregory House House M.D. Dr House House Hugh Laurie House Funniest Moments House Best Moments Allison Cameron Olivia Wilde Lisa Cuddy Wilson Best Of House Thirteen Foreman Chase</t>
  </si>
  <si>
    <t>Gregory House House M.D. Dr House House Hugh Laurie House Funniest Moments House Best Moments Allison Cameron Olivia Wilde Lisa Cuddy Wilson Best Of House Thirteen Foreman Chase house md amber amber house md ambers ghost house md boombox</t>
  </si>
  <si>
    <t>Gregory House House M.D. Dr House House Hugh Laurie House Funniest Moments House Best Moments Allison Cameron Olivia Wilde Lisa Cuddy Wilson Best Of House Thirteen Foreman Chase failure to communicate</t>
  </si>
  <si>
    <t>House M.D. targeted medicine racial disparities in medicine</t>
  </si>
  <si>
    <t>Gregory House House M.D. Dr House House Hugh Laurie House Funniest Moments House Best Moments Allison Cameron Olivia Wilde Lisa Cuddy Wilson Best Of House Thirteen Foreman Chase house md funeral house md dead house md finale house md eulogy wilson speech foreman speech olivia wilde dr house death house is dead house md thirteen thirteen speech</t>
  </si>
  <si>
    <t>Gregory House House M.D. Dr House House Hugh Laurie House Funniest Moments House Best Moments Allison Cameron Olivia Wilde Lisa Cuddy Wilson Best Of House Thirteen Foreman Chase house therapy house mental asylum house md therapy house md therapist Andre Braugher brooklyn nine nine Andre Braugher brooklyn nine nine brooklyn 99 captain holt brooklyn nine nine holt</t>
  </si>
  <si>
    <t>Gregory House House M.D. Dr House House Hugh Laurie House Funniest Moments House Best Moments Allison Cameron Olivia Wilde Lisa Cuddy Wilson Best Of House Thirteen Foreman Chase house and cuddy first kiss house and cuddy kiss house and cuddy break up scene house and cuddy get together house and cuddy moments</t>
  </si>
  <si>
    <t>Gregory House House M.D. Dr House House Hugh Laurie House Funniest Moments House Best Moments Allison Cameron Olivia Wilde Lisa Cuddy Wilson Best Of House Thirteen Foreman Chase cuddy cuddy cancer cuddy house cuddy has cancer</t>
  </si>
  <si>
    <t>Gregory House House M.D. Dr House House Hugh Laurie House Funniest Moments House Best Moments Allison Cameron Olivia Wilde Lisa Cuddy Wilson Best Of House Thirteen Foreman Chase House treats an artist</t>
  </si>
  <si>
    <t>Gregory House House M.D. Dr House House Hugh Laurie House Funniest Moments House Best Moments Allison Cameron Olivia Wilde Lisa Cuddy Wilson Best Of House Thirteen Foreman Chase house mysterious cases house md clinic house md orange house md carrots house clinic orange man</t>
  </si>
  <si>
    <t>Gregory House House M.D. Dr House House Hugh Laurie House Funniest Moments House Best Moments Allison Cameron Olivia Wilde Lisa Cuddy Wilson Best Of House Thirteen Foreman Chase Holt Captain holt</t>
  </si>
  <si>
    <t>Gregory House House M.D. Dr House House Hugh Laurie House Funniest Moments House Best Moments Allison Cameron Olivia Wilde Lisa Cuddy Wilson Best Of House Thirteen Foreman Chase house md entering and breaking house md home invasion house md ethics house m.d. entering and breaking home invasions</t>
  </si>
  <si>
    <t>Gregory House House M.D. Dr House House Hugh Laurie House Funniest Moments House Best Moments Allison Cameron Olivia Wilde Lisa Cuddy Wilson Best Of House Thirteen Foreman Chase when house knows when you're lying</t>
  </si>
  <si>
    <t>house clinic hours season 3</t>
  </si>
  <si>
    <t>Gregory House House M.D. Dr House House Hugh Laurie House Funniest Moments House Best Moments Allison Cameron Olivia Wilde Lisa Cuddy Wilson Best Of House Thirteen Foreman Chase house was right house md was right house md vicodin house md paraplegic house md wheelchair cuddy cortison</t>
  </si>
  <si>
    <t>Gregory House House M.D. Dr House House Hugh Laurie House Funniest Moments House Best Moments Allison Cameron Olivia Wilde Lisa Cuddy Wilson Best Of House Thirteen Foreman Chase Judy greer</t>
  </si>
  <si>
    <t>Gregory House House M.D. Dr House House Hugh Laurie House Funniest Moments House Best Moments Allison Cameron Olivia Wilde Lisa Cuddy Wilson Best Of House Thirteen Foreman Chase little person house flirting</t>
  </si>
  <si>
    <t>Gregory House House M.D. Dr House House Hugh Laurie House Funniest Moments House Best Moments Allison Cameron Olivia Wilde Lisa Cuddy Wilson Best Of House Thirteen Foreman Chase truth or dare house thirteen and wilson</t>
  </si>
  <si>
    <t>Gregory House House M.D. Dr House House Hugh Laurie House Funniest Moments House Best Moments Allison Cameron Olivia Wilde Lisa Cuddy Wilson Best Of House Thirteen Foreman Chase house md weber house md lecture house md colleague house md weber lecture house crashing lecture</t>
  </si>
  <si>
    <t>Gregory House House M.D. Dr House House Hugh Laurie House Funniest Moments House Best Moments Allison Cameron Olivia Wilde Lisa Cuddy Wilson Best Of House Thirteen Foreman Chase clinic duty houses patient Patient ask for drugs</t>
  </si>
  <si>
    <t>Gregory House House M.D. Dr House House Hugh Laurie House Funniest Moments House Best Moments Allison Cameron Olivia Wilde Lisa Cuddy Wilson Best Of House Thirteen Foreman Chase house christmas christmas episode xmas episode damned if you do house md full episodes house full episodes house season 4 house secret santa house md secret santa house dr house santa house md funny moments house funny moments kal penn christmas best tv christmas</t>
  </si>
  <si>
    <t>Gregory House House M.D. Dr House House Hugh Laurie House Funniest Moments House Best Moments Allison Cameron Olivia Wilde Lisa Cuddy Wilson Best Of House Thirteen Foreman Chase Comp/Clip Wentworth Miller Michael Scofield</t>
  </si>
  <si>
    <t>Gregory House House M.D. Dr House House Hugh Laurie House Funniest Moments House Best Moments Allison Cameron Olivia Wilde Lisa Cuddy Wilson Best Of House Thirteen Foreman Chase house md immaculate conception immaculate conception house md virgin birth virgin birth parthenogenesis joy to the world</t>
  </si>
  <si>
    <t>Gregory House House M.D. Dr House House Hugh Laurie House Funniest Moments House Best Moments Allison Cameron Olivia Wilde Lisa Cuddy Wilson Best Of House Thirteen Foreman Chase house vs god house md god house md vs god speaking to god christianity house md believe thomas dekker cameo thomas dekker house</t>
  </si>
  <si>
    <t>Gregory House House M.D. Dr House House Hugh Laurie House Funniest Moments House Best Moments Allison Cameron Olivia Wilde Lisa Cuddy Wilson Best Of House Thirteen Foreman Chase clinic duty house clinic duty house md clinic duty house md cows house md circumcision house md clinic duties house md clinic circumcision house md sexomnia house md best clinic duties</t>
  </si>
  <si>
    <t>jimmy kimmel jimmy kimmel live late night talk show funny humor comedic stand-up funny video variety highlight clip sketch comedy music comedy improv sketch comedian anti-vaccination anti-vax vaccination vax controversy facebook twitter doctors medical medicine medical professional Vaccine Controversies measles polio disease sickness jack &amp; becky jack and becky</t>
  </si>
  <si>
    <t>jimmy kimmel live late night talk show funny comedic comedy clip comedian jake byrd inauguration trump president america washington white house government politics donald trump president trump jake byrd alex jones infowars</t>
  </si>
  <si>
    <t>jimmy kimmel jimmy kimmel live late night talk show funny humor comedic stand-up funny video variety highlight clip sketch comedy music comedy improv sketch comedian mean tweets tweets twitter read reading celebrities celebrity Gwyneth Paltrow Lena Dunham Gerard Butler Ty Burrell Bob Newhart Britney Spears Geena Davis Chris Pratt Chloe Grace Moretz Scott Foley Michael Chiklis Ted Danson John Stamos Lisa Kudrow Adam Sandler</t>
  </si>
  <si>
    <t>jimmy jimmy kimmel jimmy kimmel live late night talk show funny comedic comedy variety clip comedian fallon jimmy fallon colbert stephen colbert Kylie Jenner (Author) kardashians jenners lips plastic surgery surgery implant fillers kylie jenner challenge challenge mouth youtube challenge conspiracy snuggie tupac jfk John F. Kennedy (US President) psa ad advertisement commercial Lip</t>
  </si>
  <si>
    <t>jimmy kimmel jimmy kimmel live late night talk show funny humor comedic stand-up funny video variety highlight clip sketch comedy music comedy improv sketch comedian Cold Open oscars academy awards award season awards host hosting neil patrick harris baby favor coupon hug free hug feed food babysit dressing room backstage Academy Awards (Award) oscar special academy awards special</t>
  </si>
  <si>
    <t>jimmy kimmel jimmy kimmel live late night talk show funny humor comedic stand-up funny video variety highlight clip sketch comedy music comedy improv sketch comedian Sal Iacono (TV Personality) Generation (Quotation Subject) cousin sal generation gap old young age grandma old woman kid teenager elvis one direction elvis presley john wayne three stooges lady gaga telegram</t>
  </si>
  <si>
    <t>jimmy kimmel jimmy kimmel live late night talk show funny humor comedic stand-up funny video variety highlight clip sketch comedy music comedy improv sketch comedian password security cyber security barack obama hack sony hollywood hollywood boulevard hollywood blvd protection pet birthday government computer internet</t>
  </si>
  <si>
    <t>jimmy kimmel jimmy kimmel live late night talk show funny humor comedic stand-up funny video variety highlight clip sketch comedy music comedy improv sketch comedian Lisa Kudrow (Celebrity) Jennifer Aniston (Celebrity) Friends cursing swearing swear swear words bleep censor censorship censored contest competition game show Horrible Bosses Horrible Bosses Two Horrible Bosses 2</t>
  </si>
  <si>
    <t>jimmy kimmel jimmy kimmel live late night talk show funny humor comedic stand-up funny video variety highlight clip sketch comedy music comedy improv sketch comedian pot quiz pop quiz weed marijuana 420 pot drugs willie nelson Cheech &amp; Chong (Musical Artist) South By Southwest (Award Winner) sxsw austin texas Cannabis (Drug)</t>
  </si>
  <si>
    <t>matt damon jimmy kimmel jimmy kimmel matt damon matt damon jimmy kimmel jimmy kimmel live comedic mean tweets talk show Jimmy Kimmel Vs Matt Damon Moments Jimmy Kimmel Vs Matt Damon sorry matt damon matt damon jimmy kimmel feud jimmy kimmel matt damon feud ossa celebrities jimmy kimmel matt damon fued jimmy kimmel matt damon beef jimmy kimmel matt damon snl jimmy kimmel matt damon oscars kimmel damon affleck kimmel and damon feud kimmel damon</t>
  </si>
  <si>
    <t>jimmy kimmel jimmy kimmel live late night talk show funny humor comedic stand-up funny video variety highlight clip sketch comedy music comedy improv sketch comedian Michael Jordan (Celebrity) Reggie Miller (Basketball Player) Trash-talk Basketball (Interest) nba ncaa pacers bulls player rivalry talk rival competition game basketball game 90s chicago series</t>
  </si>
  <si>
    <t>james horne bredow ferndale vaccinate mother in vaccination fight loses primary custody of son rebecca bredow vaccination Oakland County</t>
  </si>
  <si>
    <t>4/20 april 20th weed marijuana Jimmy Kimmel Jimmy Kimmel Live mean tweets celebrities read mean tweets Jimmy Kimmel mean tweets Jimmy Kimmel lie detector Unnecessary censorship Guillermo Man on the Street YouTube Challenge YouTube Pranks Lie Witness News Jimmy Fallon los angeles late night interviews celebrity talk show laughs tonight hollywood Have You Ever Smoked Pot?</t>
  </si>
  <si>
    <t>jimmy kimmel jimmy kimmel live late night talk show funny humor comedic stand-up funny video variety highlight clip sketch comedy music comedy improv sketch comedian Chef (Profession) Gordon Ramsay fitness fit body health weight overweight obese obesity children kids family swearing cursing hell's kitchen</t>
  </si>
  <si>
    <t>jimmy kimmel jimmy kimmel live late night talk show funny humor comedic stand-up funny video variety highlight clip sketch comedy music comedy improv sketch comedian Uber uber driver taxi taxi driver driving car passenger prank pick up stranger Gabon Africa family souvenirs presents gift shop hollywood hollywood boulevard hollywood blvd hidden camera app phone smart phone rideshare ride share</t>
  </si>
  <si>
    <t>jimmy kimmel jimmy kimmel live late night talk show funny humor comedic stand-up funny video variety highlight clip sketch comedy music comedy improv sketch comedian Barack Obama (US President) President Of The United States (Government Office Or Title) Politics (TV Genre) president america united states of america twitter mean tweets social media commander in chief obama barack read reading reads</t>
  </si>
  <si>
    <t>jimmy jimmy kimmel jimmy kimmel live late night talk show funny comedic comedy clip comedian fallon jimmy fallon colbert stephen colbert mean tweets Matt Damon (Celebrity) counseling therapy couples relationship therapist doctor the martian mars dr. phil phil mcgraw Relationship Counseling (TV Subject) couple booking feud fight argument</t>
  </si>
  <si>
    <t>jimmy jimmy kimmel jimmy kimmel live late night talk show funny comedic comedy clip comedian mean tweets science climate change global warming scientist environment sarah palin denial deniar politics ozone politician hoax election climate notfingwithyou republican democrat left wing right wing conspiracy</t>
  </si>
  <si>
    <t>The Late Show Late Show Stephen Colbert Steven Colbert Colbert celebrity celeb celebrities late night talk show comedian comedy CBS joke jokes funny funny video funny videos humor hollywood famous</t>
  </si>
  <si>
    <t>jimmy kimmel live late night talk show funny comedic comedy clip comedian Flat Earth Flat Earthers Flat Earth Convention NASA Jake Byrd Undercover The Earth is Flat Dallas Texas Flat Earth Conference</t>
  </si>
  <si>
    <t>jimmy kimmel jimmy kimmel live late night talk show funny humor comedic stand-up funny video variety highlight clip sketch comedy music comedy improv sketch comedian barack obama president of the united states president president obama united states america commander in chief obama united states of america life daily life driving dentist cooking daylight saving time food teeth electric car secret service security white house home</t>
  </si>
  <si>
    <t>jimmy jimmy kimmel jimmy kimmel live late night talk show funny comedic comedy clip comedian mean tweets matt damon ben affleck the martian coat jacket batman superman dc comics oscars academy awards after show post show sneak hide best actor nominee nomination awards show guest</t>
  </si>
  <si>
    <t>anti-vaccination anti-vaxxer vaccines exemptions Measles outbreaks anti-vaccination stance autism no link to autism peter hotez Lindenberger Washington Post Video News WaPo Video Washington Post YouTube The Washington Post a:national t:Original s:National</t>
  </si>
  <si>
    <t>reddit askreddit r/ r/askreddit reddit cringe top posts doctors reveal best posts funny reddit stories best of reddit sorrow tv rslash reddit stories stories</t>
  </si>
  <si>
    <t>CNN News CNN TV CNN Newsroom Newsroom measles vaccination opinion outbreak sally kohn carol costello default</t>
  </si>
  <si>
    <t>Late Night with Seth Meyers Rachel McAdams John Early NBC NBC TV television funny talk show comedy humor stand-up parody snl seth meyers host promo seth meyers weekend update news satire satire Covid-19 Coronavirus Quarantine news current news charity poverty social distancing isolation health healthcare pandemic Donald Trump President Trump Kung Flu testing cure vaccine virus disease CDC WHO Trump Rally reopening economy Rally corona health care</t>
  </si>
  <si>
    <t>california vaccination law california vaccination bill california vaccine law vaccine bill vaccine debate vaccine conspiracy anti-vaccine anti-vaxxers jim carrey vaccines jim carrey vaccinations sb 277 sb277 california vaccination Vaccine (Drug Class) California (US State) Autism (Disease Or Medical Condition) news aj+ ajplus al jazeera CT DT</t>
  </si>
  <si>
    <t>measles measles outbreak Jay Inslee state of emergency restrictions state legislature madatory vaccines vaccines Cat Wise measles vaccine vaccine health disease mmr measles vaccination what is measles symptoms measles rash outbreak</t>
  </si>
  <si>
    <t>vaccine anti vaxxer anti vaccine measles anti vax children's vaccines nurse texas childrens hospital anti vaccine doctor anti vaccine nurse kat von d anti vaccine nas anti vaccine houston news abc13 abc13 houston</t>
  </si>
  <si>
    <t>measles health watch outbreak vaccines</t>
  </si>
  <si>
    <t>Dolly (Organism) retro report dolly sheep cloned animals cloned sheep clone animals animal cloning bioethics dolly the sheep cloning Ian Wilmut science ethics embryonic stem cells Shinya Yamanaka cloning process cloning documentary cloning humans new york times nyt The New York Times NY Times NYT Times Video nytimes.com news newspaper feature reporting</t>
  </si>
  <si>
    <t>this morning interview holly willoughby phillip schofield ruth langsford eamonn holmes chat shows - topic chat show - topic talk shows - topic debates anti vax measles outbreak 2019 measles outbreak measles symptoms measles explained measles vaccine anti vaxxers</t>
  </si>
  <si>
    <t>Full Frontal with Samantha Bee Full Frontal Samantha Bee Sam Bee TBS</t>
  </si>
  <si>
    <t>anti-vaxxer california vaccine bill health children illness infectious disease disease doctors medical exemptions orange county sacramento california vaccine mmr mumps pertussis whooping cough measles vaccinations vaccination vaccines Washington Post Video News WaPo Video Washington Post YouTube The Washington Post a:national/health-science t:Original s:Health and Science</t>
  </si>
  <si>
    <t>trying to find a doctor at an anti vaccine rally doctor vaccine rally rally voxpop voxpop</t>
  </si>
  <si>
    <t>Abdinasir Fidow minneapolis vaccine anti-vaxxers VICE News news VICE VICE Magazine documentary interviews world news breaking news happening now politics national international economics VICE News Tonight HBO VICE on HBO democrat Measles Somali autism measles outbreak caroline modarressy-tehrani vaccinations mmr vaccine rubella vaccine measles vaccine measles outbreak 2019 abdinasir fidowici vice news documentaries 2018</t>
  </si>
  <si>
    <t>Antivaxx AntiVaxxer vaccination safety Ethan Lindenberger Measles Senate Committee on Health Education Labour and Pensions Senate U.S. politics Global News World News World Breaking News Breaking News Today BD News Latest News latest news today current news local news today news abc news NBC News FOX News CNN World news today</t>
  </si>
  <si>
    <t>NowThis NowThisNews Now This News NowThis News Now This Media NowThis Media Current Events news US news current events today new jersey us wa vaccines hearing (cr) anti-vax anti vaxxers vaccines unvaccinated kids unvaccinated adults new jersey anti vax NJ A3818 world news u.s. news politics bills disease anti-vaxxers descended on the New Jersey Senate new jersey state senate senate state senate united states government and politics social affairs</t>
  </si>
  <si>
    <t>vaccines anti-vax measles herd immunity Vox.com vox explain explainer anti-vaccine movement measles usa measles 2019 measles 2018 2019 measles outbreak 2018 measles outbreak brooklyn measles measles nyc nyc measles usa measles us measle outbreaks measle outbreaks 2019</t>
  </si>
  <si>
    <t>bbc newsnight news interview</t>
  </si>
  <si>
    <t>ossa entertainment news celebrities vaccination vaccine vaccines health vaccine injury vaccine controversies anti vaccine Anti-Vaccine Сelebrities Mayim Bialik big bang theory the big bang theory Danny Masterson Donald Trump trump president trump Charlie Sheen Alicia Silverstone Cindy Crawford Robert De Niro Jim Carrey Jenny McCarthy Jenna Elfman anti-vaccination</t>
  </si>
  <si>
    <t>Vaccination (Field Of Study) Measles (Disease Or Medical Condition) vaccine vaccination measles californaia bbc news bbc news world news interview youtube video outbreak disneyland MMR Vaccine (Vaccine) mmr what is MMR Vaccine Controversy (Literature Subject) side effects autism Medicine (Field Of Study) Health (Industry) children Disease (Cause Of Death)</t>
  </si>
  <si>
    <t>Health Vaccinations Measles MSNBC NBC News nbc news news coverage breaking news us news world news politics current events top stories pop culture political news msnbc live ethan lindenberger vaccine dr john torres Medical Correspondent anti-vaccination debate vaccination debating vaccinating kids anti-vaccination ethan lindenberger testifying ethan lindenberger testifying before senate ethan lindenberger vaccinations</t>
  </si>
  <si>
    <t>plandemic the plandemic dr mike doctor mike mike varshavski mikhail varshavski covid19 conspiracy judy mikovits instagram doctor doctor reacts dr. mike judy mikovitz covid19 covid-19 coronavirus corona virus coronavirus movie is plandemic accurate doctor responds plandemic dr fauci conspiracy responding to coronavirus questions doctors coronavirus</t>
  </si>
  <si>
    <t>vaccinations parents refuse vaccines health officials worried warning rare diseases whooping cough return dotty hagmier risk side effects not worth watch video news</t>
  </si>
  <si>
    <t>vaccine vaccination kid children child vaccinate child dangerous danger harmful autism add adhd mood disorder jenny mccarthy anti-vaccination alicia silverstone kind mama whooping cough measles mumps herd immunity cdc centers for disease control vox vox media news politics domestic international ezra klein congress president us usa united states of america vox explains explainer conversations series animated video</t>
  </si>
  <si>
    <t>video cbs news</t>
  </si>
  <si>
    <t>MinuteEarth Minute Earth MinutePhysics Minute Physics earth history science environment environmental science earth science side effects risk perception immunization anaphylactic shock measles polio smallpox vaccine safety herd immunity outbreaks Vaccine (Drug Class) Risk (Quotation Subject) Health (Industry)</t>
  </si>
  <si>
    <t>Emergency The Doctors (TV Show) General Practitioner OB/GYN Children Physical Health Dr. Ordon Plastic Surgery Travis Stork Dr. Travis Health Advice Jim Sears NVIC Kids Mental Health ER Andrew Ordon Remedies DPT thedoctors Tips Healthy Masterson Lisa Masterson Medicine Ordon Medical Advice Measles Dr. Sears Doctor Pediatrics Fitness Vaccination Doctors Practice Pediatrician Stork Dr. Masterson Sears</t>
  </si>
  <si>
    <t>Vaccines autism mmr polio cause link fake false fake news bots russia anti-vax vax anti vax conspiracy wakefield measles mumps rubella outbreak chicken pox smallpox beme bemenews casey neistat news youtube casey neistat lou foglia casey neistat beme casey neistat cnn cnn</t>
  </si>
  <si>
    <t>PBS NewsHour Betty Ann Bowser Celina Yarkin Karen Winter whooping cough pertussis vaccines anti-vaccine vaccine skeptic United States</t>
  </si>
  <si>
    <t>bbc documentary documentary bbc bbc bbc plantagenets the plantagenets bbc documentary bbc history documentary bbc royal documentary</t>
  </si>
  <si>
    <t>Business Insider Health (Industry) Vaccination (Field Of Study)</t>
  </si>
  <si>
    <t>TEDxTalks English Social Sciences Culture Health Individualism Parenting Social Change Vaccines</t>
  </si>
  <si>
    <t>Today Today Show Matt Lauer Savannah Guthrie Al Roker Natalie Morales domestic news international news weather interviews politics money media entertainment sports breaking news food health home parents style concerts pets shopping Robert DeNiro Robert DeNiro Interview Robert DeNiro TODAY Vaxxed Anti-Vaccine Anti-Vaxxers Autism Autism Vaccines Vaccines Link Autism</t>
  </si>
  <si>
    <t>how vaccines work science of vaccine vaccines vaccination vaccine antivax cowpox virus biology science human body smallpox medical advances medicine vaccine safety Edward Jenner TED TED-Ed TEDEducation TED Ed Veronica Wallenberg Kelwalin Dhanasarnsombut Cinematic</t>
  </si>
  <si>
    <t>Ohio Carl Krawitt Jodi Rhett unvaccinated kids son with leukemia at risk vaccines health abc abcnews</t>
  </si>
  <si>
    <t>NowThis NowThisNews Now This News NowThis News Now This Media NowThis Media Current Events news vaccine (drug class) vaccine controversies vaccination (field of study) anti vaxxers anti vaccination anti vaxxer are vaccines safe modern medicine vaccinated Ethan Lindenberger World Health Organization autism hepatitis measles chickenpox vaccination as a teen hepatitis B getting vaccinated mmr vaccine CDC link between autism and vaccines Congress</t>
  </si>
  <si>
    <t>vox news current events world cnn vice fox msnbc breakdown eli5 anti-vaxxer vaccines measles disneyland rand paul Elizabeth Warren (U.S. Congressperson) Jenny McCarthy (Celebrity) anderson cooper medicine Vaccine (Drug Class) Vaccine Controversies vaccination dtap alternative vaccination schedules</t>
  </si>
  <si>
    <t>opinion why are there measles outbreaks? how do you get measles? what are symptoms of measles? why don't some people vacciante their children? why are some people afraid of vaccinations? do vaccines cause autism? are vaccines bad for you? vaccinations measles rubella mumps jenny mccarthy autsims anti-vaxxer vaxxer science denial vaccine effectiveness how effective are vaccines?</t>
  </si>
  <si>
    <t>vaccine vaccination measles hearing antivaxx</t>
  </si>
  <si>
    <t>Russell Howard Russel Howard Russell Howard Hour Russell Howard Good News Russell Howard Full Episodes Paul Chowdry Mo Gilligan russell howard conspiracies anti vax anti vaxxers conspiracy theories crazy conspiracy theories vaccinations vaccinations autism is the queen a lizard stevie wonder blind</t>
  </si>
  <si>
    <t>Vaccine (Drug Class) war drugs medicine Disease (Cause Of Death) medical risk Frontline (TV Program) Public Broadcasting Service (TV Network) Measles (Disease Or Medical Condition) Smallpox (Disease Or Medical Condition) Polio Vaccine (Vaccine) Diphtheria (Disease Or Medical Condition) Health (Industry) antibiotics</t>
  </si>
  <si>
    <t>Measles (Disease Or Medical Condition) Vaccination (Field Of Study) Measles virus measles virus vaccination vaccine measles vaccine measles outbreak outbreak news symptoms USA death deceased california berlin conspiracy anti vaxxers toddler cases animation documentary strain 2014 2015 Germany Deutschland Masern Exposure danger disneyland children kids explained amazing funny infographic flat design kurzgesagt in a nutshell Health (Industry) Medicine (Field Of Study)</t>
  </si>
  <si>
    <t>Vaccine (Drug Class) Measles (Disease Or Medical Condition) Virus (Type Of Infectious Agent) Outbreak The New York Times NY Times NYT Times Video nytimes.com Disneyland (Amusement Park) disneyland measles measles at disneyland Autism (Disease Or Medical Condition) vaccination autism vaccine vaccine autism Jenny McCarthy (Celebrity) jenny mccarthy autism jenny mccarthy vaccine polio polio vaccine whooping cough Andrew Wakefield (Physician) mmr vaccine</t>
  </si>
  <si>
    <t>last week tonight vaccines john oliver vaccines</t>
  </si>
  <si>
    <t>bbc newsnight news interview brexit european union united kingdom</t>
  </si>
  <si>
    <t>60 Minutes 60 Minutes Australia Liz Hayes Charles Wooley Tara Brown Liam Bartlett Allison Langdon Tom Steinfort Ellen Fanning Peter Overton Karl Stefanovic Ray Martin Peter Stefanovic Jana Wendt Jeff McMullen Jennifer Byrne Mike Munro Richard Carleton Tracey Curro Paul Barry Peter Harvey Michael Usher Ross Coulthart George Negus Ian Leslie Gerald Stone Sarah Abo autism vaccine measels mumps rubella children</t>
  </si>
  <si>
    <t>TEDxTalks English Norway Health Parenting Vaccines</t>
  </si>
  <si>
    <t>TEDxTalks English Health Vaccines</t>
  </si>
  <si>
    <t>bbc newsnight news interview Northern Ireland Brexit European Union United Ireland Republicanism Republic of Ireland</t>
  </si>
  <si>
    <t>bbc newsnight news interview John Cleese Emily Maitlis Monty Python Brexit Carribean Nevis European Union Leveson Newspapers Theresa May Comedy caribbean</t>
  </si>
  <si>
    <t>Larry King Larry King Now Ora Ora tv entertainment rob schneider rob schneider vaccines anti-vaxxer anti-vaccine anti-vaccination debate vaccines and autism big pharma rob schneider politics vaccine debate american health care system</t>
  </si>
  <si>
    <t>vaccination vaccine vaccines anti vax vaccination schedule measles autism andrew wakefield anti vaccine medicine immunization mmr science joe hanson it's okay to be smart its okay to be smart it's ok to be smart its ok to be smart biology polio pbs itsokaytobesmart public health</t>
  </si>
  <si>
    <t>Second thought second thought channel facts about facts you didn’t know things you didn’t know do vaccines cause autism do vaccines work are vaccines safe are vaccines good or bad are vaccines dangerous are vaccines safe for children do vaccines really cause autism should I vaccinate my child who is andrew wakefield are vaccines a conspiracy do vaccines contain posion are vaccines toxic are vaccines required do I have to get vaccinated what if why what</t>
  </si>
  <si>
    <t>celebrity interviews celebrity gossip tv news holly willoughby real stories phillip schofield this morning ruth langsford eamonn holmes breakfast tv chat show talk show Melinda Messenger dr chris dr zoe cancer vaccine side effects debate</t>
  </si>
  <si>
    <t>SciShow science Hank Green education learn How 6 Rare Diseases Are Changing Everyday Medicine Parkinson’s rare disease Hypophosphatasia alkaline phosphatase pyrophosphate osteoporosis bisphosphonate osteoclasts Gaucher lysosomal storage disease glucocerebrosidase glycolipids alpha-synuclein Niemann-Pick Ebola Congenital leptin deficiency leptin Laron syndrome growth hormone insulin-like growth factor 1 IGF-1 Plasminogen activator inhibitor type 1</t>
  </si>
  <si>
    <t>SciShow science Hank Green education learn Paris Climate Accord two degrees 2° 2°C 3.6°F Earth climate Heat wave hot day snowpack IPCC Intergovernmental Panel on Climate Change Greenland ice sheet ice shelves ice shelf West Antarctica sea level overturning circulation salinity monsoon drought</t>
  </si>
  <si>
    <t>SciShow science Hank Green education water salts oxygen blood Can I Die From Too Much Water? Oxygen? Blood? vitamin air death electrolytes sodium potassium ions water intoxication hyponatremia too much neurons brain swelling cerebral edema antioxidants oxidation free radicals upaired electrons oxidative stress antioxidant supplements red blood cells white blood cells plasma platelets leukocytosis leukemia polycythemia vera cancer 100% oxygen myelin</t>
  </si>
  <si>
    <t>SciShow science Hank Green education learn Inside earth crust mantel core earth drilling geology xenolith diamonds volcanoes plate tectonics fault lines seismic waves inge lehmann Brunswick Magnetic Anomaly Magnetic anomalies electricity magnetic field gravity field diamond anvil cell gravitational anomalies GRACE mission meteorites lutetium hafnium zircon</t>
  </si>
  <si>
    <t>computer science transistors integrated circuits microprocessors computing moore's law silicon binary code doping semiconductors science sci show hank green</t>
  </si>
  <si>
    <t>SciShow science Hank Green education compilation sugar sweetness high fructose corn syrup artificial sweetener sucralose aspartame lead hyper sweet'n low saccharin</t>
  </si>
  <si>
    <t>measles outbreak public health immunity vaccines vaccinations immunizations disease virus disneyland herd immunity mumps rubella biology cell culture adaptation hank green science sci show news</t>
  </si>
  <si>
    <t>drugs chemistry pain painkillers aspirin tylenol acetaminophen naproxen sodium NSAIDs opiates codeine morphine heroin laudanum methadone black mamba mambalgins</t>
  </si>
  <si>
    <t>dogs canines pets animals wolves domestication taming neural crest stem cells artificial selection evolution wild teeth jaws bones starch behavior biology sci show science hank green Michael Aranda (Musical Artist)</t>
  </si>
  <si>
    <t>SciShow science Hank Green education learn human body organ appendix Brain hemisphere epilepsy seizure disorder hemispherectomy operation paralysis procedure surgery cognitive Lung chronic pulmonary cancer tuberculosis tissues pneumonectomy alveoli health Stomach intestine gastric acid gastrectomy dumping syndrome esophagus digestion Spleen abdomen infection anemia splenectomy Liver bile hepatocyte donate regeneration Gallbladder bilirubin cholecystectomy gallstone Kidney nephron failure</t>
  </si>
  <si>
    <t>psychology psychological disorders obsessive compulsive disorder ocd bipolar disorder manic depression kris jenner son of sam vlad the impaler schizophrenia schizophrenic multiple personality disorder psychopath sociopath antisocial personality disorder personality disorders mood disorders sherlock holmes tony soprano science hank green sci show</t>
  </si>
  <si>
    <t>scishow science obesity health united states america hank green diet dieting exercise corndog ryan gosling fat overweight obese mississippi health food industry heart disease cancer type ii diabetes calorie sleep sleep deprivation climate control cigarette industrial chemical resin solvent perfume dye pesticide your mom epigenetics gut bacteria symbiotic ecosystem fecal transplant</t>
  </si>
  <si>
    <t>monogamy human breeding strategy social monogamy mammal insects birds fish polygamy mate mating polygyny polyandry promiscuity sexual monogamy extra-pair copulation copulation breeding dunnock sparrow cuckold reproductive strategy reproduction territory swan biology zoology anthropology effective polygamy natural science scishow</t>
  </si>
  <si>
    <t>SciShow science Hank Green education learn solar power agrivoltaics floatovoltaics photovoltaic trackers PV trackers silicon solar windows solar fabrics solar thermal fuels</t>
  </si>
  <si>
    <t>SciShow science Hank Green education learn 7 of the Strangest Allergies allergies dermographism urticaria physical urticarias vibratory urticaria cold urticaria angioedema anaphyraxis aquagenic urticaria exercise-induced anaphylaxis endorphins food-dependent exercise-induced anaphylaxis human seminal plasma hypersensitivity prostate-specific antigen PSA postorgasmic illness syndrome cyclic urticaria Progesterone hormones</t>
  </si>
  <si>
    <t>SciShow science Hank Green education learn Detroit Water and Sewerage Department Flint water Karegnondi Water Authority Lake Huron water treatment lead pipes lead Lead and Copper Rule orthophosphate oxidant leaching anti-corrosion chloride Sodium chloride chlorine fecal coliform bacteria E. coli trihalomethanes ferric chloride Legionnaires’ disease Legionella pneumophila EPA Flint River</t>
  </si>
  <si>
    <t>SciShow science Hank Green education learn Chisso Corporation Minamata Japan chemical plant cat acetaldehyde catalyst acetic acid bay mercury Heavy metal inorganic mercury ion mercuric nitrate toxic anaerobic bacteria methylmercury bioavailable poisonous fish dancing Minamata Disease placental barrier birth defect methionine cysteine amino acid protein brain wastewater</t>
  </si>
  <si>
    <t>anti-vaccination movement anti-vaccine anti-vax vaccine hesitancy Dunning-Kruger Dark triad narcissism psychopathy Machiavellianism coronavirus anxiety epidemiology novel coronavirus CDC Wuhan China influenza SARS MERS death rate panic contagion anxiety contagion mental health covid 19 Spanish flu severe acute respiratory syndrome Middle East respiratory syndrome H1N1 bird flu respiratory syndrome mortality paranoia conspiracy theory</t>
  </si>
  <si>
    <t>scishow science earth world population billion malthus exponential growth famine disease war industrial revolution fresh water food wealth wealthy developed developing youth bulge social science revolution species extinction global population infusion science of sci technology vlogbrothers</t>
  </si>
  <si>
    <t>SciShow science Hank Green education learn montana butte united states superfund epa pollution hazardous waste love canal environmental protection agency national priority list jimmy carter radioactive uranium throium radium gamma radiation chicago reed-keppler ionizing hart senate office building anthrax volitile organic compounds mesothelioma sulfuric acid snow geese berkeley pit copper hudson river new york pcbs asheville north carolina tce government mining</t>
  </si>
  <si>
    <t>scishow hank green vlogbrothers cancer research drug cure the cure race for the cure disease tumor cell division genes chromosomes mutations nucleotides proteins ras myc p53 oncogene tumor suppressor chemotherapy radiation cancerous genetic resection ionizing radiation cytoskeleton genome sequencing sequencing cell line encyclopedia cancer genome project personalized medicine treatment</t>
  </si>
  <si>
    <t>SciShow science Hank Green education learn psychology unethical experiments Zimbardo stanford prison experiment philip zimbardo bystander effect john barley kitty genovese experimenter teacher learner milgram experiment milgram monster study children stutter wendell johnson university columbia iowa little albert classical conditioning stimulus physical response unrelated stimulus john watson child justice beneficence informed consent belmont report rules ethics</t>
  </si>
  <si>
    <t>human parasite health organism parasitism host mutualism symbiotic symbiosis bacteria human microbiome forgotten organ intestine commensal symbiosis protozoa naegleria fowleri brain eating amoeba giardia malaria toxoplasmosis worms elephantiasis mosquitoes scabies lice crabs genital crabs bed bugs delusional parasitosis bot fly tenant scishow vlogbrothers</t>
  </si>
  <si>
    <t>Antonio Egas Moniz lobotomy leucotomy nobel prizes history medicine health psychiatry neurology neurosurgery ethics cerebral angiography John Fulton Walter Freeman James Watts biographies psychology mental illness mental health science hank green sci show Michael Aranda (Musical Artist)</t>
  </si>
  <si>
    <t>SciShow science Hank Green education learn compilation olivia gordon why do we laugh why do we blush why do we burp why do we fart why do we sneeze why do we itch why do we yawn</t>
  </si>
  <si>
    <t>SciShow science Hank Green education learn 5 Scientists with Ideas That Nobody Believed ... Who Were Right William B. Coley erysipelas metastasis Coley’s Toxin cancer cancer immunotherapy Francis Peyton Rous The Rockefeller Institute viral oncology Ignaz Semmelweis obstetrics puerperal fever chloride of lime solution germ theory Gregor Mendel blending inheritance Alfred Wegener continental displacement Urkontinent Pangea plate tectonics</t>
  </si>
  <si>
    <t>SciShow science Hank Green fashion paris green death chemistry asbestos history bad ideas inventions poison michael aranda list 18th century 17th century alice in wonderland mad hatter mercury lead nightshade clothes</t>
  </si>
  <si>
    <t>oklo nuclear power natural nuclear reactor mine uranium isotopes U-235 fission chain reaction nuclear physics natural history africa gabon science hank green sci show</t>
  </si>
  <si>
    <t>SciShow science Hank Green honey bacteria Honey: Bacteria's Worst Enemy sugar glucose fructose supersaturated solution osmosis bacterium mold fungus microorganisms bees glucose oxidase gluconic acid hydrogen peroxide acidic antibiotics bee defensin-1 protein methylglyoxal manuka honey Clostridium botulinum botulism infants spores immune system bear bottle</t>
  </si>
  <si>
    <t>SciShow science Hank Green education learn brain psychology brit garner internet compilation arguments facebook personalities memes viral oddly satisfying satisfying videos challenge videos trends</t>
  </si>
  <si>
    <t>hank green scishow teenagers hormones brain Adolescence (TV Genre) Body Health puperty prefrontal cortex synaptic pruning nucleus accumbens teen teenager psychology</t>
  </si>
  <si>
    <t>SciShow science Hank Green education learn Stefan Chin home remedies honey life hacks allergies lice poison butter first aid nosebleeds tea pink eye health ipecac vinegar</t>
  </si>
  <si>
    <t>SciShow science Hank Green education learn snow hydration survival water exposure blizzard desert food heat body cactus CAM photosynthesis malic acid oxalic acid calcium oxalate alkaloid urine blood toxic moss direction navigation alcohol frostbite snakebite venom snake bite antivenom jellyfish sting pee cnidocyte acetic acid vinegar</t>
  </si>
  <si>
    <t>SciShow science Hank Green education learn aranda michael aranda sleep health insomnia sleep walking circadian rhythm brain sleep deprivation depression psychology sleep apnea cpap sleep paralysis glycine muscles rem diet blue light caffine immune system amygdala nap lion predator prey olivia gordon oversleep sleep in can't sleep sleepy tired</t>
  </si>
  <si>
    <t>scishow science poison deadly ricin georgi markov castor bean toxic toxin plant fungi bacteria lethal clostridium botulinum botulism LD50 canned food honey spore neurotoxin acetylcholine antitoxin cyanide cigarette smoke plastic almond vitamin b12 mitochondria ribosome antidote cancer treatment strychnine brucine fruit amatoxin death cap destroying angel amanitin</t>
  </si>
  <si>
    <t>Genetically Modified Organism (Film Subject) SciShow Hank Green Genetically Modiefied Organism GMO's GMO glyphosate Roundup Monsanto Food Gilles-Eric Séralini FDA genetically engineered organism transgenic organism Flavr Savr Tomato commodity crops soybeans corn sugar beets cotton alfalfa canola transgene Agrobacterium</t>
  </si>
  <si>
    <t>SciShow science Hank Green 6 Common Misconceptions About Cancer misconception myth cancer sharks superfoods cartilage supplement angiogenesis tumor aflatoxin b1 sugar glycolosis otto warburg antioxidants acai reactive oxygen species dna melanoma biopsy global burden</t>
  </si>
  <si>
    <t>SciShow science Hank Green education learn 5 Things That Make You a Mosquito Magnet mosquitoes summer season bug malaria zika outdoor nature CO2 Gr1 Gr2 Gr3 Aedes aegypti cells sweat lactic acid volatile compounds Ir8a Ionotropic Receptor 8a bites alcohol chemical booze blood sugar color</t>
  </si>
  <si>
    <t>jimmy kimmel live late night talk show funny comedic comedy clip comedian gary greenberg hoarder matt paxton ebay collection collector writer office duck gary greenberg matt paxton jimmy kimmel rabbi</t>
  </si>
  <si>
    <t>jimmy jimmy kimmel jimmy kimmel live late night talk show clip mean tweets Kobe Bryant Tribute RIP Kobe Lakers Los Angeles Lakers LA Lakers Remembering Kobe Mamba Mentality Purple and Gold NBA Basketball Gianna Bryant Kobe Charity Kobe and Vanessa Bryant Family Foundation Black Mamba Mamba4ever</t>
  </si>
  <si>
    <t>jimmy jimmy kimmel jimmy kimmel live late night talk show funny comedic comedy clip comedian mean tweets Jimmy Kimmel Live From His House Coronavirus COVID-19 Social Distancing Quarantine Matt Damon Molly McNearney Jimmy Kimmel and Matt Damon Summer Hiatus Surprise Matt Damon feud Summer Jimmy’s House</t>
  </si>
  <si>
    <t>jimmy kimmel live late night talk show funny comedic comedy clip comedian daca immigrants immigration mexico america politics republicans Trump #MAGA dreamers</t>
  </si>
  <si>
    <t>jimmy jimmy kimmel jimmy kimmel live late night talk show funny comedic comedy clip comedian mean tweets Monologue Donald Trump Trump Politics Coronavirus Guillermo CPCC Trump Rally Joe Biden Democratic primary Tom Steyer Trump Tweets African American leaders Mike Bloomberg Public enemy Flavor Flav Bernie Sanders Wash your hands</t>
  </si>
  <si>
    <t>jimmy kimmel jimmy kimmel live late night talk show funny humor comedic stand-up funny video variety highlight clip sketch comedy music comedy improv sketch comedian Shia LaBeouf (Celebrity) arrest arrested drunk drinking jail prison police intoxication intoxicated Cabaret musical burlesque Alan Cumming (Film Actor) play New York broadway Fury</t>
  </si>
  <si>
    <t>jimmy jimmy kimmel jimmy kimmel live late night talk show funny comedic comedy clip comedian mean tweets trump donald trump president politics hair donald trump bald barber hairstylist air force one</t>
  </si>
  <si>
    <t>jimmy jimmy kimmel jimmy kimmel live late night talk show funny comedic comedy clip comedian mean tweets Jimmy Kimmel Live From His House Coronavirus COVID-19 Social Distancing Quarantine Donald Trump Trump POTUS President White House Trump Tweet Twitter Florida Trump Birthday California LA Los Angeles West Point Trump Drinking Water Commencement Speech Marco Rubio Trump Ramp Going down the ramp DJTJ Donald Trump Junior Trump Birthday Cards</t>
  </si>
  <si>
    <t>jimmy kimmel jimmy kimmel live late night talk show funny humor comedic stand-up funny video variety highlight clip sketch comedy music comedy improv sketch comedian Richard Madden (TV Actor) cinderella prince charming costume body nudity genitalia crotch tights see through costuming Kenneth Branagh (Film Director) disney prince fairy tale</t>
  </si>
  <si>
    <t>Yahoo Finance Personal Finance Money Investing Business Savings Investment Stocks Bonds FX Currencies NYSE Equities News Politics Market Markets Market Movers Midday Movers The Final Round Kennedy John F Kenned Robert F. Kennedy Robert Kennedy Kennedy vaccinations Kennedy environment Kennedy climate change Kennedy democrat Kennedy 2020 election Robert F Kennedy Jr. Andy Serwer</t>
  </si>
  <si>
    <t>television host NBC Late Night news satire Funny Talk Show snl satire stand-up The Anti-Vaxxer Movement saturday night live comedy The Sticking Point improv Television NBC TV sketch comedy political satire 2015videos humor Seth Meyers</t>
  </si>
  <si>
    <t>jubilee jubilee media jubilee project live for something greater blind devotion love language middle ground middle ground scientists religious leaders middle ground jubilee scientists vs religious leaders science vs religion do science and religion conflict science and god religious scientists can scientists and religious leaders see eye to eye? common ground social experiment debate compassion empathy atheism beliefs is god real creationism radical empathy</t>
  </si>
  <si>
    <t>jimmy kimmel jimmy kimmel live late night talk show funny humor comedic stand-up funny video variety highlight clip sketch comedy music comedy improv sketch comedian Genetically Modified Food (Film Subject) Genetically Modified Organism (Film Subject) GMO organic non-organic whole foods organic food farm farmers market market vegan vegetarian gmo food food quiz question pedestrian Los Angeles</t>
  </si>
  <si>
    <t>jimmy kimmel jimmy kimmel live late night talk show funny humor comedic stand-up funny video variety highlight clip sketch comedy music comedy improv sketch comedian Cate Blanchett (Celebrity) ears pop ear pop ear popping sinus allergy head airplane plane flying cinderella disney earwax q tip Ear (Anatomical Structure) acting actor play monologue</t>
  </si>
  <si>
    <t>jimmy kimmel live late night talk show funny comedic comedy clip comedian whatihate what hate teachers teacher secrets it people</t>
  </si>
  <si>
    <t>jimmy jimmy kimmel jimmy kimmel live late night talk show funny comedic comedy clip comedian fallon jimmy fallon colbert stephen colbert mean tweets One Direction (Music Video Performer) niece family one direction 1d split hiatus break up text emoji smart phone samsung texting teen teenager montage news news anchor anchor</t>
  </si>
  <si>
    <t>jimmy kimmel live late night talk show funny comedic comedy clip comedian donald trump president kids children the grove los angeles hollywood china north korea the grove los angeles north korea donald trump</t>
  </si>
  <si>
    <t>jimmy kimmel live late night talk show funny comedic comedy clip comedian teacher appreciation week hollywood boulevard guillermo school education teachers students teacher appreciation week</t>
  </si>
  <si>
    <t>jimmy kimmel jimmy kimmel live late night talk show funny humor comedic stand-up funny video variety highlight clip sketch comedy music comedy improv sketch comedian Practical Joke prank Selfie accident picture photo text texting iphone anthony anderson friends family mom dad son will arnett carson daly guillermo</t>
  </si>
  <si>
    <t>gluten hiking music comedy JKL comedy gluten-free clip funny video late night comedic skinny talk show stand-up los television #kimmel humor variety what is gluten sketch comedy los angeles talkshow Jimmy Kimmel Live Jimmy Kimmel diet funny nightly pedestrian question highlight angeles #kimmeljoke</t>
  </si>
  <si>
    <t>jimmy jimmy kimmel jimmy kimmel live late night talk show funny comedic comedy clip comedian fallon jimmy fallon colbert stephen colbert mean tweets Emily Blunt (Celebrity) Citizenship (Quotation Subject) United States Of America (Country) america american united kingdom britain citizenship test test citizen queen elizabeth ii queen elizabeth government quiz question sicario</t>
  </si>
  <si>
    <t>jimmy kimmel jimmy kimmel live late night talk show funny humor comedic stand-up funny video variety highlight clip sketch comedy music comedy improv sketch comedian gordon ramsay hell's kitchen taste test blind taste test taste food game strawberry hot dog twinkie chicken gummy worm cheese blindfold guillermo</t>
  </si>
  <si>
    <t>jimmy kimmel jimmy kimmel live late night talk show funny humor comedic stand-up funny video variety highlight clip sketch comedy music comedy improv sketch comedian Pedestrian (Literature Subject) Black (Color) Black (Ethnicity) black friend black history month holiday america united states race ethnicity february hollywood hollywood boulevard tourist friendship relationship</t>
  </si>
  <si>
    <t>jimmy jimmy kimmel jimmy kimmel live late night talk show funny comedic comedy clip comedian mean tweets kids children pay men women gender income wage salary gap money job work family mom dad mother father working</t>
  </si>
  <si>
    <t>funny video talkshow clip james franco stand-up JKL los late night Jimmy Kimmel Live humor mila kunis third person variety #kimmeljoke talk show highlight third person mila kunis sports Jimmy Kimmel Mila Kunis (TV Actor) #kimmel music comedy nightly mila kunis ashton kutcher mila kunis pregnant sketch comedy comedy nba finals comedic television ashton kutcher angeles funny</t>
  </si>
  <si>
    <t>jimmy kimmel live late night talk show funny comedic comedy clip comedian donald trump vladimir putin belgium england scotland russia politics countries geography donald trump vladimir putin</t>
  </si>
  <si>
    <t>AsapSCIENCE AsapTHOUGHT Correlation Causation science stem best science videos teaching education does correlation equal causation pop science fake news reporting journalism science communication best educational videos veritasium science research causality interdependence statistics math whiteboard explainer gregory brown mitch moffit different correlations covariance funny chocolate weight loss diet trends peer review</t>
  </si>
  <si>
    <t>Star Wars The Last Jedi The Last Jedi Trailer star wars battlefront 2 new star wars movie star wars: the last jedi Science video crispr the jedi in real life jedi mind tricks the force levitation hypnotism midichlorian mitochondria magnetic fields light saber how to make a light saber star wars science</t>
  </si>
  <si>
    <t>Science AsapSCIENCE intuition trust your gut follow your gut gut feeling making hard decisions drawing stop motion animation following your gut feeling intuitive intuitive definition how does intuition work telepathy magic heart vs head how to know if he's lying instinct trusting your instinct empathy buying a house how to make decisions how to make best decision feeling vs thinking is intuition real spirituality unconscious thoughts</t>
  </si>
  <si>
    <t>jubilee jubilee media jubilee project live deeper blind devotion love language middle ground spectrum flat earthers globe earthers astrophysicists what do flat earthers believe? can we trust science? jubilee podcast jubilee radical empathy podcast is the earth round? is the earth flat? creationists creationism NASA moon landing was the moon landing real?</t>
  </si>
  <si>
    <t>cancer Cancer Research UK (Organization) vsauce michael stevens genes dna science edu</t>
  </si>
  <si>
    <t>Science AsapSCIENCE Amazing facts to blow your mind shocking stats population stats amazing facts cartoon whiteboard stop motion weird majorities majority of people don't have internet mind blowing facts Gate Foundation Bill And Melinda Gates Gates Letter Shocking facts mind blown best facts amazing energy facts amazing body facts majority of the world developing country first world country poverty</t>
  </si>
  <si>
    <t>AsapSCIENCE inheritance in a nutshell red hair why do men go bald how to stop balding physiology colorblind test balding how do genetics work education best science videos best science channel mood disorder what do you inherit from your mom what do you inherit from your dad kurzgesagt animated science channel chromosomes genetic traits eye color what did I inherit from my parents what did you inherit from your parents night school ethan's corner - facebook</t>
  </si>
  <si>
    <t>Science AsapSCIENCE HIV AIDS World AIDS Day Disease human immunodeficiency virus acquired immune deficiency syndrome Whiteboard Stop motion Cartoon Animation Cure Medicine Treatment Cure for HIV Aids Symptoms HIV Signs HIV Testing Early HIV Virus Sick HIV symptoms hiv aids HIV cute AIDS cure contagious hiv symptoms in men hiv symptoms in women transmission infected blood white blood cell DNA RNA Retrovirus Genome Viral Immune System Daraprim Immune</t>
  </si>
  <si>
    <t>asapscience asap science asapscience youtube asap science youtube asap science fun science Virus Epidemiology Biology Best science channel Animated science channel Pandemic World health organization Biochemistry Learning How pandemics spread Mark Rober Veritasium Smarter every day InANutShell Virology</t>
  </si>
  <si>
    <t>White board video science video First born child smartest left handed creative breastfed vs. bottle fed are drug users smart do smart people drink more tall people are better dark sense of humour are virgins more smart are worriers more smart? are night owls smarter will music lessons make my kid smart? Will smoking make me dumb? Are you smart intelligence test smarter than average what is the average intelligence are you dumb? IQ test</t>
  </si>
  <si>
    <t>asapscience asap science asapscience youtube asap science youtube asap science fun science coronavirus wuhan china wuhan virus 2019 coronavirus nCoV 2019 what is the coronavirus how dangerous is the coronavirus wuhan region new coronavirus quarantine zone how fast is coronavirus spreading outbreak pandemic virus how do viruses work virus biology WHO CDC china virus kobe bat soup coronavirus symptoms</t>
  </si>
  <si>
    <t>Collegehumor CH originals comedy sketch comedy internet humor funny sketch brian sacca brian murphy adam conover mike trapp randall park milana vayntrub colton dunn pam murphy jake hurwitz fran gillespie mark mcgrath sam reich jon gabrus will hines d'arcy carden CH Shorts websites porn google internet IRL If Google Was a Guy embarrassing honesty weird terrible things yikes creepy brian huskey george basil pat cassels tech parody</t>
  </si>
  <si>
    <t>Science AsapSCIENCE Body Biology Chemistry Day Night 24 hours Life Physiology Coffee Morning Afternoon Tired Sleep Amazing Facts Lifetime Death Whiteboard stop motion cartoon age drawing inside your body Brain Neuron Party Bar Anatomy Work Your life Science of your day Science of you 24 hour body Sex Sleep Eat Drink Dream Human body Blow your mind Mind Lifecyle</t>
  </si>
  <si>
    <t>asapscience asap science asapscience youtube asap science youtube asap science fun science what if we dumped our trash into volcanoes? clean up trash song cleaning 9 million kgs of trash plastic ocean what really happens to the palstic you throw away food waste recycling chemistry biology environmentalism is meat bad for you garbage trash zero waste floods i tried to make zero trash for 30 days single-use plastic sustainability climate change pollution</t>
  </si>
  <si>
    <t>Science AsapSCIENCE Tampons Period how do periods work diva cup period blood feminine hygiene product pads menstrual cycle period cycle hormones progesterone estrogen menstruation irregular periods period symptoms menstrual cycle calendar heavy periods period cramps period pain uterin lining tampon alternative staphylococcus staph infection toxic shock syndrome whiteboard stop motion cartoon animation bacteria vagina education menstrual cup STI STD</t>
  </si>
  <si>
    <t>Polar Vortex Hypothermia Signs of Hypothermia extreme frostbite freezing temperature your body during winter how humans survive winter what it feels like to freeze to death chicago midwest storm freezing weather weather-related deaths the polar vortex explained extreme cold subzero midwest cold weather temperature deep freeze wind chill frostbite science freezing polar vortex 2019 stephen sends his warmest regards to the midwest It's cold freezing to death</t>
  </si>
  <si>
    <t>flat earth is the earth flat flat earth model flat earth society globebusters professor dave debunk debunking video conspiracy how do we know the earth is round cavendish einstein gravity antarctica</t>
  </si>
  <si>
    <t>Science Asap AsapSCIENCE Bill Nye The Science Guy Bill Nye the Science Guy Asteroid Meteor Collision Space Earth Rock What are asteroids Meteor Shower Asteroid Shower Laser Bees Rocket</t>
  </si>
  <si>
    <t>asapscience asap science asap science fun science remembering etika etika education veritasium biology ATP synthase gregory brown existentialism chemistry physics emma chamberlain the physics girl the meaning of life what is the meaning of life? best science youtube channels best educational videos best science facts environment morality ATP how will you die evolution universe neil degrasse tyson bill nye</t>
  </si>
  <si>
    <t>Science AsapSCIENCE Humans Disappeared Apocalypse Chaos Farming Food Fire Population Animals Buildings Rust Rusting What if Trash Plastic Garbage Chemistry Biology Physics Alien Aliens Survive Survival Agriculture (Industry) Whiteboard Stop motion Cartoon Hands Drawing</t>
  </si>
  <si>
    <t>AI Artificial Intelligence Deep Fakes Fake Obama AI Art AI Music Illusion Illusion Video AI Illusion What Is Real What Is Fake What Is Fake News Hacker AI AI and National Security Is AI Dangerous Should We Be Scared of AI Google Assistant Google Duplex Google AI Fake Faces AI Robot Sophia Will AI Replace Your Job Humans Need Not Apply CES 2019 Boston Dynamics Google DeepMind DeepMind Learns TO Walk AI Painting</t>
  </si>
  <si>
    <t>Science Asap AsapSCIENCE Childbirth Birth Child Pregnant Ball Balls Nuts Testicle Testicles Hurt Pain Which Male Female Baby Fetus Kick Kicked Gonad Sac Sack Nociceptor Scream Stomach Nausea Vomite Sex Family Jewels Which hurts more Body Threshold Spinal Cord Brain Vomit Ache Organ Pregnancy Nerve Neuron Uterus Evolution Labor Labour Tissue Stimulation Subjective Perceptive Personal Individual Mood dol del Amputee Phantom Limb Tie Winner His Her Die Hospital Fight Hit in the balls</t>
  </si>
  <si>
    <t>asapscience asapthought the most dangerous things in the world food overdose too much how much whiteboard stop motion cartoon science facts toxicology dose is the poison weird science interesting facts toxic toxicity poison how much can kill you nutmeg sugar banana chemistry potassium fluoride is toothpaste bad for you botox how much vitamin C is bad how much would kill you eat eating hypothermia dehydration biology the science of x-rays radiation green potatoes</t>
  </si>
  <si>
    <t>asapscience asap science asapscience youtube asap science youtube asap science fun science Biology Evolution How to spot misinformation Veritasium SmarterEveryDay Mark Rober Physics Girl Shane Dawson dopamine animation jfk declaration of independence cognitive bias Justin Bieber lizard Beyonce YouTube doctors neuroscience coin toss heads or tails Chuck E Cheese youtube algorithm wikipedia evolution</t>
  </si>
  <si>
    <t>Oxygen Breathing Exercises Holding breath breath holding competition hypothetical video doomsday video life without oxygen could we survive without oxygen running out of oxygen asapscience whiteboard video cellular respiration combustion engine how planes fly how cars work science of cars science of planes atmospheric oxygen atmospheric pressure altitude sickness o2 water states of matter oxygen molecule apocalypse video</t>
  </si>
  <si>
    <t>flat earth flat earth theory flat earthers Earth planet Earth solar system outer space space the infographics show theory science experiments experiment scientist conspiracy conspiracy theories</t>
  </si>
  <si>
    <t>lying are you a liar can you tell when someone is lying how to know someone is lying is my husband lying is my wife lying is my child lying lie detector do lie detector machine work lab life science of lying asapscience Greg Brown Mitch Moffit Dr. Kang Lee Kang Lee Ted Talk Why children lie do children lie signs your kid is lying fNIRS Transdermal Optical Imaging Liars Facet</t>
  </si>
  <si>
    <t>Science AsapSCIENCE Diets Which diet to use Food Science Weight loss how to lose weight fast lose weight fast diet plans low carb diet weight loss diet cartoon stop motion whiteboard vegan diet ketogenic diet how to lose weight diet science calorie restriction paleo diet weight watchers South beach Atkins master cleanse get slim quick lose weight nutrition weight loss pills meal plans debunking diets calories intermittent fasting</t>
  </si>
  <si>
    <t>science AirPods Air Pods Apple Headphones Beats By Dre hearing loss hearing impairment how hearing works swallowed airpod ear diagram noise pollution AirPods 2 vs AirPods 1 -- Do They Sound Different? AirPods 2: Literally Everything New! Black Apple AirPods 2 FINALLY! NEW Perfect Fake AirPods 2 Released! 1:1 supercopy Apple Powerbeats Pro Unboxing - Better Than AirPods? AirPods от Huawei? unbox therapy Marques Brownlee mkbhd</t>
  </si>
  <si>
    <t>Science Asap AsapSCIENCE Brain Tricks Thinking Fast Slow Illusion Teasers Brain Games Human Brain Mind Tricks Mind Games Riddles Logic System Thinking Fast and Slow Parts of Brain Excercise Function Fun Brain Teasers Game Trick Information Smart Intelligent How To Visual Illusion Optical Illusion Get Smarter Intuition Add Test Moses Illusion Color White Board Pupil Animation Puzzle Hands Cartoon Answer Priming Stop Motion Draw</t>
  </si>
  <si>
    <t>truTv Shows New Series episode clips youtube tv channel the adam ruins everything ruins everything adam ruins truTv adam ruins everything adam conover adam ruins everything truTV adam conover runis everything Truth hot button issues climate change trutv episodes trutv new series trutv clips</t>
  </si>
  <si>
    <t>Crispr genetic engineering designer baby dna cas9 crispr explained aging applications bacteria gene dna editing genome hiv gene drive crispr human mechanism system revolution evolution crops china life immortality 2016 2015 funny designer babies future debate futurism animation Crispr Cas9 system in a nutshell kurzgesagt sapiens</t>
  </si>
  <si>
    <t>Age Cure Humanity Lifespan Healthan forever funny cure medicine immortal living forever future young forver young life animation kurzgesagt</t>
  </si>
  <si>
    <t>If The Sun Goes Out For 24 Hours Life with no sun What If The Sun Went Out For Just One Day What Would Happen If The Sun Suddenly Disappeared Life with No Gravity What if We Fell Out Of Orbit AsapSCIENCE Google Science Fair Google Science Fair 2018 Science Fair Questions Science fair help science fair inspiration science fair project ideas project ideas google science fair inspiration google science fair question ideas google science fair</t>
  </si>
  <si>
    <t>GMO gmos genetically modified organism genetics cripsr food agriculture bt crops monsanto organic natural pesticide herbicide</t>
  </si>
  <si>
    <t>homeopathy how does homeopathy work medicine traditional medicine cure natural explanation fraud money pharma big pharma Hahnemann Samuel Hahnemann animation globuli nature potentization potency vaccination placebo effect psychology health care health care system doctor patient empathy</t>
  </si>
  <si>
    <t>flat earth flat earth society globebusters debunking professor dave flat earthers globe space vacuum curvature cult conspiracy theory dubay 200 proofs physics astronomy astrophysics</t>
  </si>
  <si>
    <t>asapscience science fun science Sleep Sleep Music Sleep Hacks Sleep ASMR ASMR Relaxation Sleep video sleep tips sleep science military sleep military sleep technique navy sleep technique phone sleep light exposure rem sleep dreams deep sleep</t>
  </si>
  <si>
    <t>The Thing About Vaccines... | Doctor Mike the thing about vaccines exposing the truth about vaccines the truth about vaccines do vaccines cause autism doctor mike mikhail varshavski doctor dr mike debate anti-vaccine anti-vaccine movement vaccines vaccination health wellness vaccine safety vaccination risks autism vaccines exposed vaccines debate vaccine (drug class) vaccine controversies How do vaccines work vaccine debate are vaccines safe? anti vaccine</t>
  </si>
  <si>
    <t>Doctor Mike</t>
  </si>
  <si>
    <t>ABC News</t>
  </si>
  <si>
    <t>TEDx Talks</t>
  </si>
  <si>
    <t>DailyMemes</t>
  </si>
  <si>
    <t>GioFilms</t>
  </si>
  <si>
    <t>Internet Of Memes</t>
  </si>
  <si>
    <t>Rachel Oates</t>
  </si>
  <si>
    <t>Oz Media</t>
  </si>
  <si>
    <t>iilluminaughtii</t>
  </si>
  <si>
    <t>Clumsy</t>
  </si>
  <si>
    <t>TZ Entertainment</t>
  </si>
  <si>
    <t>rSlash</t>
  </si>
  <si>
    <t>Kore</t>
  </si>
  <si>
    <t>Jubilee</t>
  </si>
  <si>
    <t>Gerald Pauschmann</t>
  </si>
  <si>
    <t>BrainyDude</t>
  </si>
  <si>
    <t>Sir Reddit</t>
  </si>
  <si>
    <t>CBC News</t>
  </si>
  <si>
    <t>VICE News</t>
  </si>
  <si>
    <t>WatchMojo.com</t>
  </si>
  <si>
    <t>Jimmy Kimmel Live</t>
  </si>
  <si>
    <t>SciShow</t>
  </si>
  <si>
    <t>House M.D.</t>
  </si>
  <si>
    <t>CBS This Morning</t>
  </si>
  <si>
    <t>TED-Ed</t>
  </si>
  <si>
    <t>The Infographics Show</t>
  </si>
  <si>
    <t>Popular Science</t>
  </si>
  <si>
    <t>AsapSCIENCE</t>
  </si>
  <si>
    <t>Kurzgesagt – In a Nutshell</t>
  </si>
  <si>
    <t>B. M.</t>
  </si>
  <si>
    <t>kantik001</t>
  </si>
  <si>
    <t>Inferno439</t>
  </si>
  <si>
    <t>Marcus Tanaka de Lira</t>
  </si>
  <si>
    <t>thecastingfactory</t>
  </si>
  <si>
    <t>kenshinnnNnN</t>
  </si>
  <si>
    <t>AridRider</t>
  </si>
  <si>
    <t>Seriesology 1</t>
  </si>
  <si>
    <t>Camilladilla</t>
  </si>
  <si>
    <t>Nicholas Michalak</t>
  </si>
  <si>
    <t>illyrian</t>
  </si>
  <si>
    <t>OSSA</t>
  </si>
  <si>
    <t>Click On Detroit | Local 4 | WDIV</t>
  </si>
  <si>
    <t>The Late Show with Stephen Colbert</t>
  </si>
  <si>
    <t>Washington Post</t>
  </si>
  <si>
    <t>CNN</t>
  </si>
  <si>
    <t>Late Night with Seth Meyers</t>
  </si>
  <si>
    <t>AJ+</t>
  </si>
  <si>
    <t>PBS NewsHour</t>
  </si>
  <si>
    <t>ABC13 Houston</t>
  </si>
  <si>
    <t>CBS News</t>
  </si>
  <si>
    <t>The New York Times</t>
  </si>
  <si>
    <t>This Morning</t>
  </si>
  <si>
    <t>Full Frontal with Samantha Bee</t>
  </si>
  <si>
    <t>Lewis Spears</t>
  </si>
  <si>
    <t>Global News</t>
  </si>
  <si>
    <t>NowThis News</t>
  </si>
  <si>
    <t>Vox</t>
  </si>
  <si>
    <t>BBC Newsnight</t>
  </si>
  <si>
    <t>TEAM APHRODITE</t>
  </si>
  <si>
    <t>BBC News</t>
  </si>
  <si>
    <t>MSNBC</t>
  </si>
  <si>
    <t>CBS Evening News</t>
  </si>
  <si>
    <t>MinuteEarth</t>
  </si>
  <si>
    <t>The Doctors</t>
  </si>
  <si>
    <t>BEME News</t>
  </si>
  <si>
    <t>BBC Documentary</t>
  </si>
  <si>
    <t>Business Insider</t>
  </si>
  <si>
    <t>TODAY</t>
  </si>
  <si>
    <t>Russell Howard</t>
  </si>
  <si>
    <t>PBS</t>
  </si>
  <si>
    <t>LastWeekTonight</t>
  </si>
  <si>
    <t>60 Minutes Australia</t>
  </si>
  <si>
    <t>Larry King</t>
  </si>
  <si>
    <t>It's Okay To Be Smart</t>
  </si>
  <si>
    <t>Second Thought</t>
  </si>
  <si>
    <t>Dr. Todd Grande</t>
  </si>
  <si>
    <t>SciShow Psych</t>
  </si>
  <si>
    <t>The View</t>
  </si>
  <si>
    <t>Yahoo Finance</t>
  </si>
  <si>
    <t>Vsauce</t>
  </si>
  <si>
    <t>CollegeHumor</t>
  </si>
  <si>
    <t>Professor Dave Explains</t>
  </si>
  <si>
    <t>truTV</t>
  </si>
  <si>
    <t>2018-10-28T15:00:00Z</t>
  </si>
  <si>
    <t>2017-10-01T15:49:31Z</t>
  </si>
  <si>
    <t>2019-02-10T16:00:05Z</t>
  </si>
  <si>
    <t>2018-12-09T16:00:01Z</t>
  </si>
  <si>
    <t>2018-02-25T16:00:00Z</t>
  </si>
  <si>
    <t>2018-01-28T16:00:02Z</t>
  </si>
  <si>
    <t>2019-09-29T15:00:06Z</t>
  </si>
  <si>
    <t>2018-10-14T15:00:03Z</t>
  </si>
  <si>
    <t>2018-05-06T15:00:00Z</t>
  </si>
  <si>
    <t>2019-01-27T16:00:07Z</t>
  </si>
  <si>
    <t>2018-12-20T01:00:07Z</t>
  </si>
  <si>
    <t>2019-12-22T16:00:07Z</t>
  </si>
  <si>
    <t>2019-10-27T14:59:15Z</t>
  </si>
  <si>
    <t>2017-12-10T15:59:45Z</t>
  </si>
  <si>
    <t>2018-09-30T15:00:00Z</t>
  </si>
  <si>
    <t>2018-06-10T15:00:02Z</t>
  </si>
  <si>
    <t>2019-01-06T16:00:05Z</t>
  </si>
  <si>
    <t>2018-05-27T15:00:07Z</t>
  </si>
  <si>
    <t>2018-02-18T16:00:05Z</t>
  </si>
  <si>
    <t>2017-05-28T18:00:00Z</t>
  </si>
  <si>
    <t>2018-03-06T08:42:34Z</t>
  </si>
  <si>
    <t>2019-08-22T01:28:52Z</t>
  </si>
  <si>
    <t>2018-03-25T15:00:00Z</t>
  </si>
  <si>
    <t>2019-10-13T15:00:06Z</t>
  </si>
  <si>
    <t>2019-09-15T15:00:08Z</t>
  </si>
  <si>
    <t>2017-12-14T15:33:01Z</t>
  </si>
  <si>
    <t>2017-11-19T15:59:52Z</t>
  </si>
  <si>
    <t>2019-06-16T15:00:06Z</t>
  </si>
  <si>
    <t>2018-12-27T01:00:01Z</t>
  </si>
  <si>
    <t>2018-02-04T16:00:03Z</t>
  </si>
  <si>
    <t>2019-11-17T16:00:01Z</t>
  </si>
  <si>
    <t>2017-11-05T16:00:04Z</t>
  </si>
  <si>
    <t>2018-08-26T15:00:00Z</t>
  </si>
  <si>
    <t>2017-05-07T13:00:04Z</t>
  </si>
  <si>
    <t>2018-04-15T15:00:02Z</t>
  </si>
  <si>
    <t>2018-07-29T15:00:01Z</t>
  </si>
  <si>
    <t>2020-02-09T16:00:09Z</t>
  </si>
  <si>
    <t>2017-09-24T15:00:07Z</t>
  </si>
  <si>
    <t>2018-09-16T15:00:05Z</t>
  </si>
  <si>
    <t>2017-09-10T15:00:03Z</t>
  </si>
  <si>
    <t>2018-04-22T15:00:01Z</t>
  </si>
  <si>
    <t>2018-11-22T01:00:00Z</t>
  </si>
  <si>
    <t>2017-11-12T16:10:00Z</t>
  </si>
  <si>
    <t>2018-07-01T15:00:10Z</t>
  </si>
  <si>
    <t>2018-06-17T15:00:02Z</t>
  </si>
  <si>
    <t>2017-07-16T15:00:03Z</t>
  </si>
  <si>
    <t>2019-02-10T20:00:02Z</t>
  </si>
  <si>
    <t>2019-02-22T20:00:02Z</t>
  </si>
  <si>
    <t>2019-03-20T19:00:04Z</t>
  </si>
  <si>
    <t>2019-01-05T19:00:03Z</t>
  </si>
  <si>
    <t>2019-05-02T19:45:00Z</t>
  </si>
  <si>
    <t>2019-02-06T19:00:05Z</t>
  </si>
  <si>
    <t>2019-01-08T20:00:03Z</t>
  </si>
  <si>
    <t>2019-02-12T19:00:02Z</t>
  </si>
  <si>
    <t>2019-02-09T23:44:51Z</t>
  </si>
  <si>
    <t>2019-02-16T19:00:05Z</t>
  </si>
  <si>
    <t>2019-02-24T19:00:00Z</t>
  </si>
  <si>
    <t>2019-03-19T19:00:03Z</t>
  </si>
  <si>
    <t>2019-01-02T18:00:03Z</t>
  </si>
  <si>
    <t>2018-10-23T18:00:01Z</t>
  </si>
  <si>
    <t>2019-01-24T19:00:00Z</t>
  </si>
  <si>
    <t>2019-03-16T19:00:00Z</t>
  </si>
  <si>
    <t>2019-04-26T21:30:00Z</t>
  </si>
  <si>
    <t>2019-04-02T19:59:17Z</t>
  </si>
  <si>
    <t>2018-12-31T19:00:06Z</t>
  </si>
  <si>
    <t>2019-04-29T12:08:13Z</t>
  </si>
  <si>
    <t>2019-03-17T19:00:01Z</t>
  </si>
  <si>
    <t>2019-05-17T02:17:43Z</t>
  </si>
  <si>
    <t>2019-02-14T19:15:00Z</t>
  </si>
  <si>
    <t>2019-02-03T16:00:13Z</t>
  </si>
  <si>
    <t>2019-04-05T20:00:00Z</t>
  </si>
  <si>
    <t>2019-02-04T19:00:00Z</t>
  </si>
  <si>
    <t>2019-02-02T04:30:01Z</t>
  </si>
  <si>
    <t>2018-01-25T19:00:06Z</t>
  </si>
  <si>
    <t>2019-03-01T19:19:23Z</t>
  </si>
  <si>
    <t>2019-07-22T05:00:02Z</t>
  </si>
  <si>
    <t>2019-04-04T23:53:53Z</t>
  </si>
  <si>
    <t>2019-09-12T14:00:02Z</t>
  </si>
  <si>
    <t>2019-02-19T01:30:00Z</t>
  </si>
  <si>
    <t>2019-04-09T18:30:04Z</t>
  </si>
  <si>
    <t>2020-02-21T23:56:44Z</t>
  </si>
  <si>
    <t>2019-04-04T12:37:47Z</t>
  </si>
  <si>
    <t>2015-02-18T21:30:01Z</t>
  </si>
  <si>
    <t>2015-02-27T08:30:00Z</t>
  </si>
  <si>
    <t>2017-07-12T16:05:43Z</t>
  </si>
  <si>
    <t>2015-02-19T20:53:47Z</t>
  </si>
  <si>
    <t>2017-08-02T15:03:07Z</t>
  </si>
  <si>
    <t>2019-01-21T14:00:07Z</t>
  </si>
  <si>
    <t>2017-08-28T15:00:05Z</t>
  </si>
  <si>
    <t>2019-02-12T13:06:35Z</t>
  </si>
  <si>
    <t>2013-10-28T15:11:17Z</t>
  </si>
  <si>
    <t>2020-04-16T22:15:02Z</t>
  </si>
  <si>
    <t>2019-02-07T01:15:00Z</t>
  </si>
  <si>
    <t>2017-10-26T22:25:14Z</t>
  </si>
  <si>
    <t>2018-02-15T17:09:04Z</t>
  </si>
  <si>
    <t>2019-05-12T12:30:04Z</t>
  </si>
  <si>
    <t>2019-02-03T15:00:03Z</t>
  </si>
  <si>
    <t>2015-02-06T06:17:38Z</t>
  </si>
  <si>
    <t>2019-03-24T15:00:03Z</t>
  </si>
  <si>
    <t>2007-12-09T17:33:48Z</t>
  </si>
  <si>
    <t>2011-05-16T16:44:44Z</t>
  </si>
  <si>
    <t>2010-10-16T01:38:05Z</t>
  </si>
  <si>
    <t>2011-03-26T23:05:42Z</t>
  </si>
  <si>
    <t>2008-05-21T16:41:03Z</t>
  </si>
  <si>
    <t>2010-11-15T06:58:49Z</t>
  </si>
  <si>
    <t>2019-06-15T05:11:22Z</t>
  </si>
  <si>
    <t>2010-04-10T03:14:49Z</t>
  </si>
  <si>
    <t>2020-01-16T17:30:04Z</t>
  </si>
  <si>
    <t>2018-12-08T17:30:00Z</t>
  </si>
  <si>
    <t>2017-09-04T15:00:05Z</t>
  </si>
  <si>
    <t>2018-12-29T16:30:01Z</t>
  </si>
  <si>
    <t>2018-12-15T17:30:03Z</t>
  </si>
  <si>
    <t>2019-11-26T17:30:03Z</t>
  </si>
  <si>
    <t>2019-10-16T16:30:00Z</t>
  </si>
  <si>
    <t>2019-12-08T17:30:01Z</t>
  </si>
  <si>
    <t>2019-12-10T17:30:00Z</t>
  </si>
  <si>
    <t>2017-11-27T16:00:05Z</t>
  </si>
  <si>
    <t>2019-05-08T16:30:01Z</t>
  </si>
  <si>
    <t>2020-01-09T17:30:00Z</t>
  </si>
  <si>
    <t>2019-04-13T16:30:00Z</t>
  </si>
  <si>
    <t>2016-02-20T18:57:13Z</t>
  </si>
  <si>
    <t>2017-08-02T15:03:09Z</t>
  </si>
  <si>
    <t>2017-10-25T15:00:01Z</t>
  </si>
  <si>
    <t>2019-02-06T17:30:00Z</t>
  </si>
  <si>
    <t>2018-02-23T17:30:01Z</t>
  </si>
  <si>
    <t>2018-11-24T05:30:01Z</t>
  </si>
  <si>
    <t>2018-06-09T16:00:06Z</t>
  </si>
  <si>
    <t>2019-04-20T16:15:00Z</t>
  </si>
  <si>
    <t>2017-08-02T15:03:04Z</t>
  </si>
  <si>
    <t>2019-04-13T16:15:00Z</t>
  </si>
  <si>
    <t>2017-09-08T15:00:04Z</t>
  </si>
  <si>
    <t>2019-01-21T17:30:00Z</t>
  </si>
  <si>
    <t>2019-11-12T17:30:01Z</t>
  </si>
  <si>
    <t>2010-11-28T15:10:55Z</t>
  </si>
  <si>
    <t>2017-11-13T16:00:02Z</t>
  </si>
  <si>
    <t>2019-07-03T16:30:00Z</t>
  </si>
  <si>
    <t>2018-09-24T17:00:10Z</t>
  </si>
  <si>
    <t>2018-12-12T17:30:00Z</t>
  </si>
  <si>
    <t>2019-01-12T17:30:00Z</t>
  </si>
  <si>
    <t>2017-08-14T16:30:01Z</t>
  </si>
  <si>
    <t>2018-03-23T17:30:00Z</t>
  </si>
  <si>
    <t>2018-09-29T16:00:01Z</t>
  </si>
  <si>
    <t>2017-12-15T19:30:00Z</t>
  </si>
  <si>
    <t>2019-04-27T16:30:00Z</t>
  </si>
  <si>
    <t>2017-09-06T15:00:08Z</t>
  </si>
  <si>
    <t>2017-09-11T15:00:07Z</t>
  </si>
  <si>
    <t>2017-08-18T15:00:11Z</t>
  </si>
  <si>
    <t>2015-03-03T08:30:01Z</t>
  </si>
  <si>
    <t>2017-01-24T05:20:39Z</t>
  </si>
  <si>
    <t>2014-11-21T04:50:02Z</t>
  </si>
  <si>
    <t>2015-05-08T07:30:01Z</t>
  </si>
  <si>
    <t>2015-02-23T07:19:02Z</t>
  </si>
  <si>
    <t>2015-02-26T08:30:00Z</t>
  </si>
  <si>
    <t>2015-01-16T08:30:01Z</t>
  </si>
  <si>
    <t>2014-11-25T08:30:01Z</t>
  </si>
  <si>
    <t>2015-03-19T07:30:00Z</t>
  </si>
  <si>
    <t>2019-01-02T16:15:00Z</t>
  </si>
  <si>
    <t>2015-03-06T08:30:00Z</t>
  </si>
  <si>
    <t>2018-04-06T07:16:46Z</t>
  </si>
  <si>
    <t>2012-04-20T07:59:51Z</t>
  </si>
  <si>
    <t>2015-03-04T08:30:01Z</t>
  </si>
  <si>
    <t>2014-10-17T07:30:00Z</t>
  </si>
  <si>
    <t>2015-03-13T03:46:10Z</t>
  </si>
  <si>
    <t>2015-09-29T04:48:39Z</t>
  </si>
  <si>
    <t>2016-05-03T03:57:03Z</t>
  </si>
  <si>
    <t>2019-05-04T07:35:02Z</t>
  </si>
  <si>
    <t>2020-01-08T05:19:05Z</t>
  </si>
  <si>
    <t>2015-03-13T07:30:01Z</t>
  </si>
  <si>
    <t>2016-02-29T07:57:15Z</t>
  </si>
  <si>
    <t>2019-02-21T18:08:04Z</t>
  </si>
  <si>
    <t>2020-06-25T07:35:01Z</t>
  </si>
  <si>
    <t>2019-04-04T21:00:02Z</t>
  </si>
  <si>
    <t>2015-02-03T18:50:57Z</t>
  </si>
  <si>
    <t>2020-06-26T01:00:00Z</t>
  </si>
  <si>
    <t>2015-07-03T02:00:00Z</t>
  </si>
  <si>
    <t>2019-03-06T01:23:13Z</t>
  </si>
  <si>
    <t>2018-08-28T14:56:22Z</t>
  </si>
  <si>
    <t>2019-01-30T16:23:54Z</t>
  </si>
  <si>
    <t>2013-10-14T14:25:15Z</t>
  </si>
  <si>
    <t>2019-04-29T12:36:57Z</t>
  </si>
  <si>
    <t>2019-04-04T05:51:27Z</t>
  </si>
  <si>
    <t>2019-08-15T12:56:35Z</t>
  </si>
  <si>
    <t>2019-02-24T19:00:05Z</t>
  </si>
  <si>
    <t>2017-06-28T14:17:39Z</t>
  </si>
  <si>
    <t>2019-03-05T16:54:04Z</t>
  </si>
  <si>
    <t>2020-01-17T14:59:50Z</t>
  </si>
  <si>
    <t>2019-04-18T12:00:04Z</t>
  </si>
  <si>
    <t>2018-09-19T23:04:16Z</t>
  </si>
  <si>
    <t>2016-07-09T14:33:47Z</t>
  </si>
  <si>
    <t>2018-09-27T14:09:53Z</t>
  </si>
  <si>
    <t>2015-02-01T13:44:45Z</t>
  </si>
  <si>
    <t>2019-03-05T15:52:18Z</t>
  </si>
  <si>
    <t>2020-05-10T13:25:34Z</t>
  </si>
  <si>
    <t>2013-10-06T02:32:08Z</t>
  </si>
  <si>
    <t>2014-06-17T12:31:46Z</t>
  </si>
  <si>
    <t>2015-01-31T00:07:46Z</t>
  </si>
  <si>
    <t>2015-10-19T13:34:53Z</t>
  </si>
  <si>
    <t>2008-12-03T18:23:34Z</t>
  </si>
  <si>
    <t>2019-01-10T15:00:08Z</t>
  </si>
  <si>
    <t>2012-08-22T20:11:11Z</t>
  </si>
  <si>
    <t>2018-12-09T11:30:01Z</t>
  </si>
  <si>
    <t>2015-01-21T16:22:09Z</t>
  </si>
  <si>
    <t>2020-02-07T18:00:04Z</t>
  </si>
  <si>
    <t>2016-04-13T13:56:39Z</t>
  </si>
  <si>
    <t>2015-01-12T16:05:47Z</t>
  </si>
  <si>
    <t>2019-02-14T08:30:01Z</t>
  </si>
  <si>
    <t>2019-03-07T18:00:06Z</t>
  </si>
  <si>
    <t>2015-02-12T14:14:12Z</t>
  </si>
  <si>
    <t>2019-03-11T15:00:04Z</t>
  </si>
  <si>
    <t>2019-03-05T17:01:22Z</t>
  </si>
  <si>
    <t>2020-02-11T18:00:05Z</t>
  </si>
  <si>
    <t>2015-02-05T22:53:40Z</t>
  </si>
  <si>
    <t>2019-10-31T19:23:17Z</t>
  </si>
  <si>
    <t>2015-02-24T15:09:20Z</t>
  </si>
  <si>
    <t>2015-02-02T16:01:49Z</t>
  </si>
  <si>
    <t>2017-06-26T06:30:01Z</t>
  </si>
  <si>
    <t>2018-09-04T13:08:35Z</t>
  </si>
  <si>
    <t>2019-03-23T08:30:00Z</t>
  </si>
  <si>
    <t>2016-05-02T18:43:51Z</t>
  </si>
  <si>
    <t>2019-01-08T15:59:17Z</t>
  </si>
  <si>
    <t>2018-09-06T23:03:13Z</t>
  </si>
  <si>
    <t>2018-07-10T22:52:15Z</t>
  </si>
  <si>
    <t>2017-11-10T14:00:02Z</t>
  </si>
  <si>
    <t>2015-02-16T20:35:59Z</t>
  </si>
  <si>
    <t>2017-03-21T14:00:01Z</t>
  </si>
  <si>
    <t>2016-12-14T13:19:55Z</t>
  </si>
  <si>
    <t>2018-07-15T21:00:03Z</t>
  </si>
  <si>
    <t>2020-05-14T21:00:29Z</t>
  </si>
  <si>
    <t>2016-06-15T22:56:32Z</t>
  </si>
  <si>
    <t>2020-03-01T22:00:12Z</t>
  </si>
  <si>
    <t>2014-07-13T00:53:07Z</t>
  </si>
  <si>
    <t>2016-06-22T21:00:01Z</t>
  </si>
  <si>
    <t>2015-02-13T19:59:19Z</t>
  </si>
  <si>
    <t>2013-11-15T23:52:34Z</t>
  </si>
  <si>
    <t>2015-02-24T20:52:53Z</t>
  </si>
  <si>
    <t>2018-02-04T22:00:00Z</t>
  </si>
  <si>
    <t>2014-10-30T18:37:59Z</t>
  </si>
  <si>
    <t>2012-02-26T22:56:54Z</t>
  </si>
  <si>
    <t>2012-06-04T03:40:37Z</t>
  </si>
  <si>
    <t>2020-05-24T21:00:15Z</t>
  </si>
  <si>
    <t>2018-03-11T21:00:04Z</t>
  </si>
  <si>
    <t>2018-11-28T22:00:00Z</t>
  </si>
  <si>
    <t>2017-09-10T21:00:01Z</t>
  </si>
  <si>
    <t>2020-04-25T13:00:07Z</t>
  </si>
  <si>
    <t>2012-03-12T02:36:28Z</t>
  </si>
  <si>
    <t>2016-08-28T21:00:00Z</t>
  </si>
  <si>
    <t>2015-05-14T23:10:53Z</t>
  </si>
  <si>
    <t>2016-09-11T21:00:01Z</t>
  </si>
  <si>
    <t>2012-05-06T16:00:10Z</t>
  </si>
  <si>
    <t>2015-02-07T20:03:40Z</t>
  </si>
  <si>
    <t>2019-10-02T21:00:13Z</t>
  </si>
  <si>
    <t>2018-12-02T22:00:05Z</t>
  </si>
  <si>
    <t>2016-03-20T21:00:00Z</t>
  </si>
  <si>
    <t>2015-01-12T19:19:51Z</t>
  </si>
  <si>
    <t>2016-05-11T22:42:03Z</t>
  </si>
  <si>
    <t>2018-12-27T20:00:08Z</t>
  </si>
  <si>
    <t>2014-03-12T20:44:54Z</t>
  </si>
  <si>
    <t>2018-08-19T21:00:01Z</t>
  </si>
  <si>
    <t>2018-05-20T21:00:00Z</t>
  </si>
  <si>
    <t>2018-11-22T22:00:01Z</t>
  </si>
  <si>
    <t>2013-03-25T17:35:36Z</t>
  </si>
  <si>
    <t>2015-07-10T20:48:27Z</t>
  </si>
  <si>
    <t>2016-01-27T23:42:45Z</t>
  </si>
  <si>
    <t>2019-06-16T21:00:02Z</t>
  </si>
  <si>
    <t>2018-07-25T04:21:13Z</t>
  </si>
  <si>
    <t>2020-01-28T08:30:02Z</t>
  </si>
  <si>
    <t>2020-06-19T00:00:05Z</t>
  </si>
  <si>
    <t>2018-01-31T08:30:00Z</t>
  </si>
  <si>
    <t>2020-03-03T05:36:05Z</t>
  </si>
  <si>
    <t>2014-10-14T07:30:00Z</t>
  </si>
  <si>
    <t>2018-02-08T03:18:02Z</t>
  </si>
  <si>
    <t>2019-02-06T18:51:07Z</t>
  </si>
  <si>
    <t>2020-06-16T02:45:22Z</t>
  </si>
  <si>
    <t>2015-02-27T08:30:01Z</t>
  </si>
  <si>
    <t>2020-01-16T21:38:58Z</t>
  </si>
  <si>
    <t>2015-02-04T05:35:00Z</t>
  </si>
  <si>
    <t>2018-12-16T15:00:01Z</t>
  </si>
  <si>
    <t>2014-10-09T07:30:01Z</t>
  </si>
  <si>
    <t>2016-10-06T07:30:00Z</t>
  </si>
  <si>
    <t>2015-08-25T07:30:00Z</t>
  </si>
  <si>
    <t>2018-01-19T08:30:01Z</t>
  </si>
  <si>
    <t>2018-05-10T04:22:37Z</t>
  </si>
  <si>
    <t>2015-04-03T07:30:01Z</t>
  </si>
  <si>
    <t>2014-05-06T07:35:18Z</t>
  </si>
  <si>
    <t>2015-09-09T07:30:01Z</t>
  </si>
  <si>
    <t>2015-03-04T08:30:00Z</t>
  </si>
  <si>
    <t>2015-02-04T08:30:00Z</t>
  </si>
  <si>
    <t>2016-03-25T07:30:00Z</t>
  </si>
  <si>
    <t>2014-06-11T04:58:37Z</t>
  </si>
  <si>
    <t>2018-07-13T04:11:02Z</t>
  </si>
  <si>
    <t>2017-03-30T16:56:37Z</t>
  </si>
  <si>
    <t>2017-11-28T17:16:29Z</t>
  </si>
  <si>
    <t>2016-11-17T18:28:01Z</t>
  </si>
  <si>
    <t>2019-10-11T19:00:10Z</t>
  </si>
  <si>
    <t>2014-05-19T20:34:53Z</t>
  </si>
  <si>
    <t>2017-02-16T16:00:43Z</t>
  </si>
  <si>
    <t>2018-04-05T16:00:01Z</t>
  </si>
  <si>
    <t>2015-11-26T18:12:07Z</t>
  </si>
  <si>
    <t>2020-03-04T09:21:54Z</t>
  </si>
  <si>
    <t>2018-01-11T16:59:10Z</t>
  </si>
  <si>
    <t>2020-01-30T06:24:32Z</t>
  </si>
  <si>
    <t>2019-11-26T18:30:00Z</t>
  </si>
  <si>
    <t>2015-07-05T16:00:01Z</t>
  </si>
  <si>
    <t>2019-06-12T00:00:01Z</t>
  </si>
  <si>
    <t>2016-09-22T18:00:00Z</t>
  </si>
  <si>
    <t>2019-01-30T21:15:25Z</t>
  </si>
  <si>
    <t>2019-05-22T15:59:24Z</t>
  </si>
  <si>
    <t>2013-07-23T19:08:33Z</t>
  </si>
  <si>
    <t>2019-06-27T16:00:05Z</t>
  </si>
  <si>
    <t>2015-01-28T17:00:34Z</t>
  </si>
  <si>
    <t>2019-01-24T18:54:38Z</t>
  </si>
  <si>
    <t>2013-04-26T13:30:18Z</t>
  </si>
  <si>
    <t>2017-08-03T16:00:02Z</t>
  </si>
  <si>
    <t>2019-05-02T17:00:10Z</t>
  </si>
  <si>
    <t>2018-09-14T00:00:02Z</t>
  </si>
  <si>
    <t>2020-01-22T02:10:00Z</t>
  </si>
  <si>
    <t>2018-09-18T17:00:06Z</t>
  </si>
  <si>
    <t>2016-11-10T17:00:03Z</t>
  </si>
  <si>
    <t>2019-05-14T15:58:45Z</t>
  </si>
  <si>
    <t>2013-01-31T17:33:12Z</t>
  </si>
  <si>
    <t>2019-05-14T18:59:50Z</t>
  </si>
  <si>
    <t>2016-08-10T12:01:38Z</t>
  </si>
  <si>
    <t>2017-11-03T13:33:42Z</t>
  </si>
  <si>
    <t>2018-10-18T16:51:27Z</t>
  </si>
  <si>
    <t>2017-03-30T14:00:42Z</t>
  </si>
  <si>
    <t>2018-02-22T14:14:37Z</t>
  </si>
  <si>
    <t>2019-07-02T16:06:27Z</t>
  </si>
  <si>
    <t>2019-05-30T01:00:00Z</t>
  </si>
  <si>
    <t>2017-08-06T15:00:06Z</t>
  </si>
  <si>
    <t>Play Video in Browser</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</si>
  <si>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</si>
  <si>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</si>
  <si>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</si>
  <si>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</si>
  <si>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</si>
  <si>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</si>
  <si>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</si>
  <si>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</si>
  <si>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</si>
  <si>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</si>
  <si>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</si>
  <si>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</si>
  <si>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</si>
  <si>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</si>
  <si>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</si>
  <si>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</si>
  <si>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</si>
  <si>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</si>
  <si>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</si>
  <si>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</si>
  <si>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</si>
  <si>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</si>
  <si>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</si>
  <si>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</si>
  <si>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</si>
  <si>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</si>
  <si>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</si>
  <si>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</si>
  <si>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</si>
  <si>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house</t>
  </si>
  <si>
    <t>doctor</t>
  </si>
  <si>
    <t>mike</t>
  </si>
  <si>
    <t>anti</t>
  </si>
  <si>
    <t>dr</t>
  </si>
  <si>
    <t>science</t>
  </si>
  <si>
    <t>vaccine</t>
  </si>
  <si>
    <t>funny</t>
  </si>
  <si>
    <t>jimmy</t>
  </si>
  <si>
    <t>health</t>
  </si>
  <si>
    <t>medical</t>
  </si>
  <si>
    <t>kimmel</t>
  </si>
  <si>
    <t>news</t>
  </si>
  <si>
    <t>vaccines</t>
  </si>
  <si>
    <t>reddit</t>
  </si>
  <si>
    <t>comedy</t>
  </si>
  <si>
    <t>moments</t>
  </si>
  <si>
    <t>vaccination</t>
  </si>
  <si>
    <t>varshavski</t>
  </si>
  <si>
    <t>measles</t>
  </si>
  <si>
    <t>memes</t>
  </si>
  <si>
    <t>humor</t>
  </si>
  <si>
    <t>late</t>
  </si>
  <si>
    <t>talk</t>
  </si>
  <si>
    <t>vegan</t>
  </si>
  <si>
    <t>cuddy</t>
  </si>
  <si>
    <t>live</t>
  </si>
  <si>
    <t>night</t>
  </si>
  <si>
    <t>funniest</t>
  </si>
  <si>
    <t>medicine</t>
  </si>
  <si>
    <t>facepalm</t>
  </si>
  <si>
    <t>green</t>
  </si>
  <si>
    <t>people</t>
  </si>
  <si>
    <t>hugh</t>
  </si>
  <si>
    <t>laurie</t>
  </si>
  <si>
    <t>owned</t>
  </si>
  <si>
    <t>sketch</t>
  </si>
  <si>
    <t>thirteen</t>
  </si>
  <si>
    <t>wilson</t>
  </si>
  <si>
    <t>foreman</t>
  </si>
  <si>
    <t>vaxxer</t>
  </si>
  <si>
    <t>clip</t>
  </si>
  <si>
    <t>gregory</t>
  </si>
  <si>
    <t>olivia</t>
  </si>
  <si>
    <t>lisa</t>
  </si>
  <si>
    <t>comedic</t>
  </si>
  <si>
    <t>comedian</t>
  </si>
  <si>
    <t>cameron</t>
  </si>
  <si>
    <t>chase</t>
  </si>
  <si>
    <t>autism</t>
  </si>
  <si>
    <t>vaxxers</t>
  </si>
  <si>
    <t>allison</t>
  </si>
  <si>
    <t>wilde</t>
  </si>
  <si>
    <t>diet</t>
  </si>
  <si>
    <t>mikhail</t>
  </si>
  <si>
    <t>food</t>
  </si>
  <si>
    <t>earth</t>
  </si>
  <si>
    <t>hank</t>
  </si>
  <si>
    <t>comments</t>
  </si>
  <si>
    <t>fat</t>
  </si>
  <si>
    <t>disease</t>
  </si>
  <si>
    <t>flat</t>
  </si>
  <si>
    <t>vax</t>
  </si>
  <si>
    <t>life</t>
  </si>
  <si>
    <t>scishow</t>
  </si>
  <si>
    <t>trump</t>
  </si>
  <si>
    <t>doctors</t>
  </si>
  <si>
    <t>weight</t>
  </si>
  <si>
    <t>education</t>
  </si>
  <si>
    <t>cringe</t>
  </si>
  <si>
    <t>music</t>
  </si>
  <si>
    <t>asapscience</t>
  </si>
  <si>
    <t>questions</t>
  </si>
  <si>
    <t>reacts</t>
  </si>
  <si>
    <t>real</t>
  </si>
  <si>
    <t>review</t>
  </si>
  <si>
    <t>tweets</t>
  </si>
  <si>
    <t>school</t>
  </si>
  <si>
    <t>stand</t>
  </si>
  <si>
    <t>sleep</t>
  </si>
  <si>
    <t>meme</t>
  </si>
  <si>
    <t>variety</t>
  </si>
  <si>
    <t>vaccinations</t>
  </si>
  <si>
    <t>conspiracy</t>
  </si>
  <si>
    <t>highlight</t>
  </si>
  <si>
    <t>instagram</t>
  </si>
  <si>
    <t>outbreak</t>
  </si>
  <si>
    <t>improv</t>
  </si>
  <si>
    <t>reading</t>
  </si>
  <si>
    <t>drama</t>
  </si>
  <si>
    <t>black</t>
  </si>
  <si>
    <t>vice</t>
  </si>
  <si>
    <t>matt</t>
  </si>
  <si>
    <t>damon</t>
  </si>
  <si>
    <t>jubilee</t>
  </si>
  <si>
    <t>blood</t>
  </si>
  <si>
    <t>celebrity</t>
  </si>
  <si>
    <t>fatlogic</t>
  </si>
  <si>
    <t>politics</t>
  </si>
  <si>
    <t>family</t>
  </si>
  <si>
    <t>hospital</t>
  </si>
  <si>
    <t>compilation</t>
  </si>
  <si>
    <t>loss</t>
  </si>
  <si>
    <t>dailymemes</t>
  </si>
  <si>
    <t>smart</t>
  </si>
  <si>
    <t>children</t>
  </si>
  <si>
    <t>virus</t>
  </si>
  <si>
    <t>colbert</t>
  </si>
  <si>
    <t>coronavirus</t>
  </si>
  <si>
    <t>learn</t>
  </si>
  <si>
    <t>asap</t>
  </si>
  <si>
    <t>time</t>
  </si>
  <si>
    <t>reaction</t>
  </si>
  <si>
    <t>body</t>
  </si>
  <si>
    <t>puppy</t>
  </si>
  <si>
    <t>john</t>
  </si>
  <si>
    <t>media</t>
  </si>
  <si>
    <t>choosingbeggars</t>
  </si>
  <si>
    <t>drug</t>
  </si>
  <si>
    <t>hollywood</t>
  </si>
  <si>
    <t>tea</t>
  </si>
  <si>
    <t>brain</t>
  </si>
  <si>
    <t>askreddit</t>
  </si>
  <si>
    <t>iamverysmart</t>
  </si>
  <si>
    <t>cancer</t>
  </si>
  <si>
    <t>president</t>
  </si>
  <si>
    <t>united</t>
  </si>
  <si>
    <t>debate</t>
  </si>
  <si>
    <t>responding</t>
  </si>
  <si>
    <t>benefits</t>
  </si>
  <si>
    <t>day</t>
  </si>
  <si>
    <t>beggars</t>
  </si>
  <si>
    <t>healthy</t>
  </si>
  <si>
    <t>kids</t>
  </si>
  <si>
    <t>code</t>
  </si>
  <si>
    <t>dog</t>
  </si>
  <si>
    <t>fake</t>
  </si>
  <si>
    <t>bacteria</t>
  </si>
  <si>
    <t>facebook</t>
  </si>
  <si>
    <t>racist</t>
  </si>
  <si>
    <t>lying</t>
  </si>
  <si>
    <t>social</t>
  </si>
  <si>
    <t>mmr</t>
  </si>
  <si>
    <t>death</t>
  </si>
  <si>
    <t>bbc</t>
  </si>
  <si>
    <t>biology</t>
  </si>
  <si>
    <t>wellness</t>
  </si>
  <si>
    <t>class</t>
  </si>
  <si>
    <t>controversies</t>
  </si>
  <si>
    <t>human</t>
  </si>
  <si>
    <t>nurse</t>
  </si>
  <si>
    <t>bias</t>
  </si>
  <si>
    <t>choosing</t>
  </si>
  <si>
    <t>polio</t>
  </si>
  <si>
    <t>psychology</t>
  </si>
  <si>
    <t>clinic</t>
  </si>
  <si>
    <t>donald</t>
  </si>
  <si>
    <t>travel</t>
  </si>
  <si>
    <t>tips</t>
  </si>
  <si>
    <t>question</t>
  </si>
  <si>
    <t>med</t>
  </si>
  <si>
    <t>interview</t>
  </si>
  <si>
    <t>study</t>
  </si>
  <si>
    <t>videos</t>
  </si>
  <si>
    <t>york</t>
  </si>
  <si>
    <t>bad</t>
  </si>
  <si>
    <t>symptoms</t>
  </si>
  <si>
    <t>marijuana</t>
  </si>
  <si>
    <t>gut</t>
  </si>
  <si>
    <t>america</t>
  </si>
  <si>
    <t>california</t>
  </si>
  <si>
    <t>water</t>
  </si>
  <si>
    <t>hiv</t>
  </si>
  <si>
    <t>google</t>
  </si>
  <si>
    <t>mail</t>
  </si>
  <si>
    <t>los</t>
  </si>
  <si>
    <t>angeles</t>
  </si>
  <si>
    <t>treatment</t>
  </si>
  <si>
    <t>myths</t>
  </si>
  <si>
    <t>nursing</t>
  </si>
  <si>
    <t>field</t>
  </si>
  <si>
    <t>satire</t>
  </si>
  <si>
    <t>plastic</t>
  </si>
  <si>
    <t>cracking</t>
  </si>
  <si>
    <t>stories</t>
  </si>
  <si>
    <t>nutrition</t>
  </si>
  <si>
    <t>industry</t>
  </si>
  <si>
    <t>mind</t>
  </si>
  <si>
    <t>logic</t>
  </si>
  <si>
    <t>christians</t>
  </si>
  <si>
    <t>public</t>
  </si>
  <si>
    <t>vaccinate</t>
  </si>
  <si>
    <t>animation</t>
  </si>
  <si>
    <t>nye</t>
  </si>
  <si>
    <t>climate</t>
  </si>
  <si>
    <t>washington</t>
  </si>
  <si>
    <t>kennedy</t>
  </si>
  <si>
    <t>cure</t>
  </si>
  <si>
    <t>oxygen</t>
  </si>
  <si>
    <t>truth</t>
  </si>
  <si>
    <t>movement</t>
  </si>
  <si>
    <t>patient</t>
  </si>
  <si>
    <t>theory</t>
  </si>
  <si>
    <t>sci</t>
  </si>
  <si>
    <t>lose</t>
  </si>
  <si>
    <t>surgery</t>
  </si>
  <si>
    <t>knuckles</t>
  </si>
  <si>
    <t>pressure</t>
  </si>
  <si>
    <t>fails</t>
  </si>
  <si>
    <t>season</t>
  </si>
  <si>
    <t>husky</t>
  </si>
  <si>
    <t>challenge</t>
  </si>
  <si>
    <t>national</t>
  </si>
  <si>
    <t>breaking</t>
  </si>
  <si>
    <t>middle</t>
  </si>
  <si>
    <t>ground</t>
  </si>
  <si>
    <t>mumps</t>
  </si>
  <si>
    <t>jenny</t>
  </si>
  <si>
    <t>mccarthy</t>
  </si>
  <si>
    <t>disorder</t>
  </si>
  <si>
    <t>documentary</t>
  </si>
  <si>
    <t>michael</t>
  </si>
  <si>
    <t>fallon</t>
  </si>
  <si>
    <t>subject</t>
  </si>
  <si>
    <t>2019</t>
  </si>
  <si>
    <t>acid</t>
  </si>
  <si>
    <t>whiteboard</t>
  </si>
  <si>
    <t>motion</t>
  </si>
  <si>
    <t>fair</t>
  </si>
  <si>
    <t>vlog</t>
  </si>
  <si>
    <t>answer</t>
  </si>
  <si>
    <t>10</t>
  </si>
  <si>
    <t>student</t>
  </si>
  <si>
    <t>week</t>
  </si>
  <si>
    <t>2018</t>
  </si>
  <si>
    <t>curbside</t>
  </si>
  <si>
    <t>jokes</t>
  </si>
  <si>
    <t>watches</t>
  </si>
  <si>
    <t>tonight</t>
  </si>
  <si>
    <t>explained</t>
  </si>
  <si>
    <t>eating</t>
  </si>
  <si>
    <t>effects</t>
  </si>
  <si>
    <t>labels</t>
  </si>
  <si>
    <t>50</t>
  </si>
  <si>
    <t>vaxx</t>
  </si>
  <si>
    <t>cognitive</t>
  </si>
  <si>
    <t>earthers</t>
  </si>
  <si>
    <t>quityourbullshit</t>
  </si>
  <si>
    <t>times</t>
  </si>
  <si>
    <t>project</t>
  </si>
  <si>
    <t>disneyland</t>
  </si>
  <si>
    <t>flu</t>
  </si>
  <si>
    <t>ted</t>
  </si>
  <si>
    <t>toxic</t>
  </si>
  <si>
    <t>twitter</t>
  </si>
  <si>
    <t>child</t>
  </si>
  <si>
    <t>adam</t>
  </si>
  <si>
    <t>stephen</t>
  </si>
  <si>
    <t>condition</t>
  </si>
  <si>
    <t>organism</t>
  </si>
  <si>
    <t>senate</t>
  </si>
  <si>
    <t>syndrome</t>
  </si>
  <si>
    <t>cartoon</t>
  </si>
  <si>
    <t>airpods</t>
  </si>
  <si>
    <t>safety</t>
  </si>
  <si>
    <t>safe</t>
  </si>
  <si>
    <t>ellen</t>
  </si>
  <si>
    <t>answers</t>
  </si>
  <si>
    <t>tank</t>
  </si>
  <si>
    <t>therapy</t>
  </si>
  <si>
    <t>consult</t>
  </si>
  <si>
    <t>crispr</t>
  </si>
  <si>
    <t>lie</t>
  </si>
  <si>
    <t>read</t>
  </si>
  <si>
    <t>television</t>
  </si>
  <si>
    <t>english</t>
  </si>
  <si>
    <t>fasting</t>
  </si>
  <si>
    <t>apple</t>
  </si>
  <si>
    <t>episode</t>
  </si>
  <si>
    <t>rally</t>
  </si>
  <si>
    <t>subreddit</t>
  </si>
  <si>
    <t>girl</t>
  </si>
  <si>
    <t>natural</t>
  </si>
  <si>
    <t>parents</t>
  </si>
  <si>
    <t>rubella</t>
  </si>
  <si>
    <t>immunity</t>
  </si>
  <si>
    <t>risk</t>
  </si>
  <si>
    <t>cbs</t>
  </si>
  <si>
    <t>change</t>
  </si>
  <si>
    <t>evolution</t>
  </si>
  <si>
    <t>amazing</t>
  </si>
  <si>
    <t>white</t>
  </si>
  <si>
    <t>celebrities</t>
  </si>
  <si>
    <t>obama</t>
  </si>
  <si>
    <t>trash</t>
  </si>
  <si>
    <t>lindenberger</t>
  </si>
  <si>
    <t>cnn</t>
  </si>
  <si>
    <t>nbc</t>
  </si>
  <si>
    <t>current</t>
  </si>
  <si>
    <t>robert</t>
  </si>
  <si>
    <t>physics</t>
  </si>
  <si>
    <t>chemistry</t>
  </si>
  <si>
    <t>fun</t>
  </si>
  <si>
    <t>illusion</t>
  </si>
  <si>
    <t>cloning</t>
  </si>
  <si>
    <t>deprivation</t>
  </si>
  <si>
    <t>gabbie</t>
  </si>
  <si>
    <t>collab</t>
  </si>
  <si>
    <t>nurses</t>
  </si>
  <si>
    <t>china</t>
  </si>
  <si>
    <t>series</t>
  </si>
  <si>
    <t>accurate</t>
  </si>
  <si>
    <t>care</t>
  </si>
  <si>
    <t>star</t>
  </si>
  <si>
    <t>oliver</t>
  </si>
  <si>
    <t>mental</t>
  </si>
  <si>
    <t>heart</t>
  </si>
  <si>
    <t>fast</t>
  </si>
  <si>
    <t>vitamin</t>
  </si>
  <si>
    <t>vinegar</t>
  </si>
  <si>
    <t>nyc</t>
  </si>
  <si>
    <t>probiotics</t>
  </si>
  <si>
    <t>organic</t>
  </si>
  <si>
    <t>vaping</t>
  </si>
  <si>
    <t>ketogenic</t>
  </si>
  <si>
    <t>keto</t>
  </si>
  <si>
    <t>mom</t>
  </si>
  <si>
    <t>sorrow</t>
  </si>
  <si>
    <t>women</t>
  </si>
  <si>
    <t>vegans</t>
  </si>
  <si>
    <t>blind</t>
  </si>
  <si>
    <t>spectrum</t>
  </si>
  <si>
    <t>global</t>
  </si>
  <si>
    <t>hbo</t>
  </si>
  <si>
    <t>jenner</t>
  </si>
  <si>
    <t>herd</t>
  </si>
  <si>
    <t>andrew</t>
  </si>
  <si>
    <t>wakefield</t>
  </si>
  <si>
    <t>cell</t>
  </si>
  <si>
    <t>god</t>
  </si>
  <si>
    <t>government</t>
  </si>
  <si>
    <t>awards</t>
  </si>
  <si>
    <t>whooping</t>
  </si>
  <si>
    <t>cough</t>
  </si>
  <si>
    <t>ethan</t>
  </si>
  <si>
    <t>nowthis</t>
  </si>
  <si>
    <t>vox</t>
  </si>
  <si>
    <t>history</t>
  </si>
  <si>
    <t>howard</t>
  </si>
  <si>
    <t>sugar</t>
  </si>
  <si>
    <t>genetically</t>
  </si>
  <si>
    <t>kobe</t>
  </si>
  <si>
    <t>period</t>
  </si>
  <si>
    <t>trutv</t>
  </si>
  <si>
    <t>international</t>
  </si>
  <si>
    <t>alive</t>
  </si>
  <si>
    <t>float</t>
  </si>
  <si>
    <t>joe</t>
  </si>
  <si>
    <t>ig</t>
  </si>
  <si>
    <t>gene</t>
  </si>
  <si>
    <t>baby</t>
  </si>
  <si>
    <t>drink</t>
  </si>
  <si>
    <t>street</t>
  </si>
  <si>
    <t>opinion</t>
  </si>
  <si>
    <t>eva</t>
  </si>
  <si>
    <t>magazine</t>
  </si>
  <si>
    <t>anatomy</t>
  </si>
  <si>
    <t>hypertension</t>
  </si>
  <si>
    <t>diets</t>
  </si>
  <si>
    <t>weed</t>
  </si>
  <si>
    <t>pot</t>
  </si>
  <si>
    <t>debunking</t>
  </si>
  <si>
    <t>acceptance</t>
  </si>
  <si>
    <t>fail</t>
  </si>
  <si>
    <t>sjw</t>
  </si>
  <si>
    <t>pro</t>
  </si>
  <si>
    <t>love</t>
  </si>
  <si>
    <t>language</t>
  </si>
  <si>
    <t>county</t>
  </si>
  <si>
    <t>unvaccinated</t>
  </si>
  <si>
    <t>religious</t>
  </si>
  <si>
    <t>interviews</t>
  </si>
  <si>
    <t>environment</t>
  </si>
  <si>
    <t>money</t>
  </si>
  <si>
    <t>smallpox</t>
  </si>
  <si>
    <t>guy</t>
  </si>
  <si>
    <t>usa</t>
  </si>
  <si>
    <t>illness</t>
  </si>
  <si>
    <t>inhaler</t>
  </si>
  <si>
    <t>duty</t>
  </si>
  <si>
    <t>brooklyn</t>
  </si>
  <si>
    <t>cold</t>
  </si>
  <si>
    <t>internet</t>
  </si>
  <si>
    <t>game</t>
  </si>
  <si>
    <t>pop</t>
  </si>
  <si>
    <t>feud</t>
  </si>
  <si>
    <t>guillermo</t>
  </si>
  <si>
    <t>actor</t>
  </si>
  <si>
    <t>outbreaks</t>
  </si>
  <si>
    <t>covid</t>
  </si>
  <si>
    <t>19</t>
  </si>
  <si>
    <t>cdc</t>
  </si>
  <si>
    <t>cells</t>
  </si>
  <si>
    <t>events</t>
  </si>
  <si>
    <t>hearing</t>
  </si>
  <si>
    <t>dangerous</t>
  </si>
  <si>
    <t>russell</t>
  </si>
  <si>
    <t>lead</t>
  </si>
  <si>
    <t>aranda</t>
  </si>
  <si>
    <t>solar</t>
  </si>
  <si>
    <t>urticaria</t>
  </si>
  <si>
    <t>scientists</t>
  </si>
  <si>
    <t>ideas</t>
  </si>
  <si>
    <t>poison</t>
  </si>
  <si>
    <t>honey</t>
  </si>
  <si>
    <t>immune</t>
  </si>
  <si>
    <t>film</t>
  </si>
  <si>
    <t>dna</t>
  </si>
  <si>
    <t>empathy</t>
  </si>
  <si>
    <t>mila</t>
  </si>
  <si>
    <t>kunis</t>
  </si>
  <si>
    <t>wars</t>
  </si>
  <si>
    <t>jedi</t>
  </si>
  <si>
    <t>aids</t>
  </si>
  <si>
    <t>ruins</t>
  </si>
  <si>
    <t>exposed</t>
  </si>
  <si>
    <t>fan</t>
  </si>
  <si>
    <t>hot</t>
  </si>
  <si>
    <t>hacks</t>
  </si>
  <si>
    <t>sexiest</t>
  </si>
  <si>
    <t>physician</t>
  </si>
  <si>
    <t>sensory</t>
  </si>
  <si>
    <t>alternative</t>
  </si>
  <si>
    <t>asmr</t>
  </si>
  <si>
    <t>educational</t>
  </si>
  <si>
    <t>hanna</t>
  </si>
  <si>
    <t>theories</t>
  </si>
  <si>
    <t>wednesday</t>
  </si>
  <si>
    <t>checkup</t>
  </si>
  <si>
    <t>editing</t>
  </si>
  <si>
    <t>healthcare</t>
  </si>
  <si>
    <t>supplements</t>
  </si>
  <si>
    <t>sexy</t>
  </si>
  <si>
    <t>mylifeaseva</t>
  </si>
  <si>
    <t>tedxtalks</t>
  </si>
  <si>
    <t>intermittent</t>
  </si>
  <si>
    <t>premed</t>
  </si>
  <si>
    <t>smoking</t>
  </si>
  <si>
    <t>vitamins</t>
  </si>
  <si>
    <t>misinformation</t>
  </si>
  <si>
    <t>chemical</t>
  </si>
  <si>
    <t>murphy</t>
  </si>
  <si>
    <t>cider</t>
  </si>
  <si>
    <t>claims</t>
  </si>
  <si>
    <t>pain</t>
  </si>
  <si>
    <t>ketosis</t>
  </si>
  <si>
    <t>carb</t>
  </si>
  <si>
    <t>tag</t>
  </si>
  <si>
    <t>red</t>
  </si>
  <si>
    <t>2017</t>
  </si>
  <si>
    <t>online</t>
  </si>
  <si>
    <t>parenting</t>
  </si>
  <si>
    <t>palm</t>
  </si>
  <si>
    <t>entitled</t>
  </si>
  <si>
    <t>bullshit</t>
  </si>
  <si>
    <t>entitledparents</t>
  </si>
  <si>
    <t>devotion</t>
  </si>
  <si>
    <t>exposure</t>
  </si>
  <si>
    <t>law</t>
  </si>
  <si>
    <t>texas</t>
  </si>
  <si>
    <t>shot</t>
  </si>
  <si>
    <t>morning</t>
  </si>
  <si>
    <t>animated</t>
  </si>
  <si>
    <t>vaccinated</t>
  </si>
  <si>
    <t>mercury</t>
  </si>
  <si>
    <t>paul</t>
  </si>
  <si>
    <t>pharma</t>
  </si>
  <si>
    <t>hours</t>
  </si>
  <si>
    <t>speech</t>
  </si>
  <si>
    <t>holt</t>
  </si>
  <si>
    <t>artist</t>
  </si>
  <si>
    <t>orange</t>
  </si>
  <si>
    <t>ethics</t>
  </si>
  <si>
    <t>drugs</t>
  </si>
  <si>
    <t>christmas</t>
  </si>
  <si>
    <t>episodes</t>
  </si>
  <si>
    <t>birth</t>
  </si>
  <si>
    <t>jake</t>
  </si>
  <si>
    <t>academy</t>
  </si>
  <si>
    <t>host</t>
  </si>
  <si>
    <t>personality</t>
  </si>
  <si>
    <t>kid</t>
  </si>
  <si>
    <t>direction</t>
  </si>
  <si>
    <t>security</t>
  </si>
  <si>
    <t>barack</t>
  </si>
  <si>
    <t>boulevard</t>
  </si>
  <si>
    <t>quiz</t>
  </si>
  <si>
    <t>musical</t>
  </si>
  <si>
    <t>basketball</t>
  </si>
  <si>
    <t>son</t>
  </si>
  <si>
    <t>gordon</t>
  </si>
  <si>
    <t>phone</t>
  </si>
  <si>
    <t>joke</t>
  </si>
  <si>
    <t>link</t>
  </si>
  <si>
    <t>peter</t>
  </si>
  <si>
    <t>seth</t>
  </si>
  <si>
    <t>meyers</t>
  </si>
  <si>
    <t>quarantine</t>
  </si>
  <si>
    <t>jim</t>
  </si>
  <si>
    <t>animals</t>
  </si>
  <si>
    <t>humans</t>
  </si>
  <si>
    <t>bee</t>
  </si>
  <si>
    <t>jersey</t>
  </si>
  <si>
    <t>newsnight</t>
  </si>
  <si>
    <t>masterson</t>
  </si>
  <si>
    <t>plandemic</t>
  </si>
  <si>
    <t>mood</t>
  </si>
  <si>
    <t>casey</t>
  </si>
  <si>
    <t>neistat</t>
  </si>
  <si>
    <t>weather</t>
  </si>
  <si>
    <t>kurzgesagt</t>
  </si>
  <si>
    <t>brown</t>
  </si>
  <si>
    <t>magnetic</t>
  </si>
  <si>
    <t>chloride</t>
  </si>
  <si>
    <t>wuhan</t>
  </si>
  <si>
    <t>population</t>
  </si>
  <si>
    <t>radiation</t>
  </si>
  <si>
    <t>genome</t>
  </si>
  <si>
    <t>experiment</t>
  </si>
  <si>
    <t>teacher</t>
  </si>
  <si>
    <t>eye</t>
  </si>
  <si>
    <t>light</t>
  </si>
  <si>
    <t>modified</t>
  </si>
  <si>
    <t>gmo</t>
  </si>
  <si>
    <t>color</t>
  </si>
  <si>
    <t>leaders</t>
  </si>
  <si>
    <t>market</t>
  </si>
  <si>
    <t>ear</t>
  </si>
  <si>
    <t>veritasium</t>
  </si>
  <si>
    <t>intuition</t>
  </si>
  <si>
    <t>inherit</t>
  </si>
  <si>
    <t>smarter</t>
  </si>
  <si>
    <t>freezing</t>
  </si>
  <si>
    <t>space</t>
  </si>
  <si>
    <t>sun</t>
  </si>
  <si>
    <t>unboxing</t>
  </si>
  <si>
    <t>vlogger</t>
  </si>
  <si>
    <t>anxiety</t>
  </si>
  <si>
    <t>environmental</t>
  </si>
  <si>
    <t>rogan</t>
  </si>
  <si>
    <t>vlogging</t>
  </si>
  <si>
    <t>resident</t>
  </si>
  <si>
    <t>ft</t>
  </si>
  <si>
    <t>job</t>
  </si>
  <si>
    <t>appreciation</t>
  </si>
  <si>
    <t>cas9</t>
  </si>
  <si>
    <t>scientist</t>
  </si>
  <si>
    <t>genetics</t>
  </si>
  <si>
    <t>conspiracies</t>
  </si>
  <si>
    <t>antioxidants</t>
  </si>
  <si>
    <t>drinking</t>
  </si>
  <si>
    <t>common</t>
  </si>
  <si>
    <t>advice</t>
  </si>
  <si>
    <t>protein</t>
  </si>
  <si>
    <t>cute</t>
  </si>
  <si>
    <t>abc</t>
  </si>
  <si>
    <t>program</t>
  </si>
  <si>
    <t>gender</t>
  </si>
  <si>
    <t>race</t>
  </si>
  <si>
    <t>greys</t>
  </si>
  <si>
    <t>knuckle</t>
  </si>
  <si>
    <t>laughter</t>
  </si>
  <si>
    <t>idiot</t>
  </si>
  <si>
    <t>teasers</t>
  </si>
  <si>
    <t>crazy</t>
  </si>
  <si>
    <t>journey</t>
  </si>
  <si>
    <t>cannabis</t>
  </si>
  <si>
    <t>reviews</t>
  </si>
  <si>
    <t>microbiome</t>
  </si>
  <si>
    <t>improve</t>
  </si>
  <si>
    <t>foods</t>
  </si>
  <si>
    <t>roxy</t>
  </si>
  <si>
    <t>complaint</t>
  </si>
  <si>
    <t>misleading</t>
  </si>
  <si>
    <t>debunked</t>
  </si>
  <si>
    <t>random</t>
  </si>
  <si>
    <t>dead</t>
  </si>
  <si>
    <t>slazo</t>
  </si>
  <si>
    <t>dark</t>
  </si>
  <si>
    <t>failed</t>
  </si>
  <si>
    <t>caught</t>
  </si>
  <si>
    <t>rachel</t>
  </si>
  <si>
    <t>dank</t>
  </si>
  <si>
    <t>vegetarian</t>
  </si>
  <si>
    <t>destroyed</t>
  </si>
  <si>
    <t>mad</t>
  </si>
  <si>
    <t>meat</t>
  </si>
  <si>
    <t>kat</t>
  </si>
  <si>
    <t>von</t>
  </si>
  <si>
    <t>triggered</t>
  </si>
  <si>
    <t>clean</t>
  </si>
  <si>
    <t>wholesome</t>
  </si>
  <si>
    <t>cat</t>
  </si>
  <si>
    <t>satisfying</t>
  </si>
  <si>
    <t>quit</t>
  </si>
  <si>
    <t>neil</t>
  </si>
  <si>
    <t>christian</t>
  </si>
  <si>
    <t>fox</t>
  </si>
  <si>
    <t>teachers</t>
  </si>
  <si>
    <t>hidden</t>
  </si>
  <si>
    <t>camera</t>
  </si>
  <si>
    <t>religion</t>
  </si>
  <si>
    <t>measle</t>
  </si>
  <si>
    <t>emergency</t>
  </si>
  <si>
    <t>psa</t>
  </si>
  <si>
    <t>service</t>
  </si>
  <si>
    <t>couple</t>
  </si>
  <si>
    <t>piper</t>
  </si>
  <si>
    <t>perabo</t>
  </si>
  <si>
    <t>pox</t>
  </si>
  <si>
    <t>nasa</t>
  </si>
  <si>
    <t>infection</t>
  </si>
  <si>
    <t>sickness</t>
  </si>
  <si>
    <t>chris</t>
  </si>
  <si>
    <t>business</t>
  </si>
  <si>
    <t>judy</t>
  </si>
  <si>
    <t>person</t>
  </si>
  <si>
    <t>lecture</t>
  </si>
  <si>
    <t>secret</t>
  </si>
  <si>
    <t>santa</t>
  </si>
  <si>
    <t>byrd</t>
  </si>
  <si>
    <t>oscars</t>
  </si>
  <si>
    <t>award</t>
  </si>
  <si>
    <t>quotation</t>
  </si>
  <si>
    <t>age</t>
  </si>
  <si>
    <t>teenager</t>
  </si>
  <si>
    <t>birthday</t>
  </si>
  <si>
    <t>competition</t>
  </si>
  <si>
    <t>horrible</t>
  </si>
  <si>
    <t>bosses</t>
  </si>
  <si>
    <t>snl</t>
  </si>
  <si>
    <t>nba</t>
  </si>
  <si>
    <t>chicago</t>
  </si>
  <si>
    <t>james</t>
  </si>
  <si>
    <t>fight</t>
  </si>
  <si>
    <t>detector</t>
  </si>
  <si>
    <t>office</t>
  </si>
  <si>
    <t>relationship</t>
  </si>
  <si>
    <t>democrat</t>
  </si>
  <si>
    <t>steven</t>
  </si>
  <si>
    <t>celeb</t>
  </si>
  <si>
    <t>famous</t>
  </si>
  <si>
    <t>exemptions</t>
  </si>
  <si>
    <t>wapo</t>
  </si>
  <si>
    <t>original</t>
  </si>
  <si>
    <t>distancing</t>
  </si>
  <si>
    <t>pandemic</t>
  </si>
  <si>
    <t>carrey</t>
  </si>
  <si>
    <t>dolly</t>
  </si>
  <si>
    <t>sheep</t>
  </si>
  <si>
    <t>stem</t>
  </si>
  <si>
    <t>nyt</t>
  </si>
  <si>
    <t>holmes</t>
  </si>
  <si>
    <t>chat</t>
  </si>
  <si>
    <t>topic</t>
  </si>
  <si>
    <t>sam</t>
  </si>
  <si>
    <t>infectious</t>
  </si>
  <si>
    <t>pertussis</t>
  </si>
  <si>
    <t>explainer</t>
  </si>
  <si>
    <t>entertainment</t>
  </si>
  <si>
    <t>msnbc</t>
  </si>
  <si>
    <t>culture</t>
  </si>
  <si>
    <t>rare</t>
  </si>
  <si>
    <t>physical</t>
  </si>
  <si>
    <t>ordon</t>
  </si>
  <si>
    <t>sears</t>
  </si>
  <si>
    <t>winter</t>
  </si>
  <si>
    <t>deniro</t>
  </si>
  <si>
    <t>organization</t>
  </si>
  <si>
    <t>teen</t>
  </si>
  <si>
    <t>elizabeth</t>
  </si>
  <si>
    <t>queen</t>
  </si>
  <si>
    <t>nutshell</t>
  </si>
  <si>
    <t>type</t>
  </si>
  <si>
    <t>brexit</t>
  </si>
  <si>
    <t>european</t>
  </si>
  <si>
    <t>union</t>
  </si>
  <si>
    <t>ireland</t>
  </si>
  <si>
    <t>rob</t>
  </si>
  <si>
    <t>schneider</t>
  </si>
  <si>
    <t>american</t>
  </si>
  <si>
    <t>growth</t>
  </si>
  <si>
    <t>ice</t>
  </si>
  <si>
    <t>die</t>
  </si>
  <si>
    <t>air</t>
  </si>
  <si>
    <t>sodium</t>
  </si>
  <si>
    <t>gravity</t>
  </si>
  <si>
    <t>artificial</t>
  </si>
  <si>
    <t>mamba</t>
  </si>
  <si>
    <t>organ</t>
  </si>
  <si>
    <t>disorders</t>
  </si>
  <si>
    <t>exercise</t>
  </si>
  <si>
    <t>monogamy</t>
  </si>
  <si>
    <t>allergies</t>
  </si>
  <si>
    <t>hormones</t>
  </si>
  <si>
    <t>respiratory</t>
  </si>
  <si>
    <t>revolution</t>
  </si>
  <si>
    <t>vlogbrothers</t>
  </si>
  <si>
    <t>pollution</t>
  </si>
  <si>
    <t>waste</t>
  </si>
  <si>
    <t>north</t>
  </si>
  <si>
    <t>tumor</t>
  </si>
  <si>
    <t>genetic</t>
  </si>
  <si>
    <t>viral</t>
  </si>
  <si>
    <t>nuclear</t>
  </si>
  <si>
    <t>frostbite</t>
  </si>
  <si>
    <t>crops</t>
  </si>
  <si>
    <t>summer</t>
  </si>
  <si>
    <t>bryant</t>
  </si>
  <si>
    <t>lakers</t>
  </si>
  <si>
    <t>hands</t>
  </si>
  <si>
    <t>pedestrian</t>
  </si>
  <si>
    <t>dad</t>
  </si>
  <si>
    <t>gluten</t>
  </si>
  <si>
    <t>country</t>
  </si>
  <si>
    <t>taste</t>
  </si>
  <si>
    <t>tricks</t>
  </si>
  <si>
    <t>feeling</t>
  </si>
  <si>
    <t>drawing</t>
  </si>
  <si>
    <t>thinking</t>
  </si>
  <si>
    <t>weird</t>
  </si>
  <si>
    <t>signs</t>
  </si>
  <si>
    <t>mark</t>
  </si>
  <si>
    <t>intelligence</t>
  </si>
  <si>
    <t>brian</t>
  </si>
  <si>
    <t>conover</t>
  </si>
  <si>
    <t>24</t>
  </si>
  <si>
    <t>periods</t>
  </si>
  <si>
    <t>menstrual</t>
  </si>
  <si>
    <t>cycle</t>
  </si>
  <si>
    <t>polar</t>
  </si>
  <si>
    <t>vortex</t>
  </si>
  <si>
    <t>hypothermia</t>
  </si>
  <si>
    <t>survive</t>
  </si>
  <si>
    <t>midwest</t>
  </si>
  <si>
    <t>deep</t>
  </si>
  <si>
    <t>risks</t>
  </si>
  <si>
    <t>bear</t>
  </si>
  <si>
    <t>jet</t>
  </si>
  <si>
    <t>lag</t>
  </si>
  <si>
    <t>packing</t>
  </si>
  <si>
    <t>vlogs</t>
  </si>
  <si>
    <t>sick</t>
  </si>
  <si>
    <t>guide</t>
  </si>
  <si>
    <t>doctor's</t>
  </si>
  <si>
    <t>tattoos</t>
  </si>
  <si>
    <t>isolation</t>
  </si>
  <si>
    <t>restricted</t>
  </si>
  <si>
    <t>stimulation</t>
  </si>
  <si>
    <t>doc</t>
  </si>
  <si>
    <t>thegabbieshow</t>
  </si>
  <si>
    <t>embarrassing</t>
  </si>
  <si>
    <t>babies</t>
  </si>
  <si>
    <t>juanpa</t>
  </si>
  <si>
    <t>zurita</t>
  </si>
  <si>
    <t>confessions</t>
  </si>
  <si>
    <t>true</t>
  </si>
  <si>
    <t>florida</t>
  </si>
  <si>
    <t>aspartame</t>
  </si>
  <si>
    <t>#2</t>
  </si>
  <si>
    <t>blue</t>
  </si>
  <si>
    <t>trailer</t>
  </si>
  <si>
    <t>coffee</t>
  </si>
  <si>
    <t>prepare</t>
  </si>
  <si>
    <t>walking</t>
  </si>
  <si>
    <t>dogs</t>
  </si>
  <si>
    <t>abcnews</t>
  </si>
  <si>
    <t>writer</t>
  </si>
  <si>
    <t>grey's</t>
  </si>
  <si>
    <t>crack</t>
  </si>
  <si>
    <t>popping</t>
  </si>
  <si>
    <t>arthritis</t>
  </si>
  <si>
    <t>behavior</t>
  </si>
  <si>
    <t>communication</t>
  </si>
  <si>
    <t>decision</t>
  </si>
  <si>
    <t>trick</t>
  </si>
  <si>
    <t>16</t>
  </si>
  <si>
    <t>dieting</t>
  </si>
  <si>
    <t>quick</t>
  </si>
  <si>
    <t>belly</t>
  </si>
  <si>
    <t>chill</t>
  </si>
  <si>
    <t>opinions</t>
  </si>
  <si>
    <t>pre</t>
  </si>
  <si>
    <t>unhealthy</t>
  </si>
  <si>
    <t>b12</t>
  </si>
  <si>
    <t>energy</t>
  </si>
  <si>
    <t>supplement</t>
  </si>
  <si>
    <t>shaun</t>
  </si>
  <si>
    <t>consultation</t>
  </si>
  <si>
    <t>city</t>
  </si>
  <si>
    <t>digestion</t>
  </si>
  <si>
    <t>edition</t>
  </si>
  <si>
    <t>pet</t>
  </si>
  <si>
    <t>animal</t>
  </si>
  <si>
    <t>running</t>
  </si>
  <si>
    <t>storytime</t>
  </si>
  <si>
    <t>label</t>
  </si>
  <si>
    <t>calories</t>
  </si>
  <si>
    <t>fda</t>
  </si>
  <si>
    <t>busted</t>
  </si>
  <si>
    <t>soft</t>
  </si>
  <si>
    <t>kore</t>
  </si>
  <si>
    <t>giofilms</t>
  </si>
  <si>
    <t>oopsdidntmeanto</t>
  </si>
  <si>
    <t>antivaxxers</t>
  </si>
  <si>
    <t>antivaxxer</t>
  </si>
  <si>
    <t>plague</t>
  </si>
  <si>
    <t>warning</t>
  </si>
  <si>
    <t>oates</t>
  </si>
  <si>
    <t>skeptic</t>
  </si>
  <si>
    <t>laugh</t>
  </si>
  <si>
    <t>adults</t>
  </si>
  <si>
    <t>insane</t>
  </si>
  <si>
    <t>shaming</t>
  </si>
  <si>
    <t>phobia</t>
  </si>
  <si>
    <t>#1</t>
  </si>
  <si>
    <t>fapo</t>
  </si>
  <si>
    <t>activist</t>
  </si>
  <si>
    <t>ailurus</t>
  </si>
  <si>
    <t>shame</t>
  </si>
  <si>
    <t>tumblrinaction</t>
  </si>
  <si>
    <t>rekt</t>
  </si>
  <si>
    <t>positive</t>
  </si>
  <si>
    <t>gains</t>
  </si>
  <si>
    <t>veganism</t>
  </si>
  <si>
    <t>eater</t>
  </si>
  <si>
    <t>protest</t>
  </si>
  <si>
    <t>nas</t>
  </si>
  <si>
    <t>vaxxed</t>
  </si>
  <si>
    <t>rocket</t>
  </si>
  <si>
    <t>share</t>
  </si>
  <si>
    <t>rslash</t>
  </si>
  <si>
    <t>degrasse</t>
  </si>
  <si>
    <t>tyson</t>
  </si>
  <si>
    <t>fresh</t>
  </si>
  <si>
    <t>deeper</t>
  </si>
  <si>
    <t>christianity</t>
  </si>
  <si>
    <t>beliefs</t>
  </si>
  <si>
    <t>gerald</t>
  </si>
  <si>
    <t>brainy</t>
  </si>
  <si>
    <t>students</t>
  </si>
  <si>
    <t>rule</t>
  </si>
  <si>
    <t>campaign</t>
  </si>
  <si>
    <t>investigation</t>
  </si>
  <si>
    <t>children's</t>
  </si>
  <si>
    <t>cbc</t>
  </si>
  <si>
    <t>edward</t>
  </si>
  <si>
    <t>thimerosal</t>
  </si>
  <si>
    <t>modern</t>
  </si>
  <si>
    <t>ross</t>
  </si>
  <si>
    <t>happening</t>
  </si>
  <si>
    <t>conflict</t>
  </si>
  <si>
    <t>economics</t>
  </si>
  <si>
    <t>perception</t>
  </si>
  <si>
    <t>tededucation</t>
  </si>
  <si>
    <t>virology</t>
  </si>
  <si>
    <t>infographics</t>
  </si>
  <si>
    <t>antivax</t>
  </si>
  <si>
    <t>popular</t>
  </si>
  <si>
    <t>warming</t>
  </si>
  <si>
    <t>hoax</t>
  </si>
  <si>
    <t>committee</t>
  </si>
  <si>
    <t>genitalia</t>
  </si>
  <si>
    <t>rash</t>
  </si>
  <si>
    <t>fever</t>
  </si>
  <si>
    <t>antibodies</t>
  </si>
  <si>
    <t>allergic</t>
  </si>
  <si>
    <t>injury</t>
  </si>
  <si>
    <t>rand</t>
  </si>
  <si>
    <t>republicans</t>
  </si>
  <si>
    <t>engine</t>
  </si>
  <si>
    <t>greg</t>
  </si>
  <si>
    <t>penn</t>
  </si>
  <si>
    <t>taub</t>
  </si>
  <si>
    <t>intelligent</t>
  </si>
  <si>
    <t>amber</t>
  </si>
  <si>
    <t>failure</t>
  </si>
  <si>
    <t>therapist</t>
  </si>
  <si>
    <t>andre</t>
  </si>
  <si>
    <t>braugher</t>
  </si>
  <si>
    <t>captain</t>
  </si>
  <si>
    <t>kiss</t>
  </si>
  <si>
    <t>break</t>
  </si>
  <si>
    <t>entering</t>
  </si>
  <si>
    <t>weber</t>
  </si>
  <si>
    <t>miller</t>
  </si>
  <si>
    <t>immaculate</t>
  </si>
  <si>
    <t>conception</t>
  </si>
  <si>
    <t>virgin</t>
  </si>
  <si>
    <t>thomas</t>
  </si>
  <si>
    <t>dekker</t>
  </si>
  <si>
    <t>circumcision</t>
  </si>
  <si>
    <t>duties</t>
  </si>
  <si>
    <t>controversy</t>
  </si>
  <si>
    <t>jack</t>
  </si>
  <si>
    <t>becky</t>
  </si>
  <si>
    <t>grace</t>
  </si>
  <si>
    <t>kudrow</t>
  </si>
  <si>
    <t>kylie</t>
  </si>
  <si>
    <t>jfk</t>
  </si>
  <si>
    <t>hug</t>
  </si>
  <si>
    <t>special</t>
  </si>
  <si>
    <t>sal</t>
  </si>
  <si>
    <t>generation</t>
  </si>
  <si>
    <t>gap</t>
  </si>
  <si>
    <t>elvis</t>
  </si>
  <si>
    <t>blvd</t>
  </si>
  <si>
    <t>protection</t>
  </si>
  <si>
    <t>jennifer</t>
  </si>
  <si>
    <t>friends</t>
  </si>
  <si>
    <t>cursing</t>
  </si>
  <si>
    <t>swearing</t>
  </si>
  <si>
    <t>swear</t>
  </si>
  <si>
    <t>censorship</t>
  </si>
  <si>
    <t>south</t>
  </si>
  <si>
    <t>winner</t>
  </si>
  <si>
    <t>ossa</t>
  </si>
  <si>
    <t>affleck</t>
  </si>
  <si>
    <t>player</t>
  </si>
  <si>
    <t>bredow</t>
  </si>
  <si>
    <t>mother</t>
  </si>
  <si>
    <t>primary</t>
  </si>
  <si>
    <t>ramsay</t>
  </si>
  <si>
    <t>fitness</t>
  </si>
  <si>
    <t>overweight</t>
  </si>
  <si>
    <t>obese</t>
  </si>
  <si>
    <t>obesity</t>
  </si>
  <si>
    <t>hell's</t>
  </si>
  <si>
    <t>kitchen</t>
  </si>
  <si>
    <t>uber</t>
  </si>
  <si>
    <t>driver</t>
  </si>
  <si>
    <t>taxi</t>
  </si>
  <si>
    <t>driving</t>
  </si>
  <si>
    <t>car</t>
  </si>
  <si>
    <t>prank</t>
  </si>
  <si>
    <t>pick</t>
  </si>
  <si>
    <t>gabon</t>
  </si>
  <si>
    <t>africa</t>
  </si>
  <si>
    <t>genre</t>
  </si>
  <si>
    <t>commander</t>
  </si>
  <si>
    <t>chief</t>
  </si>
  <si>
    <t>counseling</t>
  </si>
  <si>
    <t>martian</t>
  </si>
  <si>
    <t>phil</t>
  </si>
  <si>
    <t>sarah</t>
  </si>
  <si>
    <t>denial</t>
  </si>
  <si>
    <t>election</t>
  </si>
  <si>
    <t>left</t>
  </si>
  <si>
    <t>wing</t>
  </si>
  <si>
    <t>teeth</t>
  </si>
  <si>
    <t>newsroom</t>
  </si>
  <si>
    <t>parody</t>
  </si>
  <si>
    <t>charity</t>
  </si>
  <si>
    <t>poverty</t>
  </si>
  <si>
    <t>testing</t>
  </si>
  <si>
    <t>corona</t>
  </si>
  <si>
    <t>houston</t>
  </si>
  <si>
    <t>abc13</t>
  </si>
  <si>
    <t>report</t>
  </si>
  <si>
    <t>cloned</t>
  </si>
  <si>
    <t>ian</t>
  </si>
  <si>
    <t>ny</t>
  </si>
  <si>
    <t>nytimes</t>
  </si>
  <si>
    <t>reporting</t>
  </si>
  <si>
    <t>holly</t>
  </si>
  <si>
    <t>willoughby</t>
  </si>
  <si>
    <t>phillip</t>
  </si>
  <si>
    <t>schofield</t>
  </si>
  <si>
    <t>ruth</t>
  </si>
  <si>
    <t>langsford</t>
  </si>
  <si>
    <t>eamonn</t>
  </si>
  <si>
    <t>frontal</t>
  </si>
  <si>
    <t>samantha</t>
  </si>
  <si>
    <t>sacramento</t>
  </si>
  <si>
    <t>voxpop</t>
  </si>
  <si>
    <t>abdinasir</t>
  </si>
  <si>
    <t>antivaxx</t>
  </si>
  <si>
    <t>labour</t>
  </si>
  <si>
    <t>nowthisnews</t>
  </si>
  <si>
    <t>bang</t>
  </si>
  <si>
    <t>alicia</t>
  </si>
  <si>
    <t>silverstone</t>
  </si>
  <si>
    <t>literature</t>
  </si>
  <si>
    <t>political</t>
  </si>
  <si>
    <t>testifying</t>
  </si>
  <si>
    <t>covid19</t>
  </si>
  <si>
    <t>movie</t>
  </si>
  <si>
    <t>diseases</t>
  </si>
  <si>
    <t>danger</t>
  </si>
  <si>
    <t>add</t>
  </si>
  <si>
    <t>control</t>
  </si>
  <si>
    <t>domestic</t>
  </si>
  <si>
    <t>congress</t>
  </si>
  <si>
    <t>minute</t>
  </si>
  <si>
    <t>immunization</t>
  </si>
  <si>
    <t>shock</t>
  </si>
  <si>
    <t>travis</t>
  </si>
  <si>
    <t>stork</t>
  </si>
  <si>
    <t>remedies</t>
  </si>
  <si>
    <t>russia</t>
  </si>
  <si>
    <t>chicken</t>
  </si>
  <si>
    <t>beme</t>
  </si>
  <si>
    <t>pbs</t>
  </si>
  <si>
    <t>plantagenets</t>
  </si>
  <si>
    <t>sports</t>
  </si>
  <si>
    <t>pets</t>
  </si>
  <si>
    <t>leukemia</t>
  </si>
  <si>
    <t>hepatitis</t>
  </si>
  <si>
    <t>anderson</t>
  </si>
  <si>
    <t>effective</t>
  </si>
  <si>
    <t>hour</t>
  </si>
  <si>
    <t>lizard</t>
  </si>
  <si>
    <t>war</t>
  </si>
  <si>
    <t>antibiotics</t>
  </si>
  <si>
    <t>2015</t>
  </si>
  <si>
    <t>park</t>
  </si>
  <si>
    <t>kingdom</t>
  </si>
  <si>
    <t>60</t>
  </si>
  <si>
    <t>minutes</t>
  </si>
  <si>
    <t>tom</t>
  </si>
  <si>
    <t>stefanovic</t>
  </si>
  <si>
    <t>richard</t>
  </si>
  <si>
    <t>george</t>
  </si>
  <si>
    <t>emily</t>
  </si>
  <si>
    <t>larry</t>
  </si>
  <si>
    <t>king</t>
  </si>
  <si>
    <t>ora</t>
  </si>
  <si>
    <t>melinda</t>
  </si>
  <si>
    <t>leptin</t>
  </si>
  <si>
    <t>deficiency</t>
  </si>
  <si>
    <t>paris</t>
  </si>
  <si>
    <t>heat</t>
  </si>
  <si>
    <t>west</t>
  </si>
  <si>
    <t>antarctica</t>
  </si>
  <si>
    <t>potassium</t>
  </si>
  <si>
    <t>intoxication</t>
  </si>
  <si>
    <t>cerebral</t>
  </si>
  <si>
    <t>plasma</t>
  </si>
  <si>
    <t>volcanoes</t>
  </si>
  <si>
    <t>plate</t>
  </si>
  <si>
    <t>tectonics</t>
  </si>
  <si>
    <t>anomalies</t>
  </si>
  <si>
    <t>silicon</t>
  </si>
  <si>
    <t>fructose</t>
  </si>
  <si>
    <t>corn</t>
  </si>
  <si>
    <t>paralysis</t>
  </si>
  <si>
    <t>stomach</t>
  </si>
  <si>
    <t>intestine</t>
  </si>
  <si>
    <t>depression</t>
  </si>
  <si>
    <t>calorie</t>
  </si>
  <si>
    <t>cigarette</t>
  </si>
  <si>
    <t>industrial</t>
  </si>
  <si>
    <t>pesticide</t>
  </si>
  <si>
    <t>symbiotic</t>
  </si>
  <si>
    <t>fecal</t>
  </si>
  <si>
    <t>breeding</t>
  </si>
  <si>
    <t>strategy</t>
  </si>
  <si>
    <t>fish</t>
  </si>
  <si>
    <t>polygamy</t>
  </si>
  <si>
    <t>copulation</t>
  </si>
  <si>
    <t>power</t>
  </si>
  <si>
    <t>trackers</t>
  </si>
  <si>
    <t>induced</t>
  </si>
  <si>
    <t>anaphylaxis</t>
  </si>
  <si>
    <t>progesterone</t>
  </si>
  <si>
    <t>flint</t>
  </si>
  <si>
    <t>copper</t>
  </si>
  <si>
    <t>epa</t>
  </si>
  <si>
    <t>river</t>
  </si>
  <si>
    <t>minamata</t>
  </si>
  <si>
    <t>plant</t>
  </si>
  <si>
    <t>acetic</t>
  </si>
  <si>
    <t>heavy</t>
  </si>
  <si>
    <t>epidemiology</t>
  </si>
  <si>
    <t>contagion</t>
  </si>
  <si>
    <t>developing</t>
  </si>
  <si>
    <t>species</t>
  </si>
  <si>
    <t>list</t>
  </si>
  <si>
    <t>uranium</t>
  </si>
  <si>
    <t>ionizing</t>
  </si>
  <si>
    <t>compounds</t>
  </si>
  <si>
    <t>snow</t>
  </si>
  <si>
    <t>genes</t>
  </si>
  <si>
    <t>chromosomes</t>
  </si>
  <si>
    <t>sequencing</t>
  </si>
  <si>
    <t>experiments</t>
  </si>
  <si>
    <t>zimbardo</t>
  </si>
  <si>
    <t>prison</t>
  </si>
  <si>
    <t>milgram</t>
  </si>
  <si>
    <t>stimulus</t>
  </si>
  <si>
    <t>symbiosis</t>
  </si>
  <si>
    <t>malaria</t>
  </si>
  <si>
    <t>mosquitoes</t>
  </si>
  <si>
    <t>lice</t>
  </si>
  <si>
    <t>crabs</t>
  </si>
  <si>
    <t>fly</t>
  </si>
  <si>
    <t>coley</t>
  </si>
  <si>
    <t>toxin</t>
  </si>
  <si>
    <t>solution</t>
  </si>
  <si>
    <t>inheritance</t>
  </si>
  <si>
    <t>century</t>
  </si>
  <si>
    <t>enemy</t>
  </si>
  <si>
    <t>glucose</t>
  </si>
  <si>
    <t>bees</t>
  </si>
  <si>
    <t>clostridium</t>
  </si>
  <si>
    <t>botulinum</t>
  </si>
  <si>
    <t>botulism</t>
  </si>
  <si>
    <t>bottle</t>
  </si>
  <si>
    <t>trends</t>
  </si>
  <si>
    <t>survival</t>
  </si>
  <si>
    <t>alcohol</t>
  </si>
  <si>
    <t>rem</t>
  </si>
  <si>
    <t>tired</t>
  </si>
  <si>
    <t>mitochondria</t>
  </si>
  <si>
    <t>monsanto</t>
  </si>
  <si>
    <t>nature</t>
  </si>
  <si>
    <t>gary</t>
  </si>
  <si>
    <t>greenberg</t>
  </si>
  <si>
    <t>paxton</t>
  </si>
  <si>
    <t>remembering</t>
  </si>
  <si>
    <t>foundation</t>
  </si>
  <si>
    <t>hiatus</t>
  </si>
  <si>
    <t>monologue</t>
  </si>
  <si>
    <t>play</t>
  </si>
  <si>
    <t>hair</t>
  </si>
  <si>
    <t>bald</t>
  </si>
  <si>
    <t>force</t>
  </si>
  <si>
    <t>ramp</t>
  </si>
  <si>
    <t>cinderella</t>
  </si>
  <si>
    <t>prince</t>
  </si>
  <si>
    <t>disney</t>
  </si>
  <si>
    <t>finance</t>
  </si>
  <si>
    <t>personal</t>
  </si>
  <si>
    <t>movers</t>
  </si>
  <si>
    <t>creationism</t>
  </si>
  <si>
    <t>radical</t>
  </si>
  <si>
    <t>head</t>
  </si>
  <si>
    <t>texting</t>
  </si>
  <si>
    <t>anchor</t>
  </si>
  <si>
    <t>grove</t>
  </si>
  <si>
    <t>korea</t>
  </si>
  <si>
    <t>jkl</t>
  </si>
  <si>
    <t>#kimmel</t>
  </si>
  <si>
    <t>talkshow</t>
  </si>
  <si>
    <t>nightly</t>
  </si>
  <si>
    <t>#kimmeljoke</t>
  </si>
  <si>
    <t>citizenship</t>
  </si>
  <si>
    <t>cheese</t>
  </si>
  <si>
    <t>ethnicity</t>
  </si>
  <si>
    <t>ashton</t>
  </si>
  <si>
    <t>kutcher</t>
  </si>
  <si>
    <t>pregnant</t>
  </si>
  <si>
    <t>vladimir</t>
  </si>
  <si>
    <t>putin</t>
  </si>
  <si>
    <t>asapthought</t>
  </si>
  <si>
    <t>correlation</t>
  </si>
  <si>
    <t>causation</t>
  </si>
  <si>
    <t>mitch</t>
  </si>
  <si>
    <t>moffit</t>
  </si>
  <si>
    <t>saber</t>
  </si>
  <si>
    <t>trust</t>
  </si>
  <si>
    <t>decisions</t>
  </si>
  <si>
    <t>intuitive</t>
  </si>
  <si>
    <t>instinct</t>
  </si>
  <si>
    <t>globe</t>
  </si>
  <si>
    <t>podcast</t>
  </si>
  <si>
    <t>moon</t>
  </si>
  <si>
    <t>landing</t>
  </si>
  <si>
    <t>blow</t>
  </si>
  <si>
    <t>shocking</t>
  </si>
  <si>
    <t>stats</t>
  </si>
  <si>
    <t>majority</t>
  </si>
  <si>
    <t>gates</t>
  </si>
  <si>
    <t>balding</t>
  </si>
  <si>
    <t>physiology</t>
  </si>
  <si>
    <t>rober</t>
  </si>
  <si>
    <t>board</t>
  </si>
  <si>
    <t>dumb</t>
  </si>
  <si>
    <t>average</t>
  </si>
  <si>
    <t>neuron</t>
  </si>
  <si>
    <t>sex</t>
  </si>
  <si>
    <t>eat</t>
  </si>
  <si>
    <t>garbage</t>
  </si>
  <si>
    <t>cup</t>
  </si>
  <si>
    <t>extreme</t>
  </si>
  <si>
    <t>temperature</t>
  </si>
  <si>
    <t>freeze</t>
  </si>
  <si>
    <t>society</t>
  </si>
  <si>
    <t>globebusters</t>
  </si>
  <si>
    <t>professor</t>
  </si>
  <si>
    <t>dave</t>
  </si>
  <si>
    <t>asteroid</t>
  </si>
  <si>
    <t>meteor</t>
  </si>
  <si>
    <t>shower</t>
  </si>
  <si>
    <t>etika</t>
  </si>
  <si>
    <t>atp</t>
  </si>
  <si>
    <t>meaning</t>
  </si>
  <si>
    <t>disappeared</t>
  </si>
  <si>
    <t>apocalypse</t>
  </si>
  <si>
    <t>agriculture</t>
  </si>
  <si>
    <t>deepmind</t>
  </si>
  <si>
    <t>balls</t>
  </si>
  <si>
    <t>kill</t>
  </si>
  <si>
    <t>holding</t>
  </si>
  <si>
    <t>breath</t>
  </si>
  <si>
    <t>planes</t>
  </si>
  <si>
    <t>cars</t>
  </si>
  <si>
    <t>atmospheric</t>
  </si>
  <si>
    <t>kang</t>
  </si>
  <si>
    <t>lee</t>
  </si>
  <si>
    <t>optical</t>
  </si>
  <si>
    <t>plans</t>
  </si>
  <si>
    <t>slow</t>
  </si>
  <si>
    <t>games</t>
  </si>
  <si>
    <t>clips</t>
  </si>
  <si>
    <t>designer</t>
  </si>
  <si>
    <t>future</t>
  </si>
  <si>
    <t>inspiration</t>
  </si>
  <si>
    <t>homeopathy</t>
  </si>
  <si>
    <t>hahnemann</t>
  </si>
  <si>
    <t>military</t>
  </si>
  <si>
    <t>technique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</si>
  <si>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</si>
  <si>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</si>
  <si>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</si>
  <si>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</si>
  <si>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</si>
  <si>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</si>
  <si>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</si>
  <si>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</si>
  <si>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</si>
  <si>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</si>
  <si>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</si>
  <si>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</si>
  <si>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</si>
  <si>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</si>
  <si>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</si>
  <si>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</si>
  <si>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</si>
  <si>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</si>
  <si>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</si>
  <si>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</si>
  <si>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</si>
  <si>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</si>
  <si>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</si>
  <si>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</si>
  <si>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</si>
  <si>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</si>
  <si>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</si>
  <si>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</si>
  <si>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</si>
  <si>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</si>
  <si>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</si>
  <si>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</si>
  <si>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</si>
  <si>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</si>
  <si>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</si>
  <si>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</si>
  <si>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</si>
  <si>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</si>
  <si>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</si>
  <si>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</si>
  <si>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</si>
  <si>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</si>
  <si>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</si>
  <si>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</si>
  <si>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</si>
  <si>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</si>
  <si>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</si>
  <si>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</si>
  <si>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</si>
  <si>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</si>
  <si>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</si>
  <si>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</si>
  <si>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</si>
  <si>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</si>
  <si>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</si>
  <si>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</si>
  <si>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</si>
  <si>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</si>
  <si>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</si>
  <si>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</si>
  <si>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</si>
  <si>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</si>
  <si>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Words in Tags in Entire Graph</t>
  </si>
  <si>
    <t>Entire Graph Count</t>
  </si>
  <si>
    <t>Top Words in Tags in G1</t>
  </si>
  <si>
    <t>Top Words in Tags in G2</t>
  </si>
  <si>
    <t>G1 Count</t>
  </si>
  <si>
    <t>Top Words in Tags in G3</t>
  </si>
  <si>
    <t>G2 Count</t>
  </si>
  <si>
    <t>Top Words in Tags in G4</t>
  </si>
  <si>
    <t>G3 Count</t>
  </si>
  <si>
    <t>Top Words in Tags in G5</t>
  </si>
  <si>
    <t>G4 Count</t>
  </si>
  <si>
    <t>Top Words in Tags in G6</t>
  </si>
  <si>
    <t>G5 Count</t>
  </si>
  <si>
    <t>Top Words in Tags in G7</t>
  </si>
  <si>
    <t>G6 Count</t>
  </si>
  <si>
    <t>Top Words in Tags in G8</t>
  </si>
  <si>
    <t>G7 Count</t>
  </si>
  <si>
    <t>G8 Count</t>
  </si>
  <si>
    <t>Top Words in Tags</t>
  </si>
  <si>
    <t>jimmy kimmel comedy funny live talk late night sketch comedic</t>
  </si>
  <si>
    <t>house moments cuddy dr thirteen hugh laurie wilson foreman cameron</t>
  </si>
  <si>
    <t>doctor mike dr medical varshavski health comments mikhail medicine diet</t>
  </si>
  <si>
    <t>science asapscience asap sleep earth flat life google hiv fair</t>
  </si>
  <si>
    <t>science green hank scishow education learn health cancer psychology acid</t>
  </si>
  <si>
    <t>anti reddit facepalm vegan owned memes people vaxxer fat vaccine</t>
  </si>
  <si>
    <t>vaccine vaccines anti news vaccination science health bbc measles dr</t>
  </si>
  <si>
    <t>news measles vaccine anti vaccination health vaccines vice outbreak vaxxers</t>
  </si>
  <si>
    <t>Top Word Pairs in Tags in Entire Graph</t>
  </si>
  <si>
    <t>doctor,mike</t>
  </si>
  <si>
    <t>dr,mike</t>
  </si>
  <si>
    <t>jimmy,kimmel</t>
  </si>
  <si>
    <t>house,house</t>
  </si>
  <si>
    <t>mike,dr</t>
  </si>
  <si>
    <t>dr,house</t>
  </si>
  <si>
    <t>late,night</t>
  </si>
  <si>
    <t>kimmel,live</t>
  </si>
  <si>
    <t>hugh,laurie</t>
  </si>
  <si>
    <t>house,dr</t>
  </si>
  <si>
    <t>Top Word Pairs in Tags in G1</t>
  </si>
  <si>
    <t>night,talk</t>
  </si>
  <si>
    <t>live,late</t>
  </si>
  <si>
    <t>talk,funny</t>
  </si>
  <si>
    <t>kimmel,jimmy</t>
  </si>
  <si>
    <t>sketch,comedy</t>
  </si>
  <si>
    <t>music,comedy</t>
  </si>
  <si>
    <t>funny,humor</t>
  </si>
  <si>
    <t>Top Word Pairs in Tags in G2</t>
  </si>
  <si>
    <t>house,hugh</t>
  </si>
  <si>
    <t>house,thirteen</t>
  </si>
  <si>
    <t>gregory,house</t>
  </si>
  <si>
    <t>moments,house</t>
  </si>
  <si>
    <t>olivia,wilde</t>
  </si>
  <si>
    <t>cuddy,wilson</t>
  </si>
  <si>
    <t>Top Word Pairs in Tags in G3</t>
  </si>
  <si>
    <t>mikhail,varshavski</t>
  </si>
  <si>
    <t>mike,doctor</t>
  </si>
  <si>
    <t>mike,varshavski</t>
  </si>
  <si>
    <t>doctor,doctor</t>
  </si>
  <si>
    <t>mike,mikhail</t>
  </si>
  <si>
    <t>instagram,doctor</t>
  </si>
  <si>
    <t>mike,mike</t>
  </si>
  <si>
    <t>Top Word Pairs in Tags in G4</t>
  </si>
  <si>
    <t>asap,science</t>
  </si>
  <si>
    <t>science,asapscience</t>
  </si>
  <si>
    <t>science,fair</t>
  </si>
  <si>
    <t>asapscience,asap</t>
  </si>
  <si>
    <t>science,asap</t>
  </si>
  <si>
    <t>flat,earth</t>
  </si>
  <si>
    <t>science,fun</t>
  </si>
  <si>
    <t>fun,science</t>
  </si>
  <si>
    <t>whiteboard,motion</t>
  </si>
  <si>
    <t>google,science</t>
  </si>
  <si>
    <t>Top Word Pairs in Tags in G5</t>
  </si>
  <si>
    <t>hank,green</t>
  </si>
  <si>
    <t>science,hank</t>
  </si>
  <si>
    <t>scishow,science</t>
  </si>
  <si>
    <t>green,education</t>
  </si>
  <si>
    <t>education,learn</t>
  </si>
  <si>
    <t>green,sci</t>
  </si>
  <si>
    <t>michael,aranda</t>
  </si>
  <si>
    <t>field,study</t>
  </si>
  <si>
    <t>science,sci</t>
  </si>
  <si>
    <t>respiratory,syndrome</t>
  </si>
  <si>
    <t>Top Word Pairs in Tags in G6</t>
  </si>
  <si>
    <t>anti,vaxxer</t>
  </si>
  <si>
    <t>people,owned</t>
  </si>
  <si>
    <t>anti,vaxxers</t>
  </si>
  <si>
    <t>facepalm,facepalm</t>
  </si>
  <si>
    <t>anti,vax</t>
  </si>
  <si>
    <t>anti,vaccine</t>
  </si>
  <si>
    <t>reddit,reddit</t>
  </si>
  <si>
    <t>owned,people</t>
  </si>
  <si>
    <t>racist,people</t>
  </si>
  <si>
    <t>choosing,beggars</t>
  </si>
  <si>
    <t>Top Word Pairs in Tags in G7</t>
  </si>
  <si>
    <t>anti,vaccination</t>
  </si>
  <si>
    <t>vaccines,autism</t>
  </si>
  <si>
    <t>news,interview</t>
  </si>
  <si>
    <t>bbc,newsnight</t>
  </si>
  <si>
    <t>newsnight,news</t>
  </si>
  <si>
    <t>casey,neistat</t>
  </si>
  <si>
    <t>news,news</t>
  </si>
  <si>
    <t>ethan,lindenberger</t>
  </si>
  <si>
    <t>vaccination,vaccine</t>
  </si>
  <si>
    <t>Top Word Pairs in Tags in G8</t>
  </si>
  <si>
    <t>measles,outbreak</t>
  </si>
  <si>
    <t>vice,news</t>
  </si>
  <si>
    <t>russell,howard</t>
  </si>
  <si>
    <t>news,current</t>
  </si>
  <si>
    <t>vaccine,anti</t>
  </si>
  <si>
    <t>Top Word Pairs in Tags</t>
  </si>
  <si>
    <t>jimmy,kimmel  kimmel,live  late,night  night,talk  live,late  talk,funny  kimmel,jimmy  sketch,comedy  music,comedy  funny,humor</t>
  </si>
  <si>
    <t>house,house  dr,house  hugh,laurie  house,dr  house,hugh  house,thirteen  gregory,house  moments,house  olivia,wilde  cuddy,wilson</t>
  </si>
  <si>
    <t>doctor,mike  dr,mike  mike,dr  mikhail,varshavski  mike,doctor  mike,varshavski  doctor,doctor  mike,mikhail  instagram,doctor  mike,mike</t>
  </si>
  <si>
    <t>asap,science  science,asapscience  science,fair  asapscience,asap  science,asap  flat,earth  science,fun  fun,science  whiteboard,motion  google,science</t>
  </si>
  <si>
    <t>hank,green  science,hank  scishow,science  green,education  education,learn  green,sci  michael,aranda  field,study  science,sci  respiratory,syndrome</t>
  </si>
  <si>
    <t>anti,vaxxer  people,owned  anti,vaxxers  facepalm,facepalm  anti,vax  anti,vaccine  reddit,reddit  owned,people  racist,people  choosing,beggars</t>
  </si>
  <si>
    <t>anti,vaccination  vaccines,autism  news,interview  anti,vaccine  bbc,newsnight  newsnight,news  casey,neistat  news,news  ethan,lindenberger  vaccination,vaccine</t>
  </si>
  <si>
    <t>anti,vaccine  anti,vaxxers  measles,outbreak  news,news  anti,vax  vice,news  russell,howard  anti,vaxxer  news,current  vaccine,anti</t>
  </si>
  <si>
    <t>Top Words in Tags by Count</t>
  </si>
  <si>
    <t/>
  </si>
  <si>
    <t>Top Words in Tags by Salience</t>
  </si>
  <si>
    <t>Top Word Pairs in Tags by Count</t>
  </si>
  <si>
    <t>Top Word Pairs in Tags by Salience</t>
  </si>
  <si>
    <t>128, 128, 128</t>
  </si>
  <si>
    <t>G1: jimmy kimmel comedy funny live talk late night sketch comedic</t>
  </si>
  <si>
    <t>G2: house moments cuddy dr thirteen hugh laurie wilson foreman cameron</t>
  </si>
  <si>
    <t>G3: doctor mike dr medical varshavski health comments mikhail medicine diet</t>
  </si>
  <si>
    <t>G4: science asapscience asap sleep earth flat life google hiv fair</t>
  </si>
  <si>
    <t>G5: science green hank scishow education learn health cancer psychology acid</t>
  </si>
  <si>
    <t>G6: anti reddit facepalm vegan owned memes people vaxxer fat vaccine</t>
  </si>
  <si>
    <t>G7: vaccine vaccines anti news vaccination science health bbc measles dr</t>
  </si>
  <si>
    <t>G8: news measles vaccine anti vaccination health vaccines vice outbreak vaxxers</t>
  </si>
  <si>
    <t>Edge Weight▓1▓1▓0▓True▓Gray▓Red▓▓Edge Weight▓1▓1▓0▓3▓10▓False▓Edge Weight▓1▓1▓0▓50▓20▓False▓▓0▓0▓0▓True▓Black▓Black▓▓Views▓6867▓10335087▓0▓80▓1000▓False▓▓0▓0▓0▓0▓0▓False▓▓0▓0▓0▓0▓0▓False▓▓0▓0▓0▓0▓0▓False</t>
  </si>
  <si>
    <t>GraphSource░YouTubeVideo▓GraphTerm░Video IDs▓ImportDescription░The graph represents the network of YouTube videos whose title, keywords, description, categories, or author's username contain "NodeXL".  The network was obtained from YouTube on Friday, 26 June 2020 at 10:31 UTC.
The network was limited to 50 videos.
There is an edge for each pair of videos that have the same category.▓ImportSuggestedTitle░YouTube Video IDs ▓ImportSuggestedFileNameNoExtension░2020-06-26 10-31-00 NodeXL YouTube Video IDs ▓GroupingDescription░The graph's vertices were grouped by cluster using the Clauset-Newman-Moore cluster algorithm.▓LayoutAlgorithm░The graph was laid out using the Harel-Koren Fast Multiscale layout algorithm.▓GraphDirectedness░The graph is directed.</t>
  </si>
  <si>
    <t>YouTubeVideo</t>
  </si>
  <si>
    <t>Video IDs</t>
  </si>
  <si>
    <t>The graph represents the network of YouTube videos whose title, keywords, description, categories, or author's username contain "NodeXL".  The network was obtained from YouTube on Friday, 26 June 2020 at 10:31 UTC.
The network was limited to 50 videos.
There is an edge for each pair of videos that have the same category.</t>
  </si>
  <si>
    <t>The graph was laid out using the Harel-Koren Fast Multiscale layout algorithm.</t>
  </si>
  <si>
    <t>The graph's vertices were grouped by cluster using the Clauset-Newman-Moore cluster algorithm.</t>
  </si>
  <si>
    <t>https://nodexlgraphgallery.org/Pages/Graph.aspx?graphID=229924</t>
  </si>
  <si>
    <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</si>
</sst>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8073875"/>
        <c:axId val="52902828"/>
      </c:barChart>
      <c:catAx>
        <c:axId val="580738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02828"/>
        <c:crosses val="autoZero"/>
        <c:auto val="1"/>
        <c:lblOffset val="100"/>
        <c:noMultiLvlLbl val="0"/>
      </c:catAx>
      <c:valAx>
        <c:axId val="52902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73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363405"/>
        <c:axId val="57270646"/>
      </c:barChart>
      <c:catAx>
        <c:axId val="63634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270646"/>
        <c:crosses val="autoZero"/>
        <c:auto val="1"/>
        <c:lblOffset val="100"/>
        <c:noMultiLvlLbl val="0"/>
      </c:catAx>
      <c:valAx>
        <c:axId val="57270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3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5673767"/>
        <c:axId val="8410720"/>
      </c:barChart>
      <c:catAx>
        <c:axId val="45673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410720"/>
        <c:crosses val="autoZero"/>
        <c:auto val="1"/>
        <c:lblOffset val="100"/>
        <c:noMultiLvlLbl val="0"/>
      </c:catAx>
      <c:valAx>
        <c:axId val="8410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73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587617"/>
        <c:axId val="10179690"/>
      </c:barChart>
      <c:catAx>
        <c:axId val="85876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179690"/>
        <c:crosses val="autoZero"/>
        <c:auto val="1"/>
        <c:lblOffset val="100"/>
        <c:noMultiLvlLbl val="0"/>
      </c:catAx>
      <c:valAx>
        <c:axId val="10179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87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508347"/>
        <c:axId val="19248532"/>
      </c:barChart>
      <c:catAx>
        <c:axId val="245083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248532"/>
        <c:crosses val="autoZero"/>
        <c:auto val="1"/>
        <c:lblOffset val="100"/>
        <c:noMultiLvlLbl val="0"/>
      </c:catAx>
      <c:valAx>
        <c:axId val="19248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08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9019061"/>
        <c:axId val="15627230"/>
      </c:barChart>
      <c:catAx>
        <c:axId val="390190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627230"/>
        <c:crosses val="autoZero"/>
        <c:auto val="1"/>
        <c:lblOffset val="100"/>
        <c:noMultiLvlLbl val="0"/>
      </c:catAx>
      <c:valAx>
        <c:axId val="15627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19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427343"/>
        <c:axId val="57846088"/>
      </c:barChart>
      <c:catAx>
        <c:axId val="64273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846088"/>
        <c:crosses val="autoZero"/>
        <c:auto val="1"/>
        <c:lblOffset val="100"/>
        <c:noMultiLvlLbl val="0"/>
      </c:catAx>
      <c:valAx>
        <c:axId val="57846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7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852745"/>
        <c:axId val="55021522"/>
      </c:barChart>
      <c:catAx>
        <c:axId val="508527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021522"/>
        <c:crosses val="autoZero"/>
        <c:auto val="1"/>
        <c:lblOffset val="100"/>
        <c:noMultiLvlLbl val="0"/>
      </c:catAx>
      <c:valAx>
        <c:axId val="55021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52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431651"/>
        <c:axId val="27558268"/>
      </c:barChart>
      <c:catAx>
        <c:axId val="25431651"/>
        <c:scaling>
          <c:orientation val="minMax"/>
        </c:scaling>
        <c:axPos val="b"/>
        <c:delete val="1"/>
        <c:majorTickMark val="out"/>
        <c:minorTickMark val="none"/>
        <c:tickLblPos val="none"/>
        <c:crossAx val="27558268"/>
        <c:crosses val="autoZero"/>
        <c:auto val="1"/>
        <c:lblOffset val="100"/>
        <c:noMultiLvlLbl val="0"/>
      </c:catAx>
      <c:valAx>
        <c:axId val="27558268"/>
        <c:scaling>
          <c:orientation val="minMax"/>
        </c:scaling>
        <c:axPos val="l"/>
        <c:delete val="1"/>
        <c:majorTickMark val="out"/>
        <c:minorTickMark val="none"/>
        <c:tickLblPos val="none"/>
        <c:crossAx val="254316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A452" totalsRowShown="0" headerRowDxfId="219" dataDxfId="183">
  <autoFilter ref="A2:AA452"/>
  <tableColumns count="27">
    <tableColumn id="1" name="Vertex 1" dataDxfId="168"/>
    <tableColumn id="2" name="Vertex 2" dataDxfId="166"/>
    <tableColumn id="3" name="Color" dataDxfId="167"/>
    <tableColumn id="4" name="Width" dataDxfId="192"/>
    <tableColumn id="11" name="Style" dataDxfId="191"/>
    <tableColumn id="5" name="Opacity" dataDxfId="190"/>
    <tableColumn id="6" name="Visibility" dataDxfId="189"/>
    <tableColumn id="10" name="Label" dataDxfId="188"/>
    <tableColumn id="12" name="Label Text Color" dataDxfId="187"/>
    <tableColumn id="13" name="Label Font Size" dataDxfId="186"/>
    <tableColumn id="14" name="Reciprocated?" dataDxfId="123"/>
    <tableColumn id="7" name="ID" dataDxfId="185"/>
    <tableColumn id="9" name="Dynamic Filter" dataDxfId="184"/>
    <tableColumn id="8" name="Add Your Own Columns Here" dataDxfId="165"/>
    <tableColumn id="15" name="Relationship" dataDxfId="164"/>
    <tableColumn id="16" name="Edge Weight"/>
    <tableColumn id="17" name="Vertex 1 Group" dataDxfId="138">
      <calculatedColumnFormula>REPLACE(INDEX(GroupVertices[Group], MATCH(Edges[[#This Row],[Vertex 1]],GroupVertices[Vertex],0)),1,1,"")</calculatedColumnFormula>
    </tableColumn>
    <tableColumn id="18" name="Vertex 2 Group" dataDxfId="99">
      <calculatedColumnFormula>REPLACE(INDEX(GroupVertices[Group], MATCH(Edges[[#This Row],[Vertex 2]],GroupVertices[Vertex],0)),1,1,"")</calculatedColumnFormula>
    </tableColumn>
    <tableColumn id="19" name="Sentiment List #1: List1 Word Count" dataDxfId="98"/>
    <tableColumn id="20" name="Sentiment List #1: List1 Word Percentage (%)" dataDxfId="97"/>
    <tableColumn id="21" name="Sentiment List #2: List2 Word Count" dataDxfId="96"/>
    <tableColumn id="22" name="Sentiment List #2: List2 Word Percentage (%)" dataDxfId="95"/>
    <tableColumn id="23" name="Sentiment List #3: List3 Word Count" dataDxfId="94"/>
    <tableColumn id="24" name="Sentiment List #3: List3 Word Percentage (%)" dataDxfId="93"/>
    <tableColumn id="25" name="Non-categorized Word Count" dataDxfId="92"/>
    <tableColumn id="26" name="Non-categorized Word Percentage (%)" dataDxfId="91"/>
    <tableColumn id="27" name="Edge Content Word Count" dataDxfId="9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63" totalsRowShown="0" headerRowDxfId="122" dataDxfId="121">
  <autoFilter ref="A1:G2663"/>
  <tableColumns count="7">
    <tableColumn id="1" name="Word" dataDxfId="120"/>
    <tableColumn id="2" name="Count" dataDxfId="119"/>
    <tableColumn id="3" name="Salience" dataDxfId="118"/>
    <tableColumn id="4" name="Group" dataDxfId="117"/>
    <tableColumn id="5" name="Word on Sentiment List #1: List1" dataDxfId="116"/>
    <tableColumn id="6" name="Word on Sentiment List #2: List2" dataDxfId="115"/>
    <tableColumn id="7" name="Word on Sentiment List #3: List3" dataDxfId="11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48" totalsRowShown="0" headerRowDxfId="113" dataDxfId="112">
  <autoFilter ref="A1:L2048"/>
  <tableColumns count="12">
    <tableColumn id="1" name="Word 1" dataDxfId="111"/>
    <tableColumn id="2" name="Word 2" dataDxfId="110"/>
    <tableColumn id="3" name="Count" dataDxfId="109"/>
    <tableColumn id="4" name="Salience" dataDxfId="108"/>
    <tableColumn id="5" name="Mutual Information" dataDxfId="107"/>
    <tableColumn id="6" name="Group" dataDxfId="106"/>
    <tableColumn id="7" name="Word1 on Sentiment List #1: List1" dataDxfId="105"/>
    <tableColumn id="8" name="Word1 on Sentiment List #2: List2" dataDxfId="104"/>
    <tableColumn id="9" name="Word1 on Sentiment List #3: List3" dataDxfId="103"/>
    <tableColumn id="10" name="Word2 on Sentiment List #1: List1" dataDxfId="102"/>
    <tableColumn id="11" name="Word2 on Sentiment List #2: List2" dataDxfId="101"/>
    <tableColumn id="12" name="Word2 on Sentiment List #3: List3" dataDxfId="10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48" totalsRowShown="0" headerRowDxfId="71" dataDxfId="70">
  <autoFilter ref="A2:C48"/>
  <tableColumns count="3">
    <tableColumn id="1" name="Group 1" dataDxfId="69"/>
    <tableColumn id="2" name="Group 2" dataDxfId="68"/>
    <tableColumn id="3" name="Edges" dataDxfId="67"/>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64" dataDxfId="63">
  <autoFilter ref="A1:B7"/>
  <tableColumns count="2">
    <tableColumn id="1" name="Key" dataDxfId="49"/>
    <tableColumn id="2" name="Value" dataDxfId="48"/>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53" dataDxfId="52">
  <autoFilter ref="A1:B11"/>
  <tableColumns count="2">
    <tableColumn id="1" name="Top 10 Vertices, Ranked by Betweenness Centrality" dataDxfId="51"/>
    <tableColumn id="2" name="Betweenness Centrality" dataDxfId="50"/>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R11" totalsRowShown="0" headerRowDxfId="47" dataDxfId="46">
  <autoFilter ref="A1:R11"/>
  <tableColumns count="18">
    <tableColumn id="1" name="Top Words in Tags in Entire Graph" dataDxfId="45"/>
    <tableColumn id="2" name="Entire Graph Count" dataDxfId="44"/>
    <tableColumn id="3" name="Top Words in Tags in G1" dataDxfId="43"/>
    <tableColumn id="4" name="G1 Count" dataDxfId="42"/>
    <tableColumn id="5" name="Top Words in Tags in G2" dataDxfId="41"/>
    <tableColumn id="6" name="G2 Count" dataDxfId="40"/>
    <tableColumn id="7" name="Top Words in Tags in G3" dataDxfId="39"/>
    <tableColumn id="8" name="G3 Count" dataDxfId="38"/>
    <tableColumn id="9" name="Top Words in Tags in G4" dataDxfId="37"/>
    <tableColumn id="10" name="G4 Count" dataDxfId="36"/>
    <tableColumn id="11" name="Top Words in Tags in G5" dataDxfId="35"/>
    <tableColumn id="12" name="G5 Count" dataDxfId="34"/>
    <tableColumn id="13" name="Top Words in Tags in G6" dataDxfId="33"/>
    <tableColumn id="14" name="G6 Count" dataDxfId="32"/>
    <tableColumn id="15" name="Top Words in Tags in G7" dataDxfId="31"/>
    <tableColumn id="16" name="G7 Count" dataDxfId="30"/>
    <tableColumn id="17" name="Top Words in Tags in G8" dataDxfId="29"/>
    <tableColumn id="18" name="G8 Count" dataDxfId="28"/>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R24" totalsRowShown="0" headerRowDxfId="26" dataDxfId="25">
  <autoFilter ref="A14:R24"/>
  <tableColumns count="18">
    <tableColumn id="1" name="Top Word Pairs in Tags in Entire Graph" dataDxfId="24"/>
    <tableColumn id="2" name="Entire Graph Count" dataDxfId="23"/>
    <tableColumn id="3" name="Top Word Pairs in Tags in G1" dataDxfId="22"/>
    <tableColumn id="4" name="G1 Count" dataDxfId="21"/>
    <tableColumn id="5" name="Top Word Pairs in Tags in G2" dataDxfId="20"/>
    <tableColumn id="6" name="G2 Count" dataDxfId="19"/>
    <tableColumn id="7" name="Top Word Pairs in Tags in G3" dataDxfId="18"/>
    <tableColumn id="8" name="G3 Count" dataDxfId="17"/>
    <tableColumn id="9" name="Top Word Pairs in Tags in G4" dataDxfId="16"/>
    <tableColumn id="10" name="G4 Count" dataDxfId="15"/>
    <tableColumn id="11" name="Top Word Pairs in Tags in G5" dataDxfId="14"/>
    <tableColumn id="12" name="G5 Count" dataDxfId="13"/>
    <tableColumn id="13" name="Top Word Pairs in Tags in G6" dataDxfId="12"/>
    <tableColumn id="14" name="G6 Count" dataDxfId="11"/>
    <tableColumn id="15" name="Top Word Pairs in Tags in G7" dataDxfId="10"/>
    <tableColumn id="16" name="G7 Count" dataDxfId="9"/>
    <tableColumn id="17" name="Top Word Pairs in Tags in G8" dataDxfId="8"/>
    <tableColumn id="18" name="G8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333" totalsRowShown="0" headerRowDxfId="218" dataDxfId="169">
  <autoFilter ref="A2:BB333"/>
  <tableColumns count="54">
    <tableColumn id="1" name="Vertex" dataDxfId="182"/>
    <tableColumn id="2" name="Color" dataDxfId="181"/>
    <tableColumn id="5" name="Shape" dataDxfId="180"/>
    <tableColumn id="6" name="Size" dataDxfId="179"/>
    <tableColumn id="4" name="Opacity" dataDxfId="151"/>
    <tableColumn id="7" name="Image File" dataDxfId="149"/>
    <tableColumn id="3" name="Visibility" dataDxfId="150"/>
    <tableColumn id="10" name="Label" dataDxfId="178"/>
    <tableColumn id="16" name="Label Fill Color" dataDxfId="177"/>
    <tableColumn id="9" name="Label Position" dataDxfId="163"/>
    <tableColumn id="8" name="Tooltip" dataDxfId="161"/>
    <tableColumn id="18" name="Layout Order" dataDxfId="162"/>
    <tableColumn id="13" name="X" dataDxfId="176"/>
    <tableColumn id="14" name="Y" dataDxfId="175"/>
    <tableColumn id="12" name="Locked?" dataDxfId="174"/>
    <tableColumn id="19" name="Polar R" dataDxfId="173"/>
    <tableColumn id="20" name="Polar Angle" dataDxfId="172"/>
    <tableColumn id="21" name="Degree" dataDxfId="60"/>
    <tableColumn id="22" name="In-Degree" dataDxfId="59"/>
    <tableColumn id="23" name="Out-Degree" dataDxfId="57"/>
    <tableColumn id="24" name="Betweenness Centrality" dataDxfId="58"/>
    <tableColumn id="25" name="Closeness Centrality" dataDxfId="62"/>
    <tableColumn id="26" name="Eigenvector Centrality" dataDxfId="61"/>
    <tableColumn id="15" name="PageRank" dataDxfId="56"/>
    <tableColumn id="27" name="Clustering Coefficient" dataDxfId="54"/>
    <tableColumn id="29" name="Reciprocated Vertex Pair Ratio" dataDxfId="55"/>
    <tableColumn id="11" name="ID" dataDxfId="171"/>
    <tableColumn id="28" name="Dynamic Filter" dataDxfId="170"/>
    <tableColumn id="17" name="Add Your Own Columns Here" dataDxfId="160"/>
    <tableColumn id="30" name="Title" dataDxfId="159"/>
    <tableColumn id="31" name="Description" dataDxfId="158"/>
    <tableColumn id="32" name="Tags" dataDxfId="157"/>
    <tableColumn id="33" name="Author" dataDxfId="156"/>
    <tableColumn id="34" name="Created Date (UTC)" dataDxfId="155"/>
    <tableColumn id="35" name="Views" dataDxfId="154"/>
    <tableColumn id="36" name="Comments" dataDxfId="153"/>
    <tableColumn id="37" name="Likes Count" dataDxfId="152"/>
    <tableColumn id="38" name="Dislikes Count" dataDxfId="148"/>
    <tableColumn id="39" name="Custom Menu Item Text" dataDxfId="147"/>
    <tableColumn id="40" name="Custom Menu Item Action" dataDxfId="139"/>
    <tableColumn id="41" name="Vertex Group" dataDxfId="89">
      <calculatedColumnFormula>REPLACE(INDEX(GroupVertices[Group], MATCH(Vertices[[#This Row],[Vertex]],GroupVertices[Vertex],0)),1,1,"")</calculatedColumnFormula>
    </tableColumn>
    <tableColumn id="42" name="Sentiment List #1: List1 Word Count" dataDxfId="88"/>
    <tableColumn id="43" name="Sentiment List #1: List1 Word Percentage (%)" dataDxfId="87"/>
    <tableColumn id="44" name="Sentiment List #2: List2 Word Count" dataDxfId="86"/>
    <tableColumn id="45" name="Sentiment List #2: List2 Word Percentage (%)" dataDxfId="85"/>
    <tableColumn id="46" name="Sentiment List #3: List3 Word Count" dataDxfId="84"/>
    <tableColumn id="47" name="Sentiment List #3: List3 Word Percentage (%)" dataDxfId="83"/>
    <tableColumn id="48" name="Non-categorized Word Count" dataDxfId="82"/>
    <tableColumn id="49" name="Non-categorized Word Percentage (%)" dataDxfId="81"/>
    <tableColumn id="50" name="Vertex Content Word Count" dataDxfId="4"/>
    <tableColumn id="51" name="Top Words in Tags by Count" dataDxfId="3"/>
    <tableColumn id="52" name="Top Words in Tags by Salience" dataDxfId="2"/>
    <tableColumn id="53" name="Top Word Pairs in Tags by Count" dataDxfId="1"/>
    <tableColumn id="54" name="Top Word Pairs in Tags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0" totalsRowShown="0" headerRowDxfId="217">
  <autoFilter ref="A2:AI10"/>
  <tableColumns count="35">
    <tableColumn id="1" name="Group" dataDxfId="146"/>
    <tableColumn id="2" name="Vertex Color" dataDxfId="145"/>
    <tableColumn id="3" name="Vertex Shape" dataDxfId="143"/>
    <tableColumn id="22" name="Visibility" dataDxfId="144"/>
    <tableColumn id="4" name="Collapsed?"/>
    <tableColumn id="18" name="Label" dataDxfId="216"/>
    <tableColumn id="20" name="Collapsed X"/>
    <tableColumn id="21" name="Collapsed Y"/>
    <tableColumn id="6" name="ID" dataDxfId="215"/>
    <tableColumn id="19" name="Collapsed Properties" dataDxfId="137"/>
    <tableColumn id="5" name="Vertices" dataDxfId="136"/>
    <tableColumn id="7" name="Unique Edges" dataDxfId="135"/>
    <tableColumn id="8" name="Edges With Duplicates" dataDxfId="134"/>
    <tableColumn id="9" name="Total Edges" dataDxfId="133"/>
    <tableColumn id="10" name="Self-Loops" dataDxfId="132"/>
    <tableColumn id="24" name="Reciprocated Vertex Pair Ratio" dataDxfId="131"/>
    <tableColumn id="25" name="Reciprocated Edge Ratio" dataDxfId="130"/>
    <tableColumn id="11" name="Connected Components" dataDxfId="129"/>
    <tableColumn id="12" name="Single-Vertex Connected Components" dataDxfId="128"/>
    <tableColumn id="13" name="Maximum Vertices in a Connected Component" dataDxfId="127"/>
    <tableColumn id="14" name="Maximum Edges in a Connected Component" dataDxfId="126"/>
    <tableColumn id="15" name="Maximum Geodesic Distance (Diameter)" dataDxfId="125"/>
    <tableColumn id="16" name="Average Geodesic Distance" dataDxfId="124"/>
    <tableColumn id="17" name="Graph Density" dataDxfId="80"/>
    <tableColumn id="23" name="Sentiment List #1: List1 Word Count" dataDxfId="79"/>
    <tableColumn id="26" name="Sentiment List #1: List1 Word Percentage (%)" dataDxfId="78"/>
    <tableColumn id="27" name="Sentiment List #2: List2 Word Count" dataDxfId="77"/>
    <tableColumn id="28" name="Sentiment List #2: List2 Word Percentage (%)" dataDxfId="76"/>
    <tableColumn id="29" name="Sentiment List #3: List3 Word Count" dataDxfId="75"/>
    <tableColumn id="30" name="Sentiment List #3: List3 Word Percentage (%)" dataDxfId="74"/>
    <tableColumn id="31" name="Non-categorized Word Count" dataDxfId="73"/>
    <tableColumn id="32" name="Non-categorized Word Percentage (%)" dataDxfId="72"/>
    <tableColumn id="33" name="Group Content Word Count" dataDxfId="27"/>
    <tableColumn id="34" name="Top Words in Tags" dataDxfId="6"/>
    <tableColumn id="35" name="Top Word Pairs in Tag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2" totalsRowShown="0" headerRowDxfId="214" dataDxfId="213">
  <autoFilter ref="A1:C332"/>
  <tableColumns count="3">
    <tableColumn id="1" name="Group" dataDxfId="142"/>
    <tableColumn id="2" name="Vertex" dataDxfId="141"/>
    <tableColumn id="3" name="Vertex ID" dataDxfId="1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66"/>
    <tableColumn id="2" name="Value" dataDxfId="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12"/>
    <tableColumn id="2" name="Degree Frequency" dataDxfId="211">
      <calculatedColumnFormula>COUNTIF(Vertices[Degree], "&gt;= " &amp; D2) - COUNTIF(Vertices[Degree], "&gt;=" &amp; D3)</calculatedColumnFormula>
    </tableColumn>
    <tableColumn id="3" name="In-Degree Bin" dataDxfId="210"/>
    <tableColumn id="4" name="In-Degree Frequency" dataDxfId="209">
      <calculatedColumnFormula>COUNTIF(Vertices[In-Degree], "&gt;= " &amp; F2) - COUNTIF(Vertices[In-Degree], "&gt;=" &amp; F3)</calculatedColumnFormula>
    </tableColumn>
    <tableColumn id="5" name="Out-Degree Bin" dataDxfId="208"/>
    <tableColumn id="6" name="Out-Degree Frequency" dataDxfId="207">
      <calculatedColumnFormula>COUNTIF(Vertices[Out-Degree], "&gt;= " &amp; H2) - COUNTIF(Vertices[Out-Degree], "&gt;=" &amp; H3)</calculatedColumnFormula>
    </tableColumn>
    <tableColumn id="7" name="Betweenness Centrality Bin" dataDxfId="206"/>
    <tableColumn id="8" name="Betweenness Centrality Frequency" dataDxfId="205">
      <calculatedColumnFormula>COUNTIF(Vertices[Betweenness Centrality], "&gt;= " &amp; J2) - COUNTIF(Vertices[Betweenness Centrality], "&gt;=" &amp; J3)</calculatedColumnFormula>
    </tableColumn>
    <tableColumn id="9" name="Closeness Centrality Bin" dataDxfId="204"/>
    <tableColumn id="10" name="Closeness Centrality Frequency" dataDxfId="203">
      <calculatedColumnFormula>COUNTIF(Vertices[Closeness Centrality], "&gt;= " &amp; L2) - COUNTIF(Vertices[Closeness Centrality], "&gt;=" &amp; L3)</calculatedColumnFormula>
    </tableColumn>
    <tableColumn id="11" name="Eigenvector Centrality Bin" dataDxfId="202"/>
    <tableColumn id="12" name="Eigenvector Centrality Frequency" dataDxfId="201">
      <calculatedColumnFormula>COUNTIF(Vertices[Eigenvector Centrality], "&gt;= " &amp; N2) - COUNTIF(Vertices[Eigenvector Centrality], "&gt;=" &amp; N3)</calculatedColumnFormula>
    </tableColumn>
    <tableColumn id="18" name="PageRank Bin" dataDxfId="200"/>
    <tableColumn id="17" name="PageRank Frequency" dataDxfId="199">
      <calculatedColumnFormula>COUNTIF(Vertices[Eigenvector Centrality], "&gt;= " &amp; P2) - COUNTIF(Vertices[Eigenvector Centrality], "&gt;=" &amp; P3)</calculatedColumnFormula>
    </tableColumn>
    <tableColumn id="13" name="Clustering Coefficient Bin" dataDxfId="198"/>
    <tableColumn id="14" name="Clustering Coefficient Frequency" dataDxfId="197">
      <calculatedColumnFormula>COUNTIF(Vertices[Clustering Coefficient], "&gt;= " &amp; R2) - COUNTIF(Vertices[Clustering Coefficient], "&gt;=" &amp; R3)</calculatedColumnFormula>
    </tableColumn>
    <tableColumn id="15" name="Dynamic Filter Bin" dataDxfId="196"/>
    <tableColumn id="16" name="Dynamic Filter Frequency" dataDxfId="1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0" totalsRowShown="0" headerRowDxfId="194">
  <autoFilter ref="J1:K8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52"/>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customWidth="1"/>
    <col min="17" max="18" width="11.140625" style="0" bestFit="1" customWidth="1"/>
    <col min="19" max="19" width="19.7109375" style="0" bestFit="1" customWidth="1"/>
    <col min="20" max="20" width="24.28125" style="0" bestFit="1" customWidth="1"/>
    <col min="21" max="21" width="19.7109375" style="0" bestFit="1" customWidth="1"/>
    <col min="22" max="22" width="24.28125" style="0" bestFit="1" customWidth="1"/>
    <col min="23" max="23" width="19.7109375" style="0" bestFit="1" customWidth="1"/>
    <col min="24" max="24" width="24.28125" style="0" bestFit="1" customWidth="1"/>
    <col min="25" max="25" width="18.57421875" style="0" bestFit="1" customWidth="1"/>
    <col min="26" max="26" width="22.28125" style="0" bestFit="1" customWidth="1"/>
    <col min="27" max="27" width="15.7109375" style="0" bestFit="1" customWidth="1"/>
  </cols>
  <sheetData>
    <row r="1" spans="3:14" ht="15">
      <c r="C1" s="16" t="s">
        <v>39</v>
      </c>
      <c r="D1" s="17"/>
      <c r="E1" s="17"/>
      <c r="F1" s="17"/>
      <c r="G1" s="16"/>
      <c r="H1" s="14" t="s">
        <v>43</v>
      </c>
      <c r="I1" s="50"/>
      <c r="J1" s="50"/>
      <c r="K1" s="33" t="s">
        <v>42</v>
      </c>
      <c r="L1" s="18" t="s">
        <v>40</v>
      </c>
      <c r="M1" s="18"/>
      <c r="N1" s="15" t="s">
        <v>41</v>
      </c>
    </row>
    <row r="2" spans="1:2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321</v>
      </c>
      <c r="P2" t="s">
        <v>2048</v>
      </c>
      <c r="Q2" s="13" t="s">
        <v>2066</v>
      </c>
      <c r="R2" s="13" t="s">
        <v>2067</v>
      </c>
      <c r="S2" s="52" t="s">
        <v>3327</v>
      </c>
      <c r="T2" s="52" t="s">
        <v>3328</v>
      </c>
      <c r="U2" s="52" t="s">
        <v>3329</v>
      </c>
      <c r="V2" s="52" t="s">
        <v>3330</v>
      </c>
      <c r="W2" s="52" t="s">
        <v>3331</v>
      </c>
      <c r="X2" s="52" t="s">
        <v>3332</v>
      </c>
      <c r="Y2" s="52" t="s">
        <v>3333</v>
      </c>
      <c r="Z2" s="52" t="s">
        <v>3334</v>
      </c>
      <c r="AA2" s="52" t="s">
        <v>3335</v>
      </c>
    </row>
    <row r="3" spans="1:27" ht="15" customHeight="1">
      <c r="A3" s="66" t="s">
        <v>322</v>
      </c>
      <c r="B3" s="66" t="s">
        <v>652</v>
      </c>
      <c r="C3" s="67" t="s">
        <v>3495</v>
      </c>
      <c r="D3" s="68">
        <v>3</v>
      </c>
      <c r="E3" s="69"/>
      <c r="F3" s="70">
        <v>50</v>
      </c>
      <c r="G3" s="67"/>
      <c r="H3" s="71"/>
      <c r="I3" s="72"/>
      <c r="J3" s="72"/>
      <c r="K3" s="34" t="s">
        <v>65</v>
      </c>
      <c r="L3" s="73">
        <v>3</v>
      </c>
      <c r="M3" s="73"/>
      <c r="N3" s="74"/>
      <c r="O3" s="80" t="s">
        <v>653</v>
      </c>
      <c r="P3">
        <v>1</v>
      </c>
      <c r="Q3" s="80" t="str">
        <f>REPLACE(INDEX(GroupVertices[Group],MATCH(Edges[[#This Row],[Vertex 1]],GroupVertices[Vertex],0)),1,1,"")</f>
        <v>3</v>
      </c>
      <c r="R3" s="80" t="str">
        <f>REPLACE(INDEX(GroupVertices[Group],MATCH(Edges[[#This Row],[Vertex 2]],GroupVertices[Vertex],0)),1,1,"")</f>
        <v>3</v>
      </c>
      <c r="S3" s="34"/>
      <c r="T3" s="34"/>
      <c r="U3" s="34"/>
      <c r="V3" s="34"/>
      <c r="W3" s="34"/>
      <c r="X3" s="34"/>
      <c r="Y3" s="34"/>
      <c r="Z3" s="34"/>
      <c r="AA3" s="34"/>
    </row>
    <row r="4" spans="1:27" ht="15" customHeight="1">
      <c r="A4" s="66" t="s">
        <v>322</v>
      </c>
      <c r="B4" s="66" t="s">
        <v>331</v>
      </c>
      <c r="C4" s="67" t="s">
        <v>3495</v>
      </c>
      <c r="D4" s="68">
        <v>3</v>
      </c>
      <c r="E4" s="69"/>
      <c r="F4" s="70">
        <v>50</v>
      </c>
      <c r="G4" s="67"/>
      <c r="H4" s="71"/>
      <c r="I4" s="72"/>
      <c r="J4" s="72"/>
      <c r="K4" s="34" t="s">
        <v>65</v>
      </c>
      <c r="L4" s="79">
        <v>4</v>
      </c>
      <c r="M4" s="79"/>
      <c r="N4" s="74"/>
      <c r="O4" s="81" t="s">
        <v>653</v>
      </c>
      <c r="P4">
        <v>1</v>
      </c>
      <c r="Q4" s="80" t="str">
        <f>REPLACE(INDEX(GroupVertices[Group],MATCH(Edges[[#This Row],[Vertex 1]],GroupVertices[Vertex],0)),1,1,"")</f>
        <v>3</v>
      </c>
      <c r="R4" s="80" t="str">
        <f>REPLACE(INDEX(GroupVertices[Group],MATCH(Edges[[#This Row],[Vertex 2]],GroupVertices[Vertex],0)),1,1,"")</f>
        <v>3</v>
      </c>
      <c r="S4" s="34"/>
      <c r="T4" s="34"/>
      <c r="U4" s="34"/>
      <c r="V4" s="34"/>
      <c r="W4" s="34"/>
      <c r="X4" s="34"/>
      <c r="Y4" s="34"/>
      <c r="Z4" s="34"/>
      <c r="AA4" s="34"/>
    </row>
    <row r="5" spans="1:27" ht="15">
      <c r="A5" s="66" t="s">
        <v>322</v>
      </c>
      <c r="B5" s="66" t="s">
        <v>332</v>
      </c>
      <c r="C5" s="67" t="s">
        <v>3495</v>
      </c>
      <c r="D5" s="68">
        <v>3</v>
      </c>
      <c r="E5" s="69"/>
      <c r="F5" s="70">
        <v>50</v>
      </c>
      <c r="G5" s="67"/>
      <c r="H5" s="71"/>
      <c r="I5" s="72"/>
      <c r="J5" s="72"/>
      <c r="K5" s="34" t="s">
        <v>65</v>
      </c>
      <c r="L5" s="79">
        <v>5</v>
      </c>
      <c r="M5" s="79"/>
      <c r="N5" s="74"/>
      <c r="O5" s="81" t="s">
        <v>653</v>
      </c>
      <c r="P5">
        <v>1</v>
      </c>
      <c r="Q5" s="80" t="str">
        <f>REPLACE(INDEX(GroupVertices[Group],MATCH(Edges[[#This Row],[Vertex 1]],GroupVertices[Vertex],0)),1,1,"")</f>
        <v>3</v>
      </c>
      <c r="R5" s="80" t="str">
        <f>REPLACE(INDEX(GroupVertices[Group],MATCH(Edges[[#This Row],[Vertex 2]],GroupVertices[Vertex],0)),1,1,"")</f>
        <v>3</v>
      </c>
      <c r="S5" s="34"/>
      <c r="T5" s="34"/>
      <c r="U5" s="34"/>
      <c r="V5" s="34"/>
      <c r="W5" s="34"/>
      <c r="X5" s="34"/>
      <c r="Y5" s="34"/>
      <c r="Z5" s="34"/>
      <c r="AA5" s="34"/>
    </row>
    <row r="6" spans="1:27" ht="15">
      <c r="A6" s="66" t="s">
        <v>322</v>
      </c>
      <c r="B6" s="66" t="s">
        <v>333</v>
      </c>
      <c r="C6" s="67" t="s">
        <v>3495</v>
      </c>
      <c r="D6" s="68">
        <v>3</v>
      </c>
      <c r="E6" s="69"/>
      <c r="F6" s="70">
        <v>50</v>
      </c>
      <c r="G6" s="67"/>
      <c r="H6" s="71"/>
      <c r="I6" s="72"/>
      <c r="J6" s="72"/>
      <c r="K6" s="34" t="s">
        <v>65</v>
      </c>
      <c r="L6" s="79">
        <v>6</v>
      </c>
      <c r="M6" s="79"/>
      <c r="N6" s="74"/>
      <c r="O6" s="81" t="s">
        <v>653</v>
      </c>
      <c r="P6">
        <v>1</v>
      </c>
      <c r="Q6" s="80" t="str">
        <f>REPLACE(INDEX(GroupVertices[Group],MATCH(Edges[[#This Row],[Vertex 1]],GroupVertices[Vertex],0)),1,1,"")</f>
        <v>3</v>
      </c>
      <c r="R6" s="80" t="str">
        <f>REPLACE(INDEX(GroupVertices[Group],MATCH(Edges[[#This Row],[Vertex 2]],GroupVertices[Vertex],0)),1,1,"")</f>
        <v>3</v>
      </c>
      <c r="S6" s="34"/>
      <c r="T6" s="34"/>
      <c r="U6" s="34"/>
      <c r="V6" s="34"/>
      <c r="W6" s="34"/>
      <c r="X6" s="34"/>
      <c r="Y6" s="34"/>
      <c r="Z6" s="34"/>
      <c r="AA6" s="34"/>
    </row>
    <row r="7" spans="1:27" ht="15">
      <c r="A7" s="66" t="s">
        <v>322</v>
      </c>
      <c r="B7" s="66" t="s">
        <v>334</v>
      </c>
      <c r="C7" s="67" t="s">
        <v>3495</v>
      </c>
      <c r="D7" s="68">
        <v>3</v>
      </c>
      <c r="E7" s="69"/>
      <c r="F7" s="70">
        <v>50</v>
      </c>
      <c r="G7" s="67"/>
      <c r="H7" s="71"/>
      <c r="I7" s="72"/>
      <c r="J7" s="72"/>
      <c r="K7" s="34" t="s">
        <v>65</v>
      </c>
      <c r="L7" s="79">
        <v>7</v>
      </c>
      <c r="M7" s="79"/>
      <c r="N7" s="74"/>
      <c r="O7" s="81" t="s">
        <v>653</v>
      </c>
      <c r="P7">
        <v>1</v>
      </c>
      <c r="Q7" s="80" t="str">
        <f>REPLACE(INDEX(GroupVertices[Group],MATCH(Edges[[#This Row],[Vertex 1]],GroupVertices[Vertex],0)),1,1,"")</f>
        <v>3</v>
      </c>
      <c r="R7" s="80" t="str">
        <f>REPLACE(INDEX(GroupVertices[Group],MATCH(Edges[[#This Row],[Vertex 2]],GroupVertices[Vertex],0)),1,1,"")</f>
        <v>3</v>
      </c>
      <c r="S7" s="34"/>
      <c r="T7" s="34"/>
      <c r="U7" s="34"/>
      <c r="V7" s="34"/>
      <c r="W7" s="34"/>
      <c r="X7" s="34"/>
      <c r="Y7" s="34"/>
      <c r="Z7" s="34"/>
      <c r="AA7" s="34"/>
    </row>
    <row r="8" spans="1:27" ht="15">
      <c r="A8" s="66" t="s">
        <v>322</v>
      </c>
      <c r="B8" s="66" t="s">
        <v>335</v>
      </c>
      <c r="C8" s="67" t="s">
        <v>3495</v>
      </c>
      <c r="D8" s="68">
        <v>3</v>
      </c>
      <c r="E8" s="69"/>
      <c r="F8" s="70">
        <v>50</v>
      </c>
      <c r="G8" s="67"/>
      <c r="H8" s="71"/>
      <c r="I8" s="72"/>
      <c r="J8" s="72"/>
      <c r="K8" s="34" t="s">
        <v>65</v>
      </c>
      <c r="L8" s="79">
        <v>8</v>
      </c>
      <c r="M8" s="79"/>
      <c r="N8" s="74"/>
      <c r="O8" s="81" t="s">
        <v>653</v>
      </c>
      <c r="P8">
        <v>1</v>
      </c>
      <c r="Q8" s="80" t="str">
        <f>REPLACE(INDEX(GroupVertices[Group],MATCH(Edges[[#This Row],[Vertex 1]],GroupVertices[Vertex],0)),1,1,"")</f>
        <v>3</v>
      </c>
      <c r="R8" s="80" t="str">
        <f>REPLACE(INDEX(GroupVertices[Group],MATCH(Edges[[#This Row],[Vertex 2]],GroupVertices[Vertex],0)),1,1,"")</f>
        <v>3</v>
      </c>
      <c r="S8" s="34"/>
      <c r="T8" s="34"/>
      <c r="U8" s="34"/>
      <c r="V8" s="34"/>
      <c r="W8" s="34"/>
      <c r="X8" s="34"/>
      <c r="Y8" s="34"/>
      <c r="Z8" s="34"/>
      <c r="AA8" s="34"/>
    </row>
    <row r="9" spans="1:27" ht="15">
      <c r="A9" s="66" t="s">
        <v>322</v>
      </c>
      <c r="B9" s="66" t="s">
        <v>336</v>
      </c>
      <c r="C9" s="67" t="s">
        <v>3495</v>
      </c>
      <c r="D9" s="68">
        <v>3</v>
      </c>
      <c r="E9" s="69"/>
      <c r="F9" s="70">
        <v>50</v>
      </c>
      <c r="G9" s="67"/>
      <c r="H9" s="71"/>
      <c r="I9" s="72"/>
      <c r="J9" s="72"/>
      <c r="K9" s="34" t="s">
        <v>65</v>
      </c>
      <c r="L9" s="79">
        <v>9</v>
      </c>
      <c r="M9" s="79"/>
      <c r="N9" s="74"/>
      <c r="O9" s="81" t="s">
        <v>653</v>
      </c>
      <c r="P9">
        <v>1</v>
      </c>
      <c r="Q9" s="80" t="str">
        <f>REPLACE(INDEX(GroupVertices[Group],MATCH(Edges[[#This Row],[Vertex 1]],GroupVertices[Vertex],0)),1,1,"")</f>
        <v>3</v>
      </c>
      <c r="R9" s="80" t="str">
        <f>REPLACE(INDEX(GroupVertices[Group],MATCH(Edges[[#This Row],[Vertex 2]],GroupVertices[Vertex],0)),1,1,"")</f>
        <v>3</v>
      </c>
      <c r="S9" s="34"/>
      <c r="T9" s="34"/>
      <c r="U9" s="34"/>
      <c r="V9" s="34"/>
      <c r="W9" s="34"/>
      <c r="X9" s="34"/>
      <c r="Y9" s="34"/>
      <c r="Z9" s="34"/>
      <c r="AA9" s="34"/>
    </row>
    <row r="10" spans="1:27" ht="15">
      <c r="A10" s="66" t="s">
        <v>322</v>
      </c>
      <c r="B10" s="66" t="s">
        <v>337</v>
      </c>
      <c r="C10" s="67" t="s">
        <v>3495</v>
      </c>
      <c r="D10" s="68">
        <v>3</v>
      </c>
      <c r="E10" s="69"/>
      <c r="F10" s="70">
        <v>50</v>
      </c>
      <c r="G10" s="67"/>
      <c r="H10" s="71"/>
      <c r="I10" s="72"/>
      <c r="J10" s="72"/>
      <c r="K10" s="34" t="s">
        <v>65</v>
      </c>
      <c r="L10" s="79">
        <v>10</v>
      </c>
      <c r="M10" s="79"/>
      <c r="N10" s="74"/>
      <c r="O10" s="81" t="s">
        <v>653</v>
      </c>
      <c r="P10">
        <v>1</v>
      </c>
      <c r="Q10" s="80" t="str">
        <f>REPLACE(INDEX(GroupVertices[Group],MATCH(Edges[[#This Row],[Vertex 1]],GroupVertices[Vertex],0)),1,1,"")</f>
        <v>3</v>
      </c>
      <c r="R10" s="80" t="str">
        <f>REPLACE(INDEX(GroupVertices[Group],MATCH(Edges[[#This Row],[Vertex 2]],GroupVertices[Vertex],0)),1,1,"")</f>
        <v>3</v>
      </c>
      <c r="S10" s="34"/>
      <c r="T10" s="34"/>
      <c r="U10" s="34"/>
      <c r="V10" s="34"/>
      <c r="W10" s="34"/>
      <c r="X10" s="34"/>
      <c r="Y10" s="34"/>
      <c r="Z10" s="34"/>
      <c r="AA10" s="34"/>
    </row>
    <row r="11" spans="1:27" ht="15">
      <c r="A11" s="66" t="s">
        <v>322</v>
      </c>
      <c r="B11" s="66" t="s">
        <v>338</v>
      </c>
      <c r="C11" s="67" t="s">
        <v>3495</v>
      </c>
      <c r="D11" s="68">
        <v>3</v>
      </c>
      <c r="E11" s="69"/>
      <c r="F11" s="70">
        <v>50</v>
      </c>
      <c r="G11" s="67"/>
      <c r="H11" s="71"/>
      <c r="I11" s="72"/>
      <c r="J11" s="72"/>
      <c r="K11" s="34" t="s">
        <v>65</v>
      </c>
      <c r="L11" s="79">
        <v>11</v>
      </c>
      <c r="M11" s="79"/>
      <c r="N11" s="74"/>
      <c r="O11" s="81" t="s">
        <v>653</v>
      </c>
      <c r="P11">
        <v>1</v>
      </c>
      <c r="Q11" s="80" t="str">
        <f>REPLACE(INDEX(GroupVertices[Group],MATCH(Edges[[#This Row],[Vertex 1]],GroupVertices[Vertex],0)),1,1,"")</f>
        <v>3</v>
      </c>
      <c r="R11" s="80" t="str">
        <f>REPLACE(INDEX(GroupVertices[Group],MATCH(Edges[[#This Row],[Vertex 2]],GroupVertices[Vertex],0)),1,1,"")</f>
        <v>3</v>
      </c>
      <c r="S11" s="34"/>
      <c r="T11" s="34"/>
      <c r="U11" s="34"/>
      <c r="V11" s="34"/>
      <c r="W11" s="34"/>
      <c r="X11" s="34"/>
      <c r="Y11" s="34"/>
      <c r="Z11" s="34"/>
      <c r="AA11" s="34"/>
    </row>
    <row r="12" spans="1:27" ht="15">
      <c r="A12" s="66" t="s">
        <v>322</v>
      </c>
      <c r="B12" s="66" t="s">
        <v>339</v>
      </c>
      <c r="C12" s="67" t="s">
        <v>3495</v>
      </c>
      <c r="D12" s="68">
        <v>3</v>
      </c>
      <c r="E12" s="69"/>
      <c r="F12" s="70">
        <v>50</v>
      </c>
      <c r="G12" s="67"/>
      <c r="H12" s="71"/>
      <c r="I12" s="72"/>
      <c r="J12" s="72"/>
      <c r="K12" s="34" t="s">
        <v>65</v>
      </c>
      <c r="L12" s="79">
        <v>12</v>
      </c>
      <c r="M12" s="79"/>
      <c r="N12" s="74"/>
      <c r="O12" s="81" t="s">
        <v>653</v>
      </c>
      <c r="P12">
        <v>1</v>
      </c>
      <c r="Q12" s="80" t="str">
        <f>REPLACE(INDEX(GroupVertices[Group],MATCH(Edges[[#This Row],[Vertex 1]],GroupVertices[Vertex],0)),1,1,"")</f>
        <v>3</v>
      </c>
      <c r="R12" s="80" t="str">
        <f>REPLACE(INDEX(GroupVertices[Group],MATCH(Edges[[#This Row],[Vertex 2]],GroupVertices[Vertex],0)),1,1,"")</f>
        <v>3</v>
      </c>
      <c r="S12" s="34"/>
      <c r="T12" s="34"/>
      <c r="U12" s="34"/>
      <c r="V12" s="34"/>
      <c r="W12" s="34"/>
      <c r="X12" s="34"/>
      <c r="Y12" s="34"/>
      <c r="Z12" s="34"/>
      <c r="AA12" s="34"/>
    </row>
    <row r="13" spans="1:27" ht="15">
      <c r="A13" s="66" t="s">
        <v>322</v>
      </c>
      <c r="B13" s="66" t="s">
        <v>340</v>
      </c>
      <c r="C13" s="67" t="s">
        <v>3495</v>
      </c>
      <c r="D13" s="68">
        <v>3</v>
      </c>
      <c r="E13" s="69"/>
      <c r="F13" s="70">
        <v>50</v>
      </c>
      <c r="G13" s="67"/>
      <c r="H13" s="71"/>
      <c r="I13" s="72"/>
      <c r="J13" s="72"/>
      <c r="K13" s="34" t="s">
        <v>65</v>
      </c>
      <c r="L13" s="79">
        <v>13</v>
      </c>
      <c r="M13" s="79"/>
      <c r="N13" s="74"/>
      <c r="O13" s="81" t="s">
        <v>653</v>
      </c>
      <c r="P13">
        <v>1</v>
      </c>
      <c r="Q13" s="80" t="str">
        <f>REPLACE(INDEX(GroupVertices[Group],MATCH(Edges[[#This Row],[Vertex 1]],GroupVertices[Vertex],0)),1,1,"")</f>
        <v>3</v>
      </c>
      <c r="R13" s="80" t="str">
        <f>REPLACE(INDEX(GroupVertices[Group],MATCH(Edges[[#This Row],[Vertex 2]],GroupVertices[Vertex],0)),1,1,"")</f>
        <v>3</v>
      </c>
      <c r="S13" s="34"/>
      <c r="T13" s="34"/>
      <c r="U13" s="34"/>
      <c r="V13" s="34"/>
      <c r="W13" s="34"/>
      <c r="X13" s="34"/>
      <c r="Y13" s="34"/>
      <c r="Z13" s="34"/>
      <c r="AA13" s="34"/>
    </row>
    <row r="14" spans="1:27" ht="15">
      <c r="A14" s="66" t="s">
        <v>322</v>
      </c>
      <c r="B14" s="66" t="s">
        <v>341</v>
      </c>
      <c r="C14" s="67" t="s">
        <v>3495</v>
      </c>
      <c r="D14" s="68">
        <v>3</v>
      </c>
      <c r="E14" s="69"/>
      <c r="F14" s="70">
        <v>50</v>
      </c>
      <c r="G14" s="67"/>
      <c r="H14" s="71"/>
      <c r="I14" s="72"/>
      <c r="J14" s="72"/>
      <c r="K14" s="34" t="s">
        <v>65</v>
      </c>
      <c r="L14" s="79">
        <v>14</v>
      </c>
      <c r="M14" s="79"/>
      <c r="N14" s="74"/>
      <c r="O14" s="81" t="s">
        <v>653</v>
      </c>
      <c r="P14">
        <v>1</v>
      </c>
      <c r="Q14" s="80" t="str">
        <f>REPLACE(INDEX(GroupVertices[Group],MATCH(Edges[[#This Row],[Vertex 1]],GroupVertices[Vertex],0)),1,1,"")</f>
        <v>3</v>
      </c>
      <c r="R14" s="80" t="str">
        <f>REPLACE(INDEX(GroupVertices[Group],MATCH(Edges[[#This Row],[Vertex 2]],GroupVertices[Vertex],0)),1,1,"")</f>
        <v>3</v>
      </c>
      <c r="S14" s="34"/>
      <c r="T14" s="34"/>
      <c r="U14" s="34"/>
      <c r="V14" s="34"/>
      <c r="W14" s="34"/>
      <c r="X14" s="34"/>
      <c r="Y14" s="34"/>
      <c r="Z14" s="34"/>
      <c r="AA14" s="34"/>
    </row>
    <row r="15" spans="1:27" ht="15">
      <c r="A15" s="66" t="s">
        <v>322</v>
      </c>
      <c r="B15" s="66" t="s">
        <v>342</v>
      </c>
      <c r="C15" s="67" t="s">
        <v>3495</v>
      </c>
      <c r="D15" s="68">
        <v>3</v>
      </c>
      <c r="E15" s="69"/>
      <c r="F15" s="70">
        <v>50</v>
      </c>
      <c r="G15" s="67"/>
      <c r="H15" s="71"/>
      <c r="I15" s="72"/>
      <c r="J15" s="72"/>
      <c r="K15" s="34" t="s">
        <v>65</v>
      </c>
      <c r="L15" s="79">
        <v>15</v>
      </c>
      <c r="M15" s="79"/>
      <c r="N15" s="74"/>
      <c r="O15" s="81" t="s">
        <v>653</v>
      </c>
      <c r="P15">
        <v>1</v>
      </c>
      <c r="Q15" s="80" t="str">
        <f>REPLACE(INDEX(GroupVertices[Group],MATCH(Edges[[#This Row],[Vertex 1]],GroupVertices[Vertex],0)),1,1,"")</f>
        <v>3</v>
      </c>
      <c r="R15" s="80" t="str">
        <f>REPLACE(INDEX(GroupVertices[Group],MATCH(Edges[[#This Row],[Vertex 2]],GroupVertices[Vertex],0)),1,1,"")</f>
        <v>3</v>
      </c>
      <c r="S15" s="34"/>
      <c r="T15" s="34"/>
      <c r="U15" s="34"/>
      <c r="V15" s="34"/>
      <c r="W15" s="34"/>
      <c r="X15" s="34"/>
      <c r="Y15" s="34"/>
      <c r="Z15" s="34"/>
      <c r="AA15" s="34"/>
    </row>
    <row r="16" spans="1:27" ht="15">
      <c r="A16" s="66" t="s">
        <v>322</v>
      </c>
      <c r="B16" s="66" t="s">
        <v>343</v>
      </c>
      <c r="C16" s="67" t="s">
        <v>3495</v>
      </c>
      <c r="D16" s="68">
        <v>3</v>
      </c>
      <c r="E16" s="69"/>
      <c r="F16" s="70">
        <v>50</v>
      </c>
      <c r="G16" s="67"/>
      <c r="H16" s="71"/>
      <c r="I16" s="72"/>
      <c r="J16" s="72"/>
      <c r="K16" s="34" t="s">
        <v>65</v>
      </c>
      <c r="L16" s="79">
        <v>16</v>
      </c>
      <c r="M16" s="79"/>
      <c r="N16" s="74"/>
      <c r="O16" s="81" t="s">
        <v>653</v>
      </c>
      <c r="P16">
        <v>1</v>
      </c>
      <c r="Q16" s="80" t="str">
        <f>REPLACE(INDEX(GroupVertices[Group],MATCH(Edges[[#This Row],[Vertex 1]],GroupVertices[Vertex],0)),1,1,"")</f>
        <v>3</v>
      </c>
      <c r="R16" s="80" t="str">
        <f>REPLACE(INDEX(GroupVertices[Group],MATCH(Edges[[#This Row],[Vertex 2]],GroupVertices[Vertex],0)),1,1,"")</f>
        <v>3</v>
      </c>
      <c r="S16" s="34"/>
      <c r="T16" s="34"/>
      <c r="U16" s="34"/>
      <c r="V16" s="34"/>
      <c r="W16" s="34"/>
      <c r="X16" s="34"/>
      <c r="Y16" s="34"/>
      <c r="Z16" s="34"/>
      <c r="AA16" s="34"/>
    </row>
    <row r="17" spans="1:27" ht="15">
      <c r="A17" s="66" t="s">
        <v>322</v>
      </c>
      <c r="B17" s="66" t="s">
        <v>344</v>
      </c>
      <c r="C17" s="67" t="s">
        <v>3495</v>
      </c>
      <c r="D17" s="68">
        <v>3</v>
      </c>
      <c r="E17" s="69"/>
      <c r="F17" s="70">
        <v>50</v>
      </c>
      <c r="G17" s="67"/>
      <c r="H17" s="71"/>
      <c r="I17" s="72"/>
      <c r="J17" s="72"/>
      <c r="K17" s="34" t="s">
        <v>65</v>
      </c>
      <c r="L17" s="79">
        <v>17</v>
      </c>
      <c r="M17" s="79"/>
      <c r="N17" s="74"/>
      <c r="O17" s="81" t="s">
        <v>653</v>
      </c>
      <c r="P17">
        <v>1</v>
      </c>
      <c r="Q17" s="80" t="str">
        <f>REPLACE(INDEX(GroupVertices[Group],MATCH(Edges[[#This Row],[Vertex 1]],GroupVertices[Vertex],0)),1,1,"")</f>
        <v>3</v>
      </c>
      <c r="R17" s="80" t="str">
        <f>REPLACE(INDEX(GroupVertices[Group],MATCH(Edges[[#This Row],[Vertex 2]],GroupVertices[Vertex],0)),1,1,"")</f>
        <v>3</v>
      </c>
      <c r="S17" s="34"/>
      <c r="T17" s="34"/>
      <c r="U17" s="34"/>
      <c r="V17" s="34"/>
      <c r="W17" s="34"/>
      <c r="X17" s="34"/>
      <c r="Y17" s="34"/>
      <c r="Z17" s="34"/>
      <c r="AA17" s="34"/>
    </row>
    <row r="18" spans="1:27" ht="15">
      <c r="A18" s="66" t="s">
        <v>322</v>
      </c>
      <c r="B18" s="66" t="s">
        <v>345</v>
      </c>
      <c r="C18" s="67" t="s">
        <v>3495</v>
      </c>
      <c r="D18" s="68">
        <v>3</v>
      </c>
      <c r="E18" s="69"/>
      <c r="F18" s="70">
        <v>50</v>
      </c>
      <c r="G18" s="67"/>
      <c r="H18" s="71"/>
      <c r="I18" s="72"/>
      <c r="J18" s="72"/>
      <c r="K18" s="34" t="s">
        <v>65</v>
      </c>
      <c r="L18" s="79">
        <v>18</v>
      </c>
      <c r="M18" s="79"/>
      <c r="N18" s="74"/>
      <c r="O18" s="81" t="s">
        <v>653</v>
      </c>
      <c r="P18">
        <v>1</v>
      </c>
      <c r="Q18" s="80" t="str">
        <f>REPLACE(INDEX(GroupVertices[Group],MATCH(Edges[[#This Row],[Vertex 1]],GroupVertices[Vertex],0)),1,1,"")</f>
        <v>3</v>
      </c>
      <c r="R18" s="80" t="str">
        <f>REPLACE(INDEX(GroupVertices[Group],MATCH(Edges[[#This Row],[Vertex 2]],GroupVertices[Vertex],0)),1,1,"")</f>
        <v>3</v>
      </c>
      <c r="S18" s="34"/>
      <c r="T18" s="34"/>
      <c r="U18" s="34"/>
      <c r="V18" s="34"/>
      <c r="W18" s="34"/>
      <c r="X18" s="34"/>
      <c r="Y18" s="34"/>
      <c r="Z18" s="34"/>
      <c r="AA18" s="34"/>
    </row>
    <row r="19" spans="1:27" ht="15">
      <c r="A19" s="66" t="s">
        <v>322</v>
      </c>
      <c r="B19" s="66" t="s">
        <v>346</v>
      </c>
      <c r="C19" s="67" t="s">
        <v>3495</v>
      </c>
      <c r="D19" s="68">
        <v>3</v>
      </c>
      <c r="E19" s="69"/>
      <c r="F19" s="70">
        <v>50</v>
      </c>
      <c r="G19" s="67"/>
      <c r="H19" s="71"/>
      <c r="I19" s="72"/>
      <c r="J19" s="72"/>
      <c r="K19" s="34" t="s">
        <v>65</v>
      </c>
      <c r="L19" s="79">
        <v>19</v>
      </c>
      <c r="M19" s="79"/>
      <c r="N19" s="74"/>
      <c r="O19" s="81" t="s">
        <v>653</v>
      </c>
      <c r="P19">
        <v>1</v>
      </c>
      <c r="Q19" s="80" t="str">
        <f>REPLACE(INDEX(GroupVertices[Group],MATCH(Edges[[#This Row],[Vertex 1]],GroupVertices[Vertex],0)),1,1,"")</f>
        <v>3</v>
      </c>
      <c r="R19" s="80" t="str">
        <f>REPLACE(INDEX(GroupVertices[Group],MATCH(Edges[[#This Row],[Vertex 2]],GroupVertices[Vertex],0)),1,1,"")</f>
        <v>3</v>
      </c>
      <c r="S19" s="34"/>
      <c r="T19" s="34"/>
      <c r="U19" s="34"/>
      <c r="V19" s="34"/>
      <c r="W19" s="34"/>
      <c r="X19" s="34"/>
      <c r="Y19" s="34"/>
      <c r="Z19" s="34"/>
      <c r="AA19" s="34"/>
    </row>
    <row r="20" spans="1:27" ht="15">
      <c r="A20" s="66" t="s">
        <v>322</v>
      </c>
      <c r="B20" s="66" t="s">
        <v>347</v>
      </c>
      <c r="C20" s="67" t="s">
        <v>3495</v>
      </c>
      <c r="D20" s="68">
        <v>3</v>
      </c>
      <c r="E20" s="69"/>
      <c r="F20" s="70">
        <v>50</v>
      </c>
      <c r="G20" s="67"/>
      <c r="H20" s="71"/>
      <c r="I20" s="72"/>
      <c r="J20" s="72"/>
      <c r="K20" s="34" t="s">
        <v>65</v>
      </c>
      <c r="L20" s="79">
        <v>20</v>
      </c>
      <c r="M20" s="79"/>
      <c r="N20" s="74"/>
      <c r="O20" s="81" t="s">
        <v>653</v>
      </c>
      <c r="P20">
        <v>1</v>
      </c>
      <c r="Q20" s="80" t="str">
        <f>REPLACE(INDEX(GroupVertices[Group],MATCH(Edges[[#This Row],[Vertex 1]],GroupVertices[Vertex],0)),1,1,"")</f>
        <v>3</v>
      </c>
      <c r="R20" s="80" t="str">
        <f>REPLACE(INDEX(GroupVertices[Group],MATCH(Edges[[#This Row],[Vertex 2]],GroupVertices[Vertex],0)),1,1,"")</f>
        <v>3</v>
      </c>
      <c r="S20" s="34"/>
      <c r="T20" s="34"/>
      <c r="U20" s="34"/>
      <c r="V20" s="34"/>
      <c r="W20" s="34"/>
      <c r="X20" s="34"/>
      <c r="Y20" s="34"/>
      <c r="Z20" s="34"/>
      <c r="AA20" s="34"/>
    </row>
    <row r="21" spans="1:27" ht="15">
      <c r="A21" s="66" t="s">
        <v>322</v>
      </c>
      <c r="B21" s="66" t="s">
        <v>348</v>
      </c>
      <c r="C21" s="67" t="s">
        <v>3495</v>
      </c>
      <c r="D21" s="68">
        <v>3</v>
      </c>
      <c r="E21" s="69"/>
      <c r="F21" s="70">
        <v>50</v>
      </c>
      <c r="G21" s="67"/>
      <c r="H21" s="71"/>
      <c r="I21" s="72"/>
      <c r="J21" s="72"/>
      <c r="K21" s="34" t="s">
        <v>65</v>
      </c>
      <c r="L21" s="79">
        <v>21</v>
      </c>
      <c r="M21" s="79"/>
      <c r="N21" s="74"/>
      <c r="O21" s="81" t="s">
        <v>653</v>
      </c>
      <c r="P21">
        <v>1</v>
      </c>
      <c r="Q21" s="80" t="str">
        <f>REPLACE(INDEX(GroupVertices[Group],MATCH(Edges[[#This Row],[Vertex 1]],GroupVertices[Vertex],0)),1,1,"")</f>
        <v>3</v>
      </c>
      <c r="R21" s="80" t="str">
        <f>REPLACE(INDEX(GroupVertices[Group],MATCH(Edges[[#This Row],[Vertex 2]],GroupVertices[Vertex],0)),1,1,"")</f>
        <v>3</v>
      </c>
      <c r="S21" s="34"/>
      <c r="T21" s="34"/>
      <c r="U21" s="34"/>
      <c r="V21" s="34"/>
      <c r="W21" s="34"/>
      <c r="X21" s="34"/>
      <c r="Y21" s="34"/>
      <c r="Z21" s="34"/>
      <c r="AA21" s="34"/>
    </row>
    <row r="22" spans="1:27" ht="15">
      <c r="A22" s="66" t="s">
        <v>322</v>
      </c>
      <c r="B22" s="66" t="s">
        <v>349</v>
      </c>
      <c r="C22" s="67" t="s">
        <v>3495</v>
      </c>
      <c r="D22" s="68">
        <v>3</v>
      </c>
      <c r="E22" s="69"/>
      <c r="F22" s="70">
        <v>50</v>
      </c>
      <c r="G22" s="67"/>
      <c r="H22" s="71"/>
      <c r="I22" s="72"/>
      <c r="J22" s="72"/>
      <c r="K22" s="34" t="s">
        <v>65</v>
      </c>
      <c r="L22" s="79">
        <v>22</v>
      </c>
      <c r="M22" s="79"/>
      <c r="N22" s="74"/>
      <c r="O22" s="81" t="s">
        <v>653</v>
      </c>
      <c r="P22">
        <v>1</v>
      </c>
      <c r="Q22" s="80" t="str">
        <f>REPLACE(INDEX(GroupVertices[Group],MATCH(Edges[[#This Row],[Vertex 1]],GroupVertices[Vertex],0)),1,1,"")</f>
        <v>3</v>
      </c>
      <c r="R22" s="80" t="str">
        <f>REPLACE(INDEX(GroupVertices[Group],MATCH(Edges[[#This Row],[Vertex 2]],GroupVertices[Vertex],0)),1,1,"")</f>
        <v>3</v>
      </c>
      <c r="S22" s="34"/>
      <c r="T22" s="34"/>
      <c r="U22" s="34"/>
      <c r="V22" s="34"/>
      <c r="W22" s="34"/>
      <c r="X22" s="34"/>
      <c r="Y22" s="34"/>
      <c r="Z22" s="34"/>
      <c r="AA22" s="34"/>
    </row>
    <row r="23" spans="1:27" ht="15">
      <c r="A23" s="66" t="s">
        <v>322</v>
      </c>
      <c r="B23" s="66" t="s">
        <v>350</v>
      </c>
      <c r="C23" s="67" t="s">
        <v>3495</v>
      </c>
      <c r="D23" s="68">
        <v>3</v>
      </c>
      <c r="E23" s="69"/>
      <c r="F23" s="70">
        <v>50</v>
      </c>
      <c r="G23" s="67"/>
      <c r="H23" s="71"/>
      <c r="I23" s="72"/>
      <c r="J23" s="72"/>
      <c r="K23" s="34" t="s">
        <v>65</v>
      </c>
      <c r="L23" s="79">
        <v>23</v>
      </c>
      <c r="M23" s="79"/>
      <c r="N23" s="74"/>
      <c r="O23" s="81" t="s">
        <v>653</v>
      </c>
      <c r="P23">
        <v>1</v>
      </c>
      <c r="Q23" s="80" t="str">
        <f>REPLACE(INDEX(GroupVertices[Group],MATCH(Edges[[#This Row],[Vertex 1]],GroupVertices[Vertex],0)),1,1,"")</f>
        <v>3</v>
      </c>
      <c r="R23" s="80" t="str">
        <f>REPLACE(INDEX(GroupVertices[Group],MATCH(Edges[[#This Row],[Vertex 2]],GroupVertices[Vertex],0)),1,1,"")</f>
        <v>3</v>
      </c>
      <c r="S23" s="34"/>
      <c r="T23" s="34"/>
      <c r="U23" s="34"/>
      <c r="V23" s="34"/>
      <c r="W23" s="34"/>
      <c r="X23" s="34"/>
      <c r="Y23" s="34"/>
      <c r="Z23" s="34"/>
      <c r="AA23" s="34"/>
    </row>
    <row r="24" spans="1:27" ht="15">
      <c r="A24" s="66" t="s">
        <v>322</v>
      </c>
      <c r="B24" s="66" t="s">
        <v>351</v>
      </c>
      <c r="C24" s="67" t="s">
        <v>3495</v>
      </c>
      <c r="D24" s="68">
        <v>3</v>
      </c>
      <c r="E24" s="69"/>
      <c r="F24" s="70">
        <v>50</v>
      </c>
      <c r="G24" s="67"/>
      <c r="H24" s="71"/>
      <c r="I24" s="72"/>
      <c r="J24" s="72"/>
      <c r="K24" s="34" t="s">
        <v>65</v>
      </c>
      <c r="L24" s="79">
        <v>24</v>
      </c>
      <c r="M24" s="79"/>
      <c r="N24" s="74"/>
      <c r="O24" s="81" t="s">
        <v>653</v>
      </c>
      <c r="P24">
        <v>1</v>
      </c>
      <c r="Q24" s="80" t="str">
        <f>REPLACE(INDEX(GroupVertices[Group],MATCH(Edges[[#This Row],[Vertex 1]],GroupVertices[Vertex],0)),1,1,"")</f>
        <v>3</v>
      </c>
      <c r="R24" s="80" t="str">
        <f>REPLACE(INDEX(GroupVertices[Group],MATCH(Edges[[#This Row],[Vertex 2]],GroupVertices[Vertex],0)),1,1,"")</f>
        <v>3</v>
      </c>
      <c r="S24" s="34"/>
      <c r="T24" s="34"/>
      <c r="U24" s="34"/>
      <c r="V24" s="34"/>
      <c r="W24" s="34"/>
      <c r="X24" s="34"/>
      <c r="Y24" s="34"/>
      <c r="Z24" s="34"/>
      <c r="AA24" s="34"/>
    </row>
    <row r="25" spans="1:27" ht="15">
      <c r="A25" s="66" t="s">
        <v>322</v>
      </c>
      <c r="B25" s="66" t="s">
        <v>352</v>
      </c>
      <c r="C25" s="67" t="s">
        <v>3495</v>
      </c>
      <c r="D25" s="68">
        <v>3</v>
      </c>
      <c r="E25" s="69"/>
      <c r="F25" s="70">
        <v>50</v>
      </c>
      <c r="G25" s="67"/>
      <c r="H25" s="71"/>
      <c r="I25" s="72"/>
      <c r="J25" s="72"/>
      <c r="K25" s="34" t="s">
        <v>65</v>
      </c>
      <c r="L25" s="79">
        <v>25</v>
      </c>
      <c r="M25" s="79"/>
      <c r="N25" s="74"/>
      <c r="O25" s="81" t="s">
        <v>653</v>
      </c>
      <c r="P25">
        <v>1</v>
      </c>
      <c r="Q25" s="80" t="str">
        <f>REPLACE(INDEX(GroupVertices[Group],MATCH(Edges[[#This Row],[Vertex 1]],GroupVertices[Vertex],0)),1,1,"")</f>
        <v>3</v>
      </c>
      <c r="R25" s="80" t="str">
        <f>REPLACE(INDEX(GroupVertices[Group],MATCH(Edges[[#This Row],[Vertex 2]],GroupVertices[Vertex],0)),1,1,"")</f>
        <v>3</v>
      </c>
      <c r="S25" s="34"/>
      <c r="T25" s="34"/>
      <c r="U25" s="34"/>
      <c r="V25" s="34"/>
      <c r="W25" s="34"/>
      <c r="X25" s="34"/>
      <c r="Y25" s="34"/>
      <c r="Z25" s="34"/>
      <c r="AA25" s="34"/>
    </row>
    <row r="26" spans="1:27" ht="15">
      <c r="A26" s="66" t="s">
        <v>322</v>
      </c>
      <c r="B26" s="66" t="s">
        <v>353</v>
      </c>
      <c r="C26" s="67" t="s">
        <v>3495</v>
      </c>
      <c r="D26" s="68">
        <v>3</v>
      </c>
      <c r="E26" s="69"/>
      <c r="F26" s="70">
        <v>50</v>
      </c>
      <c r="G26" s="67"/>
      <c r="H26" s="71"/>
      <c r="I26" s="72"/>
      <c r="J26" s="72"/>
      <c r="K26" s="34" t="s">
        <v>65</v>
      </c>
      <c r="L26" s="79">
        <v>26</v>
      </c>
      <c r="M26" s="79"/>
      <c r="N26" s="74"/>
      <c r="O26" s="81" t="s">
        <v>653</v>
      </c>
      <c r="P26">
        <v>1</v>
      </c>
      <c r="Q26" s="80" t="str">
        <f>REPLACE(INDEX(GroupVertices[Group],MATCH(Edges[[#This Row],[Vertex 1]],GroupVertices[Vertex],0)),1,1,"")</f>
        <v>3</v>
      </c>
      <c r="R26" s="80" t="str">
        <f>REPLACE(INDEX(GroupVertices[Group],MATCH(Edges[[#This Row],[Vertex 2]],GroupVertices[Vertex],0)),1,1,"")</f>
        <v>3</v>
      </c>
      <c r="S26" s="34"/>
      <c r="T26" s="34"/>
      <c r="U26" s="34"/>
      <c r="V26" s="34"/>
      <c r="W26" s="34"/>
      <c r="X26" s="34"/>
      <c r="Y26" s="34"/>
      <c r="Z26" s="34"/>
      <c r="AA26" s="34"/>
    </row>
    <row r="27" spans="1:27" ht="15">
      <c r="A27" s="66" t="s">
        <v>322</v>
      </c>
      <c r="B27" s="66" t="s">
        <v>354</v>
      </c>
      <c r="C27" s="67" t="s">
        <v>3495</v>
      </c>
      <c r="D27" s="68">
        <v>3</v>
      </c>
      <c r="E27" s="69"/>
      <c r="F27" s="70">
        <v>50</v>
      </c>
      <c r="G27" s="67"/>
      <c r="H27" s="71"/>
      <c r="I27" s="72"/>
      <c r="J27" s="72"/>
      <c r="K27" s="34" t="s">
        <v>65</v>
      </c>
      <c r="L27" s="79">
        <v>27</v>
      </c>
      <c r="M27" s="79"/>
      <c r="N27" s="74"/>
      <c r="O27" s="81" t="s">
        <v>653</v>
      </c>
      <c r="P27">
        <v>1</v>
      </c>
      <c r="Q27" s="80" t="str">
        <f>REPLACE(INDEX(GroupVertices[Group],MATCH(Edges[[#This Row],[Vertex 1]],GroupVertices[Vertex],0)),1,1,"")</f>
        <v>3</v>
      </c>
      <c r="R27" s="80" t="str">
        <f>REPLACE(INDEX(GroupVertices[Group],MATCH(Edges[[#This Row],[Vertex 2]],GroupVertices[Vertex],0)),1,1,"")</f>
        <v>3</v>
      </c>
      <c r="S27" s="34"/>
      <c r="T27" s="34"/>
      <c r="U27" s="34"/>
      <c r="V27" s="34"/>
      <c r="W27" s="34"/>
      <c r="X27" s="34"/>
      <c r="Y27" s="34"/>
      <c r="Z27" s="34"/>
      <c r="AA27" s="34"/>
    </row>
    <row r="28" spans="1:27" ht="15">
      <c r="A28" s="66" t="s">
        <v>322</v>
      </c>
      <c r="B28" s="66" t="s">
        <v>355</v>
      </c>
      <c r="C28" s="67" t="s">
        <v>3495</v>
      </c>
      <c r="D28" s="68">
        <v>3</v>
      </c>
      <c r="E28" s="69"/>
      <c r="F28" s="70">
        <v>50</v>
      </c>
      <c r="G28" s="67"/>
      <c r="H28" s="71"/>
      <c r="I28" s="72"/>
      <c r="J28" s="72"/>
      <c r="K28" s="34" t="s">
        <v>65</v>
      </c>
      <c r="L28" s="79">
        <v>28</v>
      </c>
      <c r="M28" s="79"/>
      <c r="N28" s="74"/>
      <c r="O28" s="81" t="s">
        <v>653</v>
      </c>
      <c r="P28">
        <v>1</v>
      </c>
      <c r="Q28" s="80" t="str">
        <f>REPLACE(INDEX(GroupVertices[Group],MATCH(Edges[[#This Row],[Vertex 1]],GroupVertices[Vertex],0)),1,1,"")</f>
        <v>3</v>
      </c>
      <c r="R28" s="80" t="str">
        <f>REPLACE(INDEX(GroupVertices[Group],MATCH(Edges[[#This Row],[Vertex 2]],GroupVertices[Vertex],0)),1,1,"")</f>
        <v>3</v>
      </c>
      <c r="S28" s="34"/>
      <c r="T28" s="34"/>
      <c r="U28" s="34"/>
      <c r="V28" s="34"/>
      <c r="W28" s="34"/>
      <c r="X28" s="34"/>
      <c r="Y28" s="34"/>
      <c r="Z28" s="34"/>
      <c r="AA28" s="34"/>
    </row>
    <row r="29" spans="1:27" ht="15">
      <c r="A29" s="66" t="s">
        <v>322</v>
      </c>
      <c r="B29" s="66" t="s">
        <v>356</v>
      </c>
      <c r="C29" s="67" t="s">
        <v>3495</v>
      </c>
      <c r="D29" s="68">
        <v>3</v>
      </c>
      <c r="E29" s="69"/>
      <c r="F29" s="70">
        <v>50</v>
      </c>
      <c r="G29" s="67"/>
      <c r="H29" s="71"/>
      <c r="I29" s="72"/>
      <c r="J29" s="72"/>
      <c r="K29" s="34" t="s">
        <v>65</v>
      </c>
      <c r="L29" s="79">
        <v>29</v>
      </c>
      <c r="M29" s="79"/>
      <c r="N29" s="74"/>
      <c r="O29" s="81" t="s">
        <v>653</v>
      </c>
      <c r="P29">
        <v>1</v>
      </c>
      <c r="Q29" s="80" t="str">
        <f>REPLACE(INDEX(GroupVertices[Group],MATCH(Edges[[#This Row],[Vertex 1]],GroupVertices[Vertex],0)),1,1,"")</f>
        <v>3</v>
      </c>
      <c r="R29" s="80" t="str">
        <f>REPLACE(INDEX(GroupVertices[Group],MATCH(Edges[[#This Row],[Vertex 2]],GroupVertices[Vertex],0)),1,1,"")</f>
        <v>3</v>
      </c>
      <c r="S29" s="34"/>
      <c r="T29" s="34"/>
      <c r="U29" s="34"/>
      <c r="V29" s="34"/>
      <c r="W29" s="34"/>
      <c r="X29" s="34"/>
      <c r="Y29" s="34"/>
      <c r="Z29" s="34"/>
      <c r="AA29" s="34"/>
    </row>
    <row r="30" spans="1:27" ht="15">
      <c r="A30" s="66" t="s">
        <v>322</v>
      </c>
      <c r="B30" s="66" t="s">
        <v>357</v>
      </c>
      <c r="C30" s="67" t="s">
        <v>3495</v>
      </c>
      <c r="D30" s="68">
        <v>3</v>
      </c>
      <c r="E30" s="69"/>
      <c r="F30" s="70">
        <v>50</v>
      </c>
      <c r="G30" s="67"/>
      <c r="H30" s="71"/>
      <c r="I30" s="72"/>
      <c r="J30" s="72"/>
      <c r="K30" s="34" t="s">
        <v>65</v>
      </c>
      <c r="L30" s="79">
        <v>30</v>
      </c>
      <c r="M30" s="79"/>
      <c r="N30" s="74"/>
      <c r="O30" s="81" t="s">
        <v>653</v>
      </c>
      <c r="P30">
        <v>1</v>
      </c>
      <c r="Q30" s="80" t="str">
        <f>REPLACE(INDEX(GroupVertices[Group],MATCH(Edges[[#This Row],[Vertex 1]],GroupVertices[Vertex],0)),1,1,"")</f>
        <v>3</v>
      </c>
      <c r="R30" s="80" t="str">
        <f>REPLACE(INDEX(GroupVertices[Group],MATCH(Edges[[#This Row],[Vertex 2]],GroupVertices[Vertex],0)),1,1,"")</f>
        <v>3</v>
      </c>
      <c r="S30" s="34"/>
      <c r="T30" s="34"/>
      <c r="U30" s="34"/>
      <c r="V30" s="34"/>
      <c r="W30" s="34"/>
      <c r="X30" s="34"/>
      <c r="Y30" s="34"/>
      <c r="Z30" s="34"/>
      <c r="AA30" s="34"/>
    </row>
    <row r="31" spans="1:27" ht="15">
      <c r="A31" s="66" t="s">
        <v>322</v>
      </c>
      <c r="B31" s="66" t="s">
        <v>358</v>
      </c>
      <c r="C31" s="67" t="s">
        <v>3495</v>
      </c>
      <c r="D31" s="68">
        <v>3</v>
      </c>
      <c r="E31" s="69"/>
      <c r="F31" s="70">
        <v>50</v>
      </c>
      <c r="G31" s="67"/>
      <c r="H31" s="71"/>
      <c r="I31" s="72"/>
      <c r="J31" s="72"/>
      <c r="K31" s="34" t="s">
        <v>65</v>
      </c>
      <c r="L31" s="79">
        <v>31</v>
      </c>
      <c r="M31" s="79"/>
      <c r="N31" s="74"/>
      <c r="O31" s="81" t="s">
        <v>653</v>
      </c>
      <c r="P31">
        <v>1</v>
      </c>
      <c r="Q31" s="80" t="str">
        <f>REPLACE(INDEX(GroupVertices[Group],MATCH(Edges[[#This Row],[Vertex 1]],GroupVertices[Vertex],0)),1,1,"")</f>
        <v>3</v>
      </c>
      <c r="R31" s="80" t="str">
        <f>REPLACE(INDEX(GroupVertices[Group],MATCH(Edges[[#This Row],[Vertex 2]],GroupVertices[Vertex],0)),1,1,"")</f>
        <v>3</v>
      </c>
      <c r="S31" s="34"/>
      <c r="T31" s="34"/>
      <c r="U31" s="34"/>
      <c r="V31" s="34"/>
      <c r="W31" s="34"/>
      <c r="X31" s="34"/>
      <c r="Y31" s="34"/>
      <c r="Z31" s="34"/>
      <c r="AA31" s="34"/>
    </row>
    <row r="32" spans="1:27" ht="15">
      <c r="A32" s="66" t="s">
        <v>322</v>
      </c>
      <c r="B32" s="66" t="s">
        <v>359</v>
      </c>
      <c r="C32" s="67" t="s">
        <v>3495</v>
      </c>
      <c r="D32" s="68">
        <v>3</v>
      </c>
      <c r="E32" s="69"/>
      <c r="F32" s="70">
        <v>50</v>
      </c>
      <c r="G32" s="67"/>
      <c r="H32" s="71"/>
      <c r="I32" s="72"/>
      <c r="J32" s="72"/>
      <c r="K32" s="34" t="s">
        <v>65</v>
      </c>
      <c r="L32" s="79">
        <v>32</v>
      </c>
      <c r="M32" s="79"/>
      <c r="N32" s="74"/>
      <c r="O32" s="81" t="s">
        <v>653</v>
      </c>
      <c r="P32">
        <v>1</v>
      </c>
      <c r="Q32" s="80" t="str">
        <f>REPLACE(INDEX(GroupVertices[Group],MATCH(Edges[[#This Row],[Vertex 1]],GroupVertices[Vertex],0)),1,1,"")</f>
        <v>3</v>
      </c>
      <c r="R32" s="80" t="str">
        <f>REPLACE(INDEX(GroupVertices[Group],MATCH(Edges[[#This Row],[Vertex 2]],GroupVertices[Vertex],0)),1,1,"")</f>
        <v>3</v>
      </c>
      <c r="S32" s="34"/>
      <c r="T32" s="34"/>
      <c r="U32" s="34"/>
      <c r="V32" s="34"/>
      <c r="W32" s="34"/>
      <c r="X32" s="34"/>
      <c r="Y32" s="34"/>
      <c r="Z32" s="34"/>
      <c r="AA32" s="34"/>
    </row>
    <row r="33" spans="1:27" ht="15">
      <c r="A33" s="66" t="s">
        <v>322</v>
      </c>
      <c r="B33" s="66" t="s">
        <v>360</v>
      </c>
      <c r="C33" s="67" t="s">
        <v>3495</v>
      </c>
      <c r="D33" s="68">
        <v>3</v>
      </c>
      <c r="E33" s="69"/>
      <c r="F33" s="70">
        <v>50</v>
      </c>
      <c r="G33" s="67"/>
      <c r="H33" s="71"/>
      <c r="I33" s="72"/>
      <c r="J33" s="72"/>
      <c r="K33" s="34" t="s">
        <v>65</v>
      </c>
      <c r="L33" s="79">
        <v>33</v>
      </c>
      <c r="M33" s="79"/>
      <c r="N33" s="74"/>
      <c r="O33" s="81" t="s">
        <v>653</v>
      </c>
      <c r="P33">
        <v>1</v>
      </c>
      <c r="Q33" s="80" t="str">
        <f>REPLACE(INDEX(GroupVertices[Group],MATCH(Edges[[#This Row],[Vertex 1]],GroupVertices[Vertex],0)),1,1,"")</f>
        <v>3</v>
      </c>
      <c r="R33" s="80" t="str">
        <f>REPLACE(INDEX(GroupVertices[Group],MATCH(Edges[[#This Row],[Vertex 2]],GroupVertices[Vertex],0)),1,1,"")</f>
        <v>3</v>
      </c>
      <c r="S33" s="34"/>
      <c r="T33" s="34"/>
      <c r="U33" s="34"/>
      <c r="V33" s="34"/>
      <c r="W33" s="34"/>
      <c r="X33" s="34"/>
      <c r="Y33" s="34"/>
      <c r="Z33" s="34"/>
      <c r="AA33" s="34"/>
    </row>
    <row r="34" spans="1:27" ht="15">
      <c r="A34" s="66" t="s">
        <v>322</v>
      </c>
      <c r="B34" s="66" t="s">
        <v>361</v>
      </c>
      <c r="C34" s="67" t="s">
        <v>3495</v>
      </c>
      <c r="D34" s="68">
        <v>3</v>
      </c>
      <c r="E34" s="69"/>
      <c r="F34" s="70">
        <v>50</v>
      </c>
      <c r="G34" s="67"/>
      <c r="H34" s="71"/>
      <c r="I34" s="72"/>
      <c r="J34" s="72"/>
      <c r="K34" s="34" t="s">
        <v>65</v>
      </c>
      <c r="L34" s="79">
        <v>34</v>
      </c>
      <c r="M34" s="79"/>
      <c r="N34" s="74"/>
      <c r="O34" s="81" t="s">
        <v>653</v>
      </c>
      <c r="P34">
        <v>1</v>
      </c>
      <c r="Q34" s="80" t="str">
        <f>REPLACE(INDEX(GroupVertices[Group],MATCH(Edges[[#This Row],[Vertex 1]],GroupVertices[Vertex],0)),1,1,"")</f>
        <v>3</v>
      </c>
      <c r="R34" s="80" t="str">
        <f>REPLACE(INDEX(GroupVertices[Group],MATCH(Edges[[#This Row],[Vertex 2]],GroupVertices[Vertex],0)),1,1,"")</f>
        <v>3</v>
      </c>
      <c r="S34" s="34"/>
      <c r="T34" s="34"/>
      <c r="U34" s="34"/>
      <c r="V34" s="34"/>
      <c r="W34" s="34"/>
      <c r="X34" s="34"/>
      <c r="Y34" s="34"/>
      <c r="Z34" s="34"/>
      <c r="AA34" s="34"/>
    </row>
    <row r="35" spans="1:27" ht="15">
      <c r="A35" s="66" t="s">
        <v>322</v>
      </c>
      <c r="B35" s="66" t="s">
        <v>362</v>
      </c>
      <c r="C35" s="67" t="s">
        <v>3495</v>
      </c>
      <c r="D35" s="68">
        <v>3</v>
      </c>
      <c r="E35" s="69"/>
      <c r="F35" s="70">
        <v>50</v>
      </c>
      <c r="G35" s="67"/>
      <c r="H35" s="71"/>
      <c r="I35" s="72"/>
      <c r="J35" s="72"/>
      <c r="K35" s="34" t="s">
        <v>65</v>
      </c>
      <c r="L35" s="79">
        <v>35</v>
      </c>
      <c r="M35" s="79"/>
      <c r="N35" s="74"/>
      <c r="O35" s="81" t="s">
        <v>653</v>
      </c>
      <c r="P35">
        <v>1</v>
      </c>
      <c r="Q35" s="80" t="str">
        <f>REPLACE(INDEX(GroupVertices[Group],MATCH(Edges[[#This Row],[Vertex 1]],GroupVertices[Vertex],0)),1,1,"")</f>
        <v>3</v>
      </c>
      <c r="R35" s="80" t="str">
        <f>REPLACE(INDEX(GroupVertices[Group],MATCH(Edges[[#This Row],[Vertex 2]],GroupVertices[Vertex],0)),1,1,"")</f>
        <v>3</v>
      </c>
      <c r="S35" s="34"/>
      <c r="T35" s="34"/>
      <c r="U35" s="34"/>
      <c r="V35" s="34"/>
      <c r="W35" s="34"/>
      <c r="X35" s="34"/>
      <c r="Y35" s="34"/>
      <c r="Z35" s="34"/>
      <c r="AA35" s="34"/>
    </row>
    <row r="36" spans="1:27" ht="15">
      <c r="A36" s="66" t="s">
        <v>322</v>
      </c>
      <c r="B36" s="66" t="s">
        <v>363</v>
      </c>
      <c r="C36" s="67" t="s">
        <v>3495</v>
      </c>
      <c r="D36" s="68">
        <v>3</v>
      </c>
      <c r="E36" s="69"/>
      <c r="F36" s="70">
        <v>50</v>
      </c>
      <c r="G36" s="67"/>
      <c r="H36" s="71"/>
      <c r="I36" s="72"/>
      <c r="J36" s="72"/>
      <c r="K36" s="34" t="s">
        <v>65</v>
      </c>
      <c r="L36" s="79">
        <v>36</v>
      </c>
      <c r="M36" s="79"/>
      <c r="N36" s="74"/>
      <c r="O36" s="81" t="s">
        <v>653</v>
      </c>
      <c r="P36">
        <v>1</v>
      </c>
      <c r="Q36" s="80" t="str">
        <f>REPLACE(INDEX(GroupVertices[Group],MATCH(Edges[[#This Row],[Vertex 1]],GroupVertices[Vertex],0)),1,1,"")</f>
        <v>3</v>
      </c>
      <c r="R36" s="80" t="str">
        <f>REPLACE(INDEX(GroupVertices[Group],MATCH(Edges[[#This Row],[Vertex 2]],GroupVertices[Vertex],0)),1,1,"")</f>
        <v>3</v>
      </c>
      <c r="S36" s="34"/>
      <c r="T36" s="34"/>
      <c r="U36" s="34"/>
      <c r="V36" s="34"/>
      <c r="W36" s="34"/>
      <c r="X36" s="34"/>
      <c r="Y36" s="34"/>
      <c r="Z36" s="34"/>
      <c r="AA36" s="34"/>
    </row>
    <row r="37" spans="1:27" ht="15">
      <c r="A37" s="66" t="s">
        <v>322</v>
      </c>
      <c r="B37" s="66" t="s">
        <v>364</v>
      </c>
      <c r="C37" s="67" t="s">
        <v>3495</v>
      </c>
      <c r="D37" s="68">
        <v>3</v>
      </c>
      <c r="E37" s="69"/>
      <c r="F37" s="70">
        <v>50</v>
      </c>
      <c r="G37" s="67"/>
      <c r="H37" s="71"/>
      <c r="I37" s="72"/>
      <c r="J37" s="72"/>
      <c r="K37" s="34" t="s">
        <v>65</v>
      </c>
      <c r="L37" s="79">
        <v>37</v>
      </c>
      <c r="M37" s="79"/>
      <c r="N37" s="74"/>
      <c r="O37" s="81" t="s">
        <v>653</v>
      </c>
      <c r="P37">
        <v>1</v>
      </c>
      <c r="Q37" s="80" t="str">
        <f>REPLACE(INDEX(GroupVertices[Group],MATCH(Edges[[#This Row],[Vertex 1]],GroupVertices[Vertex],0)),1,1,"")</f>
        <v>3</v>
      </c>
      <c r="R37" s="80" t="str">
        <f>REPLACE(INDEX(GroupVertices[Group],MATCH(Edges[[#This Row],[Vertex 2]],GroupVertices[Vertex],0)),1,1,"")</f>
        <v>3</v>
      </c>
      <c r="S37" s="34"/>
      <c r="T37" s="34"/>
      <c r="U37" s="34"/>
      <c r="V37" s="34"/>
      <c r="W37" s="34"/>
      <c r="X37" s="34"/>
      <c r="Y37" s="34"/>
      <c r="Z37" s="34"/>
      <c r="AA37" s="34"/>
    </row>
    <row r="38" spans="1:27" ht="15">
      <c r="A38" s="66" t="s">
        <v>322</v>
      </c>
      <c r="B38" s="66" t="s">
        <v>365</v>
      </c>
      <c r="C38" s="67" t="s">
        <v>3495</v>
      </c>
      <c r="D38" s="68">
        <v>3</v>
      </c>
      <c r="E38" s="69"/>
      <c r="F38" s="70">
        <v>50</v>
      </c>
      <c r="G38" s="67"/>
      <c r="H38" s="71"/>
      <c r="I38" s="72"/>
      <c r="J38" s="72"/>
      <c r="K38" s="34" t="s">
        <v>65</v>
      </c>
      <c r="L38" s="79">
        <v>38</v>
      </c>
      <c r="M38" s="79"/>
      <c r="N38" s="74"/>
      <c r="O38" s="81" t="s">
        <v>653</v>
      </c>
      <c r="P38">
        <v>1</v>
      </c>
      <c r="Q38" s="80" t="str">
        <f>REPLACE(INDEX(GroupVertices[Group],MATCH(Edges[[#This Row],[Vertex 1]],GroupVertices[Vertex],0)),1,1,"")</f>
        <v>3</v>
      </c>
      <c r="R38" s="80" t="str">
        <f>REPLACE(INDEX(GroupVertices[Group],MATCH(Edges[[#This Row],[Vertex 2]],GroupVertices[Vertex],0)),1,1,"")</f>
        <v>3</v>
      </c>
      <c r="S38" s="34"/>
      <c r="T38" s="34"/>
      <c r="U38" s="34"/>
      <c r="V38" s="34"/>
      <c r="W38" s="34"/>
      <c r="X38" s="34"/>
      <c r="Y38" s="34"/>
      <c r="Z38" s="34"/>
      <c r="AA38" s="34"/>
    </row>
    <row r="39" spans="1:27" ht="15">
      <c r="A39" s="66" t="s">
        <v>322</v>
      </c>
      <c r="B39" s="66" t="s">
        <v>366</v>
      </c>
      <c r="C39" s="67" t="s">
        <v>3495</v>
      </c>
      <c r="D39" s="68">
        <v>3</v>
      </c>
      <c r="E39" s="69"/>
      <c r="F39" s="70">
        <v>50</v>
      </c>
      <c r="G39" s="67"/>
      <c r="H39" s="71"/>
      <c r="I39" s="72"/>
      <c r="J39" s="72"/>
      <c r="K39" s="34" t="s">
        <v>65</v>
      </c>
      <c r="L39" s="79">
        <v>39</v>
      </c>
      <c r="M39" s="79"/>
      <c r="N39" s="74"/>
      <c r="O39" s="81" t="s">
        <v>653</v>
      </c>
      <c r="P39">
        <v>1</v>
      </c>
      <c r="Q39" s="80" t="str">
        <f>REPLACE(INDEX(GroupVertices[Group],MATCH(Edges[[#This Row],[Vertex 1]],GroupVertices[Vertex],0)),1,1,"")</f>
        <v>3</v>
      </c>
      <c r="R39" s="80" t="str">
        <f>REPLACE(INDEX(GroupVertices[Group],MATCH(Edges[[#This Row],[Vertex 2]],GroupVertices[Vertex],0)),1,1,"")</f>
        <v>3</v>
      </c>
      <c r="S39" s="34"/>
      <c r="T39" s="34"/>
      <c r="U39" s="34"/>
      <c r="V39" s="34"/>
      <c r="W39" s="34"/>
      <c r="X39" s="34"/>
      <c r="Y39" s="34"/>
      <c r="Z39" s="34"/>
      <c r="AA39" s="34"/>
    </row>
    <row r="40" spans="1:27" ht="15">
      <c r="A40" s="66" t="s">
        <v>322</v>
      </c>
      <c r="B40" s="66" t="s">
        <v>367</v>
      </c>
      <c r="C40" s="67" t="s">
        <v>3495</v>
      </c>
      <c r="D40" s="68">
        <v>3</v>
      </c>
      <c r="E40" s="69"/>
      <c r="F40" s="70">
        <v>50</v>
      </c>
      <c r="G40" s="67"/>
      <c r="H40" s="71"/>
      <c r="I40" s="72"/>
      <c r="J40" s="72"/>
      <c r="K40" s="34" t="s">
        <v>65</v>
      </c>
      <c r="L40" s="79">
        <v>40</v>
      </c>
      <c r="M40" s="79"/>
      <c r="N40" s="74"/>
      <c r="O40" s="81" t="s">
        <v>653</v>
      </c>
      <c r="P40">
        <v>1</v>
      </c>
      <c r="Q40" s="80" t="str">
        <f>REPLACE(INDEX(GroupVertices[Group],MATCH(Edges[[#This Row],[Vertex 1]],GroupVertices[Vertex],0)),1,1,"")</f>
        <v>3</v>
      </c>
      <c r="R40" s="80" t="str">
        <f>REPLACE(INDEX(GroupVertices[Group],MATCH(Edges[[#This Row],[Vertex 2]],GroupVertices[Vertex],0)),1,1,"")</f>
        <v>3</v>
      </c>
      <c r="S40" s="34"/>
      <c r="T40" s="34"/>
      <c r="U40" s="34"/>
      <c r="V40" s="34"/>
      <c r="W40" s="34"/>
      <c r="X40" s="34"/>
      <c r="Y40" s="34"/>
      <c r="Z40" s="34"/>
      <c r="AA40" s="34"/>
    </row>
    <row r="41" spans="1:27" ht="15">
      <c r="A41" s="66" t="s">
        <v>322</v>
      </c>
      <c r="B41" s="66" t="s">
        <v>368</v>
      </c>
      <c r="C41" s="67" t="s">
        <v>3495</v>
      </c>
      <c r="D41" s="68">
        <v>3</v>
      </c>
      <c r="E41" s="69"/>
      <c r="F41" s="70">
        <v>50</v>
      </c>
      <c r="G41" s="67"/>
      <c r="H41" s="71"/>
      <c r="I41" s="72"/>
      <c r="J41" s="72"/>
      <c r="K41" s="34" t="s">
        <v>65</v>
      </c>
      <c r="L41" s="79">
        <v>41</v>
      </c>
      <c r="M41" s="79"/>
      <c r="N41" s="74"/>
      <c r="O41" s="81" t="s">
        <v>653</v>
      </c>
      <c r="P41">
        <v>1</v>
      </c>
      <c r="Q41" s="80" t="str">
        <f>REPLACE(INDEX(GroupVertices[Group],MATCH(Edges[[#This Row],[Vertex 1]],GroupVertices[Vertex],0)),1,1,"")</f>
        <v>3</v>
      </c>
      <c r="R41" s="80" t="str">
        <f>REPLACE(INDEX(GroupVertices[Group],MATCH(Edges[[#This Row],[Vertex 2]],GroupVertices[Vertex],0)),1,1,"")</f>
        <v>3</v>
      </c>
      <c r="S41" s="34"/>
      <c r="T41" s="34"/>
      <c r="U41" s="34"/>
      <c r="V41" s="34"/>
      <c r="W41" s="34"/>
      <c r="X41" s="34"/>
      <c r="Y41" s="34"/>
      <c r="Z41" s="34"/>
      <c r="AA41" s="34"/>
    </row>
    <row r="42" spans="1:27" ht="15">
      <c r="A42" s="66" t="s">
        <v>322</v>
      </c>
      <c r="B42" s="66" t="s">
        <v>369</v>
      </c>
      <c r="C42" s="67" t="s">
        <v>3495</v>
      </c>
      <c r="D42" s="68">
        <v>3</v>
      </c>
      <c r="E42" s="69"/>
      <c r="F42" s="70">
        <v>50</v>
      </c>
      <c r="G42" s="67"/>
      <c r="H42" s="71"/>
      <c r="I42" s="72"/>
      <c r="J42" s="72"/>
      <c r="K42" s="34" t="s">
        <v>65</v>
      </c>
      <c r="L42" s="79">
        <v>42</v>
      </c>
      <c r="M42" s="79"/>
      <c r="N42" s="74"/>
      <c r="O42" s="81" t="s">
        <v>653</v>
      </c>
      <c r="P42">
        <v>1</v>
      </c>
      <c r="Q42" s="80" t="str">
        <f>REPLACE(INDEX(GroupVertices[Group],MATCH(Edges[[#This Row],[Vertex 1]],GroupVertices[Vertex],0)),1,1,"")</f>
        <v>3</v>
      </c>
      <c r="R42" s="80" t="str">
        <f>REPLACE(INDEX(GroupVertices[Group],MATCH(Edges[[#This Row],[Vertex 2]],GroupVertices[Vertex],0)),1,1,"")</f>
        <v>3</v>
      </c>
      <c r="S42" s="34"/>
      <c r="T42" s="34"/>
      <c r="U42" s="34"/>
      <c r="V42" s="34"/>
      <c r="W42" s="34"/>
      <c r="X42" s="34"/>
      <c r="Y42" s="34"/>
      <c r="Z42" s="34"/>
      <c r="AA42" s="34"/>
    </row>
    <row r="43" spans="1:27" ht="15">
      <c r="A43" s="66" t="s">
        <v>322</v>
      </c>
      <c r="B43" s="66" t="s">
        <v>370</v>
      </c>
      <c r="C43" s="67" t="s">
        <v>3495</v>
      </c>
      <c r="D43" s="68">
        <v>3</v>
      </c>
      <c r="E43" s="69"/>
      <c r="F43" s="70">
        <v>50</v>
      </c>
      <c r="G43" s="67"/>
      <c r="H43" s="71"/>
      <c r="I43" s="72"/>
      <c r="J43" s="72"/>
      <c r="K43" s="34" t="s">
        <v>65</v>
      </c>
      <c r="L43" s="79">
        <v>43</v>
      </c>
      <c r="M43" s="79"/>
      <c r="N43" s="74"/>
      <c r="O43" s="81" t="s">
        <v>653</v>
      </c>
      <c r="P43">
        <v>1</v>
      </c>
      <c r="Q43" s="80" t="str">
        <f>REPLACE(INDEX(GroupVertices[Group],MATCH(Edges[[#This Row],[Vertex 1]],GroupVertices[Vertex],0)),1,1,"")</f>
        <v>3</v>
      </c>
      <c r="R43" s="80" t="str">
        <f>REPLACE(INDEX(GroupVertices[Group],MATCH(Edges[[#This Row],[Vertex 2]],GroupVertices[Vertex],0)),1,1,"")</f>
        <v>3</v>
      </c>
      <c r="S43" s="34"/>
      <c r="T43" s="34"/>
      <c r="U43" s="34"/>
      <c r="V43" s="34"/>
      <c r="W43" s="34"/>
      <c r="X43" s="34"/>
      <c r="Y43" s="34"/>
      <c r="Z43" s="34"/>
      <c r="AA43" s="34"/>
    </row>
    <row r="44" spans="1:27" ht="15">
      <c r="A44" s="66" t="s">
        <v>322</v>
      </c>
      <c r="B44" s="66" t="s">
        <v>371</v>
      </c>
      <c r="C44" s="67" t="s">
        <v>3495</v>
      </c>
      <c r="D44" s="68">
        <v>3</v>
      </c>
      <c r="E44" s="69"/>
      <c r="F44" s="70">
        <v>50</v>
      </c>
      <c r="G44" s="67"/>
      <c r="H44" s="71"/>
      <c r="I44" s="72"/>
      <c r="J44" s="72"/>
      <c r="K44" s="34" t="s">
        <v>65</v>
      </c>
      <c r="L44" s="79">
        <v>44</v>
      </c>
      <c r="M44" s="79"/>
      <c r="N44" s="74"/>
      <c r="O44" s="81" t="s">
        <v>653</v>
      </c>
      <c r="P44">
        <v>1</v>
      </c>
      <c r="Q44" s="80" t="str">
        <f>REPLACE(INDEX(GroupVertices[Group],MATCH(Edges[[#This Row],[Vertex 1]],GroupVertices[Vertex],0)),1,1,"")</f>
        <v>3</v>
      </c>
      <c r="R44" s="80" t="str">
        <f>REPLACE(INDEX(GroupVertices[Group],MATCH(Edges[[#This Row],[Vertex 2]],GroupVertices[Vertex],0)),1,1,"")</f>
        <v>3</v>
      </c>
      <c r="S44" s="34"/>
      <c r="T44" s="34"/>
      <c r="U44" s="34"/>
      <c r="V44" s="34"/>
      <c r="W44" s="34"/>
      <c r="X44" s="34"/>
      <c r="Y44" s="34"/>
      <c r="Z44" s="34"/>
      <c r="AA44" s="34"/>
    </row>
    <row r="45" spans="1:27" ht="15">
      <c r="A45" s="66" t="s">
        <v>322</v>
      </c>
      <c r="B45" s="66" t="s">
        <v>372</v>
      </c>
      <c r="C45" s="67" t="s">
        <v>3495</v>
      </c>
      <c r="D45" s="68">
        <v>3</v>
      </c>
      <c r="E45" s="69"/>
      <c r="F45" s="70">
        <v>50</v>
      </c>
      <c r="G45" s="67"/>
      <c r="H45" s="71"/>
      <c r="I45" s="72"/>
      <c r="J45" s="72"/>
      <c r="K45" s="34" t="s">
        <v>65</v>
      </c>
      <c r="L45" s="79">
        <v>45</v>
      </c>
      <c r="M45" s="79"/>
      <c r="N45" s="74"/>
      <c r="O45" s="81" t="s">
        <v>653</v>
      </c>
      <c r="P45">
        <v>1</v>
      </c>
      <c r="Q45" s="80" t="str">
        <f>REPLACE(INDEX(GroupVertices[Group],MATCH(Edges[[#This Row],[Vertex 1]],GroupVertices[Vertex],0)),1,1,"")</f>
        <v>3</v>
      </c>
      <c r="R45" s="80" t="str">
        <f>REPLACE(INDEX(GroupVertices[Group],MATCH(Edges[[#This Row],[Vertex 2]],GroupVertices[Vertex],0)),1,1,"")</f>
        <v>3</v>
      </c>
      <c r="S45" s="34"/>
      <c r="T45" s="34"/>
      <c r="U45" s="34"/>
      <c r="V45" s="34"/>
      <c r="W45" s="34"/>
      <c r="X45" s="34"/>
      <c r="Y45" s="34"/>
      <c r="Z45" s="34"/>
      <c r="AA45" s="34"/>
    </row>
    <row r="46" spans="1:27" ht="15">
      <c r="A46" s="66" t="s">
        <v>322</v>
      </c>
      <c r="B46" s="66" t="s">
        <v>373</v>
      </c>
      <c r="C46" s="67" t="s">
        <v>3495</v>
      </c>
      <c r="D46" s="68">
        <v>3</v>
      </c>
      <c r="E46" s="69"/>
      <c r="F46" s="70">
        <v>50</v>
      </c>
      <c r="G46" s="67"/>
      <c r="H46" s="71"/>
      <c r="I46" s="72"/>
      <c r="J46" s="72"/>
      <c r="K46" s="34" t="s">
        <v>65</v>
      </c>
      <c r="L46" s="79">
        <v>46</v>
      </c>
      <c r="M46" s="79"/>
      <c r="N46" s="74"/>
      <c r="O46" s="81" t="s">
        <v>653</v>
      </c>
      <c r="P46">
        <v>1</v>
      </c>
      <c r="Q46" s="80" t="str">
        <f>REPLACE(INDEX(GroupVertices[Group],MATCH(Edges[[#This Row],[Vertex 1]],GroupVertices[Vertex],0)),1,1,"")</f>
        <v>3</v>
      </c>
      <c r="R46" s="80" t="str">
        <f>REPLACE(INDEX(GroupVertices[Group],MATCH(Edges[[#This Row],[Vertex 2]],GroupVertices[Vertex],0)),1,1,"")</f>
        <v>3</v>
      </c>
      <c r="S46" s="34"/>
      <c r="T46" s="34"/>
      <c r="U46" s="34"/>
      <c r="V46" s="34"/>
      <c r="W46" s="34"/>
      <c r="X46" s="34"/>
      <c r="Y46" s="34"/>
      <c r="Z46" s="34"/>
      <c r="AA46" s="34"/>
    </row>
    <row r="47" spans="1:27" ht="15">
      <c r="A47" s="66" t="s">
        <v>322</v>
      </c>
      <c r="B47" s="66" t="s">
        <v>374</v>
      </c>
      <c r="C47" s="67" t="s">
        <v>3495</v>
      </c>
      <c r="D47" s="68">
        <v>3</v>
      </c>
      <c r="E47" s="69"/>
      <c r="F47" s="70">
        <v>50</v>
      </c>
      <c r="G47" s="67"/>
      <c r="H47" s="71"/>
      <c r="I47" s="72"/>
      <c r="J47" s="72"/>
      <c r="K47" s="34" t="s">
        <v>65</v>
      </c>
      <c r="L47" s="79">
        <v>47</v>
      </c>
      <c r="M47" s="79"/>
      <c r="N47" s="74"/>
      <c r="O47" s="81" t="s">
        <v>653</v>
      </c>
      <c r="P47">
        <v>1</v>
      </c>
      <c r="Q47" s="80" t="str">
        <f>REPLACE(INDEX(GroupVertices[Group],MATCH(Edges[[#This Row],[Vertex 1]],GroupVertices[Vertex],0)),1,1,"")</f>
        <v>3</v>
      </c>
      <c r="R47" s="80" t="str">
        <f>REPLACE(INDEX(GroupVertices[Group],MATCH(Edges[[#This Row],[Vertex 2]],GroupVertices[Vertex],0)),1,1,"")</f>
        <v>3</v>
      </c>
      <c r="S47" s="34"/>
      <c r="T47" s="34"/>
      <c r="U47" s="34"/>
      <c r="V47" s="34"/>
      <c r="W47" s="34"/>
      <c r="X47" s="34"/>
      <c r="Y47" s="34"/>
      <c r="Z47" s="34"/>
      <c r="AA47" s="34"/>
    </row>
    <row r="48" spans="1:27" ht="15">
      <c r="A48" s="66" t="s">
        <v>322</v>
      </c>
      <c r="B48" s="66" t="s">
        <v>375</v>
      </c>
      <c r="C48" s="67" t="s">
        <v>3495</v>
      </c>
      <c r="D48" s="68">
        <v>3</v>
      </c>
      <c r="E48" s="69"/>
      <c r="F48" s="70">
        <v>50</v>
      </c>
      <c r="G48" s="67"/>
      <c r="H48" s="71"/>
      <c r="I48" s="72"/>
      <c r="J48" s="72"/>
      <c r="K48" s="34" t="s">
        <v>65</v>
      </c>
      <c r="L48" s="79">
        <v>48</v>
      </c>
      <c r="M48" s="79"/>
      <c r="N48" s="74"/>
      <c r="O48" s="81" t="s">
        <v>653</v>
      </c>
      <c r="P48">
        <v>1</v>
      </c>
      <c r="Q48" s="80" t="str">
        <f>REPLACE(INDEX(GroupVertices[Group],MATCH(Edges[[#This Row],[Vertex 1]],GroupVertices[Vertex],0)),1,1,"")</f>
        <v>3</v>
      </c>
      <c r="R48" s="80" t="str">
        <f>REPLACE(INDEX(GroupVertices[Group],MATCH(Edges[[#This Row],[Vertex 2]],GroupVertices[Vertex],0)),1,1,"")</f>
        <v>3</v>
      </c>
      <c r="S48" s="34"/>
      <c r="T48" s="34"/>
      <c r="U48" s="34"/>
      <c r="V48" s="34"/>
      <c r="W48" s="34"/>
      <c r="X48" s="34"/>
      <c r="Y48" s="34"/>
      <c r="Z48" s="34"/>
      <c r="AA48" s="34"/>
    </row>
    <row r="49" spans="1:27" ht="15">
      <c r="A49" s="66" t="s">
        <v>323</v>
      </c>
      <c r="B49" s="66" t="s">
        <v>376</v>
      </c>
      <c r="C49" s="67" t="s">
        <v>3495</v>
      </c>
      <c r="D49" s="68">
        <v>3</v>
      </c>
      <c r="E49" s="69"/>
      <c r="F49" s="70">
        <v>50</v>
      </c>
      <c r="G49" s="67"/>
      <c r="H49" s="71"/>
      <c r="I49" s="72"/>
      <c r="J49" s="72"/>
      <c r="K49" s="34" t="s">
        <v>65</v>
      </c>
      <c r="L49" s="79">
        <v>49</v>
      </c>
      <c r="M49" s="79"/>
      <c r="N49" s="74"/>
      <c r="O49" s="81" t="s">
        <v>653</v>
      </c>
      <c r="P49">
        <v>1</v>
      </c>
      <c r="Q49" s="80" t="str">
        <f>REPLACE(INDEX(GroupVertices[Group],MATCH(Edges[[#This Row],[Vertex 1]],GroupVertices[Vertex],0)),1,1,"")</f>
        <v>6</v>
      </c>
      <c r="R49" s="80" t="str">
        <f>REPLACE(INDEX(GroupVertices[Group],MATCH(Edges[[#This Row],[Vertex 2]],GroupVertices[Vertex],0)),1,1,"")</f>
        <v>6</v>
      </c>
      <c r="S49" s="34"/>
      <c r="T49" s="34"/>
      <c r="U49" s="34"/>
      <c r="V49" s="34"/>
      <c r="W49" s="34"/>
      <c r="X49" s="34"/>
      <c r="Y49" s="34"/>
      <c r="Z49" s="34"/>
      <c r="AA49" s="34"/>
    </row>
    <row r="50" spans="1:27" ht="15">
      <c r="A50" s="66" t="s">
        <v>323</v>
      </c>
      <c r="B50" s="66" t="s">
        <v>377</v>
      </c>
      <c r="C50" s="67" t="s">
        <v>3495</v>
      </c>
      <c r="D50" s="68">
        <v>3</v>
      </c>
      <c r="E50" s="69"/>
      <c r="F50" s="70">
        <v>50</v>
      </c>
      <c r="G50" s="67"/>
      <c r="H50" s="71"/>
      <c r="I50" s="72"/>
      <c r="J50" s="72"/>
      <c r="K50" s="34" t="s">
        <v>65</v>
      </c>
      <c r="L50" s="79">
        <v>50</v>
      </c>
      <c r="M50" s="79"/>
      <c r="N50" s="74"/>
      <c r="O50" s="81" t="s">
        <v>653</v>
      </c>
      <c r="P50">
        <v>1</v>
      </c>
      <c r="Q50" s="80" t="str">
        <f>REPLACE(INDEX(GroupVertices[Group],MATCH(Edges[[#This Row],[Vertex 1]],GroupVertices[Vertex],0)),1,1,"")</f>
        <v>6</v>
      </c>
      <c r="R50" s="80" t="str">
        <f>REPLACE(INDEX(GroupVertices[Group],MATCH(Edges[[#This Row],[Vertex 2]],GroupVertices[Vertex],0)),1,1,"")</f>
        <v>6</v>
      </c>
      <c r="S50" s="34"/>
      <c r="T50" s="34"/>
      <c r="U50" s="34"/>
      <c r="V50" s="34"/>
      <c r="W50" s="34"/>
      <c r="X50" s="34"/>
      <c r="Y50" s="34"/>
      <c r="Z50" s="34"/>
      <c r="AA50" s="34"/>
    </row>
    <row r="51" spans="1:27" ht="15">
      <c r="A51" s="66" t="s">
        <v>323</v>
      </c>
      <c r="B51" s="66" t="s">
        <v>378</v>
      </c>
      <c r="C51" s="67" t="s">
        <v>3495</v>
      </c>
      <c r="D51" s="68">
        <v>3</v>
      </c>
      <c r="E51" s="69"/>
      <c r="F51" s="70">
        <v>50</v>
      </c>
      <c r="G51" s="67"/>
      <c r="H51" s="71"/>
      <c r="I51" s="72"/>
      <c r="J51" s="72"/>
      <c r="K51" s="34" t="s">
        <v>65</v>
      </c>
      <c r="L51" s="79">
        <v>51</v>
      </c>
      <c r="M51" s="79"/>
      <c r="N51" s="74"/>
      <c r="O51" s="81" t="s">
        <v>653</v>
      </c>
      <c r="P51">
        <v>1</v>
      </c>
      <c r="Q51" s="80" t="str">
        <f>REPLACE(INDEX(GroupVertices[Group],MATCH(Edges[[#This Row],[Vertex 1]],GroupVertices[Vertex],0)),1,1,"")</f>
        <v>6</v>
      </c>
      <c r="R51" s="80" t="str">
        <f>REPLACE(INDEX(GroupVertices[Group],MATCH(Edges[[#This Row],[Vertex 2]],GroupVertices[Vertex],0)),1,1,"")</f>
        <v>6</v>
      </c>
      <c r="S51" s="34"/>
      <c r="T51" s="34"/>
      <c r="U51" s="34"/>
      <c r="V51" s="34"/>
      <c r="W51" s="34"/>
      <c r="X51" s="34"/>
      <c r="Y51" s="34"/>
      <c r="Z51" s="34"/>
      <c r="AA51" s="34"/>
    </row>
    <row r="52" spans="1:27" ht="15">
      <c r="A52" s="66" t="s">
        <v>323</v>
      </c>
      <c r="B52" s="66" t="s">
        <v>379</v>
      </c>
      <c r="C52" s="67" t="s">
        <v>3495</v>
      </c>
      <c r="D52" s="68">
        <v>3</v>
      </c>
      <c r="E52" s="69"/>
      <c r="F52" s="70">
        <v>50</v>
      </c>
      <c r="G52" s="67"/>
      <c r="H52" s="71"/>
      <c r="I52" s="72"/>
      <c r="J52" s="72"/>
      <c r="K52" s="34" t="s">
        <v>65</v>
      </c>
      <c r="L52" s="79">
        <v>52</v>
      </c>
      <c r="M52" s="79"/>
      <c r="N52" s="74"/>
      <c r="O52" s="81" t="s">
        <v>653</v>
      </c>
      <c r="P52">
        <v>1</v>
      </c>
      <c r="Q52" s="80" t="str">
        <f>REPLACE(INDEX(GroupVertices[Group],MATCH(Edges[[#This Row],[Vertex 1]],GroupVertices[Vertex],0)),1,1,"")</f>
        <v>6</v>
      </c>
      <c r="R52" s="80" t="str">
        <f>REPLACE(INDEX(GroupVertices[Group],MATCH(Edges[[#This Row],[Vertex 2]],GroupVertices[Vertex],0)),1,1,"")</f>
        <v>6</v>
      </c>
      <c r="S52" s="34"/>
      <c r="T52" s="34"/>
      <c r="U52" s="34"/>
      <c r="V52" s="34"/>
      <c r="W52" s="34"/>
      <c r="X52" s="34"/>
      <c r="Y52" s="34"/>
      <c r="Z52" s="34"/>
      <c r="AA52" s="34"/>
    </row>
    <row r="53" spans="1:27" ht="15">
      <c r="A53" s="66" t="s">
        <v>323</v>
      </c>
      <c r="B53" s="66" t="s">
        <v>380</v>
      </c>
      <c r="C53" s="67" t="s">
        <v>3495</v>
      </c>
      <c r="D53" s="68">
        <v>3</v>
      </c>
      <c r="E53" s="69"/>
      <c r="F53" s="70">
        <v>50</v>
      </c>
      <c r="G53" s="67"/>
      <c r="H53" s="71"/>
      <c r="I53" s="72"/>
      <c r="J53" s="72"/>
      <c r="K53" s="34" t="s">
        <v>65</v>
      </c>
      <c r="L53" s="79">
        <v>53</v>
      </c>
      <c r="M53" s="79"/>
      <c r="N53" s="74"/>
      <c r="O53" s="81" t="s">
        <v>653</v>
      </c>
      <c r="P53">
        <v>1</v>
      </c>
      <c r="Q53" s="80" t="str">
        <f>REPLACE(INDEX(GroupVertices[Group],MATCH(Edges[[#This Row],[Vertex 1]],GroupVertices[Vertex],0)),1,1,"")</f>
        <v>6</v>
      </c>
      <c r="R53" s="80" t="str">
        <f>REPLACE(INDEX(GroupVertices[Group],MATCH(Edges[[#This Row],[Vertex 2]],GroupVertices[Vertex],0)),1,1,"")</f>
        <v>6</v>
      </c>
      <c r="S53" s="34"/>
      <c r="T53" s="34"/>
      <c r="U53" s="34"/>
      <c r="V53" s="34"/>
      <c r="W53" s="34"/>
      <c r="X53" s="34"/>
      <c r="Y53" s="34"/>
      <c r="Z53" s="34"/>
      <c r="AA53" s="34"/>
    </row>
    <row r="54" spans="1:27" ht="15">
      <c r="A54" s="66" t="s">
        <v>323</v>
      </c>
      <c r="B54" s="66" t="s">
        <v>381</v>
      </c>
      <c r="C54" s="67" t="s">
        <v>3495</v>
      </c>
      <c r="D54" s="68">
        <v>3</v>
      </c>
      <c r="E54" s="69"/>
      <c r="F54" s="70">
        <v>50</v>
      </c>
      <c r="G54" s="67"/>
      <c r="H54" s="71"/>
      <c r="I54" s="72"/>
      <c r="J54" s="72"/>
      <c r="K54" s="34" t="s">
        <v>65</v>
      </c>
      <c r="L54" s="79">
        <v>54</v>
      </c>
      <c r="M54" s="79"/>
      <c r="N54" s="74"/>
      <c r="O54" s="81" t="s">
        <v>653</v>
      </c>
      <c r="P54">
        <v>1</v>
      </c>
      <c r="Q54" s="80" t="str">
        <f>REPLACE(INDEX(GroupVertices[Group],MATCH(Edges[[#This Row],[Vertex 1]],GroupVertices[Vertex],0)),1,1,"")</f>
        <v>6</v>
      </c>
      <c r="R54" s="80" t="str">
        <f>REPLACE(INDEX(GroupVertices[Group],MATCH(Edges[[#This Row],[Vertex 2]],GroupVertices[Vertex],0)),1,1,"")</f>
        <v>6</v>
      </c>
      <c r="S54" s="34"/>
      <c r="T54" s="34"/>
      <c r="U54" s="34"/>
      <c r="V54" s="34"/>
      <c r="W54" s="34"/>
      <c r="X54" s="34"/>
      <c r="Y54" s="34"/>
      <c r="Z54" s="34"/>
      <c r="AA54" s="34"/>
    </row>
    <row r="55" spans="1:27" ht="15">
      <c r="A55" s="66" t="s">
        <v>323</v>
      </c>
      <c r="B55" s="66" t="s">
        <v>382</v>
      </c>
      <c r="C55" s="67" t="s">
        <v>3495</v>
      </c>
      <c r="D55" s="68">
        <v>3</v>
      </c>
      <c r="E55" s="69"/>
      <c r="F55" s="70">
        <v>50</v>
      </c>
      <c r="G55" s="67"/>
      <c r="H55" s="71"/>
      <c r="I55" s="72"/>
      <c r="J55" s="72"/>
      <c r="K55" s="34" t="s">
        <v>65</v>
      </c>
      <c r="L55" s="79">
        <v>55</v>
      </c>
      <c r="M55" s="79"/>
      <c r="N55" s="74"/>
      <c r="O55" s="81" t="s">
        <v>653</v>
      </c>
      <c r="P55">
        <v>1</v>
      </c>
      <c r="Q55" s="80" t="str">
        <f>REPLACE(INDEX(GroupVertices[Group],MATCH(Edges[[#This Row],[Vertex 1]],GroupVertices[Vertex],0)),1,1,"")</f>
        <v>6</v>
      </c>
      <c r="R55" s="80" t="str">
        <f>REPLACE(INDEX(GroupVertices[Group],MATCH(Edges[[#This Row],[Vertex 2]],GroupVertices[Vertex],0)),1,1,"")</f>
        <v>6</v>
      </c>
      <c r="S55" s="34"/>
      <c r="T55" s="34"/>
      <c r="U55" s="34"/>
      <c r="V55" s="34"/>
      <c r="W55" s="34"/>
      <c r="X55" s="34"/>
      <c r="Y55" s="34"/>
      <c r="Z55" s="34"/>
      <c r="AA55" s="34"/>
    </row>
    <row r="56" spans="1:27" ht="15">
      <c r="A56" s="66" t="s">
        <v>323</v>
      </c>
      <c r="B56" s="66" t="s">
        <v>383</v>
      </c>
      <c r="C56" s="67" t="s">
        <v>3495</v>
      </c>
      <c r="D56" s="68">
        <v>3</v>
      </c>
      <c r="E56" s="69"/>
      <c r="F56" s="70">
        <v>50</v>
      </c>
      <c r="G56" s="67"/>
      <c r="H56" s="71"/>
      <c r="I56" s="72"/>
      <c r="J56" s="72"/>
      <c r="K56" s="34" t="s">
        <v>65</v>
      </c>
      <c r="L56" s="79">
        <v>56</v>
      </c>
      <c r="M56" s="79"/>
      <c r="N56" s="74"/>
      <c r="O56" s="81" t="s">
        <v>653</v>
      </c>
      <c r="P56">
        <v>1</v>
      </c>
      <c r="Q56" s="80" t="str">
        <f>REPLACE(INDEX(GroupVertices[Group],MATCH(Edges[[#This Row],[Vertex 1]],GroupVertices[Vertex],0)),1,1,"")</f>
        <v>6</v>
      </c>
      <c r="R56" s="80" t="str">
        <f>REPLACE(INDEX(GroupVertices[Group],MATCH(Edges[[#This Row],[Vertex 2]],GroupVertices[Vertex],0)),1,1,"")</f>
        <v>6</v>
      </c>
      <c r="S56" s="34"/>
      <c r="T56" s="34"/>
      <c r="U56" s="34"/>
      <c r="V56" s="34"/>
      <c r="W56" s="34"/>
      <c r="X56" s="34"/>
      <c r="Y56" s="34"/>
      <c r="Z56" s="34"/>
      <c r="AA56" s="34"/>
    </row>
    <row r="57" spans="1:27" ht="15">
      <c r="A57" s="66" t="s">
        <v>323</v>
      </c>
      <c r="B57" s="66" t="s">
        <v>384</v>
      </c>
      <c r="C57" s="67" t="s">
        <v>3495</v>
      </c>
      <c r="D57" s="68">
        <v>3</v>
      </c>
      <c r="E57" s="69"/>
      <c r="F57" s="70">
        <v>50</v>
      </c>
      <c r="G57" s="67"/>
      <c r="H57" s="71"/>
      <c r="I57" s="72"/>
      <c r="J57" s="72"/>
      <c r="K57" s="34" t="s">
        <v>65</v>
      </c>
      <c r="L57" s="79">
        <v>57</v>
      </c>
      <c r="M57" s="79"/>
      <c r="N57" s="74"/>
      <c r="O57" s="81" t="s">
        <v>653</v>
      </c>
      <c r="P57">
        <v>1</v>
      </c>
      <c r="Q57" s="80" t="str">
        <f>REPLACE(INDEX(GroupVertices[Group],MATCH(Edges[[#This Row],[Vertex 1]],GroupVertices[Vertex],0)),1,1,"")</f>
        <v>6</v>
      </c>
      <c r="R57" s="80" t="str">
        <f>REPLACE(INDEX(GroupVertices[Group],MATCH(Edges[[#This Row],[Vertex 2]],GroupVertices[Vertex],0)),1,1,"")</f>
        <v>6</v>
      </c>
      <c r="S57" s="34"/>
      <c r="T57" s="34"/>
      <c r="U57" s="34"/>
      <c r="V57" s="34"/>
      <c r="W57" s="34"/>
      <c r="X57" s="34"/>
      <c r="Y57" s="34"/>
      <c r="Z57" s="34"/>
      <c r="AA57" s="34"/>
    </row>
    <row r="58" spans="1:27" ht="15">
      <c r="A58" s="66" t="s">
        <v>323</v>
      </c>
      <c r="B58" s="66" t="s">
        <v>385</v>
      </c>
      <c r="C58" s="67" t="s">
        <v>3495</v>
      </c>
      <c r="D58" s="68">
        <v>3</v>
      </c>
      <c r="E58" s="69"/>
      <c r="F58" s="70">
        <v>50</v>
      </c>
      <c r="G58" s="67"/>
      <c r="H58" s="71"/>
      <c r="I58" s="72"/>
      <c r="J58" s="72"/>
      <c r="K58" s="34" t="s">
        <v>65</v>
      </c>
      <c r="L58" s="79">
        <v>58</v>
      </c>
      <c r="M58" s="79"/>
      <c r="N58" s="74"/>
      <c r="O58" s="81" t="s">
        <v>653</v>
      </c>
      <c r="P58">
        <v>1</v>
      </c>
      <c r="Q58" s="80" t="str">
        <f>REPLACE(INDEX(GroupVertices[Group],MATCH(Edges[[#This Row],[Vertex 1]],GroupVertices[Vertex],0)),1,1,"")</f>
        <v>6</v>
      </c>
      <c r="R58" s="80" t="str">
        <f>REPLACE(INDEX(GroupVertices[Group],MATCH(Edges[[#This Row],[Vertex 2]],GroupVertices[Vertex],0)),1,1,"")</f>
        <v>6</v>
      </c>
      <c r="S58" s="34"/>
      <c r="T58" s="34"/>
      <c r="U58" s="34"/>
      <c r="V58" s="34"/>
      <c r="W58" s="34"/>
      <c r="X58" s="34"/>
      <c r="Y58" s="34"/>
      <c r="Z58" s="34"/>
      <c r="AA58" s="34"/>
    </row>
    <row r="59" spans="1:27" ht="15">
      <c r="A59" s="66" t="s">
        <v>323</v>
      </c>
      <c r="B59" s="66" t="s">
        <v>386</v>
      </c>
      <c r="C59" s="67" t="s">
        <v>3495</v>
      </c>
      <c r="D59" s="68">
        <v>3</v>
      </c>
      <c r="E59" s="69"/>
      <c r="F59" s="70">
        <v>50</v>
      </c>
      <c r="G59" s="67"/>
      <c r="H59" s="71"/>
      <c r="I59" s="72"/>
      <c r="J59" s="72"/>
      <c r="K59" s="34" t="s">
        <v>65</v>
      </c>
      <c r="L59" s="79">
        <v>59</v>
      </c>
      <c r="M59" s="79"/>
      <c r="N59" s="74"/>
      <c r="O59" s="81" t="s">
        <v>653</v>
      </c>
      <c r="P59">
        <v>1</v>
      </c>
      <c r="Q59" s="80" t="str">
        <f>REPLACE(INDEX(GroupVertices[Group],MATCH(Edges[[#This Row],[Vertex 1]],GroupVertices[Vertex],0)),1,1,"")</f>
        <v>6</v>
      </c>
      <c r="R59" s="80" t="str">
        <f>REPLACE(INDEX(GroupVertices[Group],MATCH(Edges[[#This Row],[Vertex 2]],GroupVertices[Vertex],0)),1,1,"")</f>
        <v>6</v>
      </c>
      <c r="S59" s="34"/>
      <c r="T59" s="34"/>
      <c r="U59" s="34"/>
      <c r="V59" s="34"/>
      <c r="W59" s="34"/>
      <c r="X59" s="34"/>
      <c r="Y59" s="34"/>
      <c r="Z59" s="34"/>
      <c r="AA59" s="34"/>
    </row>
    <row r="60" spans="1:27" ht="15">
      <c r="A60" s="66" t="s">
        <v>323</v>
      </c>
      <c r="B60" s="66" t="s">
        <v>387</v>
      </c>
      <c r="C60" s="67" t="s">
        <v>3495</v>
      </c>
      <c r="D60" s="68">
        <v>3</v>
      </c>
      <c r="E60" s="69"/>
      <c r="F60" s="70">
        <v>50</v>
      </c>
      <c r="G60" s="67"/>
      <c r="H60" s="71"/>
      <c r="I60" s="72"/>
      <c r="J60" s="72"/>
      <c r="K60" s="34" t="s">
        <v>65</v>
      </c>
      <c r="L60" s="79">
        <v>60</v>
      </c>
      <c r="M60" s="79"/>
      <c r="N60" s="74"/>
      <c r="O60" s="81" t="s">
        <v>653</v>
      </c>
      <c r="P60">
        <v>1</v>
      </c>
      <c r="Q60" s="80" t="str">
        <f>REPLACE(INDEX(GroupVertices[Group],MATCH(Edges[[#This Row],[Vertex 1]],GroupVertices[Vertex],0)),1,1,"")</f>
        <v>6</v>
      </c>
      <c r="R60" s="80" t="str">
        <f>REPLACE(INDEX(GroupVertices[Group],MATCH(Edges[[#This Row],[Vertex 2]],GroupVertices[Vertex],0)),1,1,"")</f>
        <v>6</v>
      </c>
      <c r="S60" s="34"/>
      <c r="T60" s="34"/>
      <c r="U60" s="34"/>
      <c r="V60" s="34"/>
      <c r="W60" s="34"/>
      <c r="X60" s="34"/>
      <c r="Y60" s="34"/>
      <c r="Z60" s="34"/>
      <c r="AA60" s="34"/>
    </row>
    <row r="61" spans="1:27" ht="15">
      <c r="A61" s="66" t="s">
        <v>323</v>
      </c>
      <c r="B61" s="66" t="s">
        <v>388</v>
      </c>
      <c r="C61" s="67" t="s">
        <v>3495</v>
      </c>
      <c r="D61" s="68">
        <v>3</v>
      </c>
      <c r="E61" s="69"/>
      <c r="F61" s="70">
        <v>50</v>
      </c>
      <c r="G61" s="67"/>
      <c r="H61" s="71"/>
      <c r="I61" s="72"/>
      <c r="J61" s="72"/>
      <c r="K61" s="34" t="s">
        <v>65</v>
      </c>
      <c r="L61" s="79">
        <v>61</v>
      </c>
      <c r="M61" s="79"/>
      <c r="N61" s="74"/>
      <c r="O61" s="81" t="s">
        <v>653</v>
      </c>
      <c r="P61">
        <v>1</v>
      </c>
      <c r="Q61" s="80" t="str">
        <f>REPLACE(INDEX(GroupVertices[Group],MATCH(Edges[[#This Row],[Vertex 1]],GroupVertices[Vertex],0)),1,1,"")</f>
        <v>6</v>
      </c>
      <c r="R61" s="80" t="str">
        <f>REPLACE(INDEX(GroupVertices[Group],MATCH(Edges[[#This Row],[Vertex 2]],GroupVertices[Vertex],0)),1,1,"")</f>
        <v>6</v>
      </c>
      <c r="S61" s="34"/>
      <c r="T61" s="34"/>
      <c r="U61" s="34"/>
      <c r="V61" s="34"/>
      <c r="W61" s="34"/>
      <c r="X61" s="34"/>
      <c r="Y61" s="34"/>
      <c r="Z61" s="34"/>
      <c r="AA61" s="34"/>
    </row>
    <row r="62" spans="1:27" ht="15">
      <c r="A62" s="66" t="s">
        <v>323</v>
      </c>
      <c r="B62" s="66" t="s">
        <v>389</v>
      </c>
      <c r="C62" s="67" t="s">
        <v>3495</v>
      </c>
      <c r="D62" s="68">
        <v>3</v>
      </c>
      <c r="E62" s="69"/>
      <c r="F62" s="70">
        <v>50</v>
      </c>
      <c r="G62" s="67"/>
      <c r="H62" s="71"/>
      <c r="I62" s="72"/>
      <c r="J62" s="72"/>
      <c r="K62" s="34" t="s">
        <v>65</v>
      </c>
      <c r="L62" s="79">
        <v>62</v>
      </c>
      <c r="M62" s="79"/>
      <c r="N62" s="74"/>
      <c r="O62" s="81" t="s">
        <v>653</v>
      </c>
      <c r="P62">
        <v>1</v>
      </c>
      <c r="Q62" s="80" t="str">
        <f>REPLACE(INDEX(GroupVertices[Group],MATCH(Edges[[#This Row],[Vertex 1]],GroupVertices[Vertex],0)),1,1,"")</f>
        <v>6</v>
      </c>
      <c r="R62" s="80" t="str">
        <f>REPLACE(INDEX(GroupVertices[Group],MATCH(Edges[[#This Row],[Vertex 2]],GroupVertices[Vertex],0)),1,1,"")</f>
        <v>6</v>
      </c>
      <c r="S62" s="34"/>
      <c r="T62" s="34"/>
      <c r="U62" s="34"/>
      <c r="V62" s="34"/>
      <c r="W62" s="34"/>
      <c r="X62" s="34"/>
      <c r="Y62" s="34"/>
      <c r="Z62" s="34"/>
      <c r="AA62" s="34"/>
    </row>
    <row r="63" spans="1:27" ht="15">
      <c r="A63" s="66" t="s">
        <v>323</v>
      </c>
      <c r="B63" s="66" t="s">
        <v>390</v>
      </c>
      <c r="C63" s="67" t="s">
        <v>3495</v>
      </c>
      <c r="D63" s="68">
        <v>3</v>
      </c>
      <c r="E63" s="69"/>
      <c r="F63" s="70">
        <v>50</v>
      </c>
      <c r="G63" s="67"/>
      <c r="H63" s="71"/>
      <c r="I63" s="72"/>
      <c r="J63" s="72"/>
      <c r="K63" s="34" t="s">
        <v>65</v>
      </c>
      <c r="L63" s="79">
        <v>63</v>
      </c>
      <c r="M63" s="79"/>
      <c r="N63" s="74"/>
      <c r="O63" s="81" t="s">
        <v>653</v>
      </c>
      <c r="P63">
        <v>1</v>
      </c>
      <c r="Q63" s="80" t="str">
        <f>REPLACE(INDEX(GroupVertices[Group],MATCH(Edges[[#This Row],[Vertex 1]],GroupVertices[Vertex],0)),1,1,"")</f>
        <v>6</v>
      </c>
      <c r="R63" s="80" t="str">
        <f>REPLACE(INDEX(GroupVertices[Group],MATCH(Edges[[#This Row],[Vertex 2]],GroupVertices[Vertex],0)),1,1,"")</f>
        <v>6</v>
      </c>
      <c r="S63" s="34"/>
      <c r="T63" s="34"/>
      <c r="U63" s="34"/>
      <c r="V63" s="34"/>
      <c r="W63" s="34"/>
      <c r="X63" s="34"/>
      <c r="Y63" s="34"/>
      <c r="Z63" s="34"/>
      <c r="AA63" s="34"/>
    </row>
    <row r="64" spans="1:27" ht="15">
      <c r="A64" s="66" t="s">
        <v>323</v>
      </c>
      <c r="B64" s="66" t="s">
        <v>391</v>
      </c>
      <c r="C64" s="67" t="s">
        <v>3495</v>
      </c>
      <c r="D64" s="68">
        <v>3</v>
      </c>
      <c r="E64" s="69"/>
      <c r="F64" s="70">
        <v>50</v>
      </c>
      <c r="G64" s="67"/>
      <c r="H64" s="71"/>
      <c r="I64" s="72"/>
      <c r="J64" s="72"/>
      <c r="K64" s="34" t="s">
        <v>65</v>
      </c>
      <c r="L64" s="79">
        <v>64</v>
      </c>
      <c r="M64" s="79"/>
      <c r="N64" s="74"/>
      <c r="O64" s="81" t="s">
        <v>653</v>
      </c>
      <c r="P64">
        <v>1</v>
      </c>
      <c r="Q64" s="80" t="str">
        <f>REPLACE(INDEX(GroupVertices[Group],MATCH(Edges[[#This Row],[Vertex 1]],GroupVertices[Vertex],0)),1,1,"")</f>
        <v>6</v>
      </c>
      <c r="R64" s="80" t="str">
        <f>REPLACE(INDEX(GroupVertices[Group],MATCH(Edges[[#This Row],[Vertex 2]],GroupVertices[Vertex],0)),1,1,"")</f>
        <v>6</v>
      </c>
      <c r="S64" s="34"/>
      <c r="T64" s="34"/>
      <c r="U64" s="34"/>
      <c r="V64" s="34"/>
      <c r="W64" s="34"/>
      <c r="X64" s="34"/>
      <c r="Y64" s="34"/>
      <c r="Z64" s="34"/>
      <c r="AA64" s="34"/>
    </row>
    <row r="65" spans="1:27" ht="15">
      <c r="A65" s="66" t="s">
        <v>323</v>
      </c>
      <c r="B65" s="66" t="s">
        <v>392</v>
      </c>
      <c r="C65" s="67" t="s">
        <v>3495</v>
      </c>
      <c r="D65" s="68">
        <v>3</v>
      </c>
      <c r="E65" s="69"/>
      <c r="F65" s="70">
        <v>50</v>
      </c>
      <c r="G65" s="67"/>
      <c r="H65" s="71"/>
      <c r="I65" s="72"/>
      <c r="J65" s="72"/>
      <c r="K65" s="34" t="s">
        <v>65</v>
      </c>
      <c r="L65" s="79">
        <v>65</v>
      </c>
      <c r="M65" s="79"/>
      <c r="N65" s="74"/>
      <c r="O65" s="81" t="s">
        <v>653</v>
      </c>
      <c r="P65">
        <v>1</v>
      </c>
      <c r="Q65" s="80" t="str">
        <f>REPLACE(INDEX(GroupVertices[Group],MATCH(Edges[[#This Row],[Vertex 1]],GroupVertices[Vertex],0)),1,1,"")</f>
        <v>6</v>
      </c>
      <c r="R65" s="80" t="str">
        <f>REPLACE(INDEX(GroupVertices[Group],MATCH(Edges[[#This Row],[Vertex 2]],GroupVertices[Vertex],0)),1,1,"")</f>
        <v>6</v>
      </c>
      <c r="S65" s="34"/>
      <c r="T65" s="34"/>
      <c r="U65" s="34"/>
      <c r="V65" s="34"/>
      <c r="W65" s="34"/>
      <c r="X65" s="34"/>
      <c r="Y65" s="34"/>
      <c r="Z65" s="34"/>
      <c r="AA65" s="34"/>
    </row>
    <row r="66" spans="1:27" ht="15">
      <c r="A66" s="66" t="s">
        <v>323</v>
      </c>
      <c r="B66" s="66" t="s">
        <v>393</v>
      </c>
      <c r="C66" s="67" t="s">
        <v>3495</v>
      </c>
      <c r="D66" s="68">
        <v>3</v>
      </c>
      <c r="E66" s="69"/>
      <c r="F66" s="70">
        <v>50</v>
      </c>
      <c r="G66" s="67"/>
      <c r="H66" s="71"/>
      <c r="I66" s="72"/>
      <c r="J66" s="72"/>
      <c r="K66" s="34" t="s">
        <v>65</v>
      </c>
      <c r="L66" s="79">
        <v>66</v>
      </c>
      <c r="M66" s="79"/>
      <c r="N66" s="74"/>
      <c r="O66" s="81" t="s">
        <v>653</v>
      </c>
      <c r="P66">
        <v>1</v>
      </c>
      <c r="Q66" s="80" t="str">
        <f>REPLACE(INDEX(GroupVertices[Group],MATCH(Edges[[#This Row],[Vertex 1]],GroupVertices[Vertex],0)),1,1,"")</f>
        <v>6</v>
      </c>
      <c r="R66" s="80" t="str">
        <f>REPLACE(INDEX(GroupVertices[Group],MATCH(Edges[[#This Row],[Vertex 2]],GroupVertices[Vertex],0)),1,1,"")</f>
        <v>6</v>
      </c>
      <c r="S66" s="34"/>
      <c r="T66" s="34"/>
      <c r="U66" s="34"/>
      <c r="V66" s="34"/>
      <c r="W66" s="34"/>
      <c r="X66" s="34"/>
      <c r="Y66" s="34"/>
      <c r="Z66" s="34"/>
      <c r="AA66" s="34"/>
    </row>
    <row r="67" spans="1:27" ht="15">
      <c r="A67" s="66" t="s">
        <v>323</v>
      </c>
      <c r="B67" s="66" t="s">
        <v>394</v>
      </c>
      <c r="C67" s="67" t="s">
        <v>3495</v>
      </c>
      <c r="D67" s="68">
        <v>3</v>
      </c>
      <c r="E67" s="69"/>
      <c r="F67" s="70">
        <v>50</v>
      </c>
      <c r="G67" s="67"/>
      <c r="H67" s="71"/>
      <c r="I67" s="72"/>
      <c r="J67" s="72"/>
      <c r="K67" s="34" t="s">
        <v>65</v>
      </c>
      <c r="L67" s="79">
        <v>67</v>
      </c>
      <c r="M67" s="79"/>
      <c r="N67" s="74"/>
      <c r="O67" s="81" t="s">
        <v>653</v>
      </c>
      <c r="P67">
        <v>1</v>
      </c>
      <c r="Q67" s="80" t="str">
        <f>REPLACE(INDEX(GroupVertices[Group],MATCH(Edges[[#This Row],[Vertex 1]],GroupVertices[Vertex],0)),1,1,"")</f>
        <v>6</v>
      </c>
      <c r="R67" s="80" t="str">
        <f>REPLACE(INDEX(GroupVertices[Group],MATCH(Edges[[#This Row],[Vertex 2]],GroupVertices[Vertex],0)),1,1,"")</f>
        <v>6</v>
      </c>
      <c r="S67" s="34"/>
      <c r="T67" s="34"/>
      <c r="U67" s="34"/>
      <c r="V67" s="34"/>
      <c r="W67" s="34"/>
      <c r="X67" s="34"/>
      <c r="Y67" s="34"/>
      <c r="Z67" s="34"/>
      <c r="AA67" s="34"/>
    </row>
    <row r="68" spans="1:27" ht="15">
      <c r="A68" s="66" t="s">
        <v>323</v>
      </c>
      <c r="B68" s="66" t="s">
        <v>395</v>
      </c>
      <c r="C68" s="67" t="s">
        <v>3495</v>
      </c>
      <c r="D68" s="68">
        <v>3</v>
      </c>
      <c r="E68" s="69"/>
      <c r="F68" s="70">
        <v>50</v>
      </c>
      <c r="G68" s="67"/>
      <c r="H68" s="71"/>
      <c r="I68" s="72"/>
      <c r="J68" s="72"/>
      <c r="K68" s="34" t="s">
        <v>65</v>
      </c>
      <c r="L68" s="79">
        <v>68</v>
      </c>
      <c r="M68" s="79"/>
      <c r="N68" s="74"/>
      <c r="O68" s="81" t="s">
        <v>653</v>
      </c>
      <c r="P68">
        <v>1</v>
      </c>
      <c r="Q68" s="80" t="str">
        <f>REPLACE(INDEX(GroupVertices[Group],MATCH(Edges[[#This Row],[Vertex 1]],GroupVertices[Vertex],0)),1,1,"")</f>
        <v>6</v>
      </c>
      <c r="R68" s="80" t="str">
        <f>REPLACE(INDEX(GroupVertices[Group],MATCH(Edges[[#This Row],[Vertex 2]],GroupVertices[Vertex],0)),1,1,"")</f>
        <v>6</v>
      </c>
      <c r="S68" s="34"/>
      <c r="T68" s="34"/>
      <c r="U68" s="34"/>
      <c r="V68" s="34"/>
      <c r="W68" s="34"/>
      <c r="X68" s="34"/>
      <c r="Y68" s="34"/>
      <c r="Z68" s="34"/>
      <c r="AA68" s="34"/>
    </row>
    <row r="69" spans="1:27" ht="15">
      <c r="A69" s="66" t="s">
        <v>323</v>
      </c>
      <c r="B69" s="66" t="s">
        <v>396</v>
      </c>
      <c r="C69" s="67" t="s">
        <v>3495</v>
      </c>
      <c r="D69" s="68">
        <v>3</v>
      </c>
      <c r="E69" s="69"/>
      <c r="F69" s="70">
        <v>50</v>
      </c>
      <c r="G69" s="67"/>
      <c r="H69" s="71"/>
      <c r="I69" s="72"/>
      <c r="J69" s="72"/>
      <c r="K69" s="34" t="s">
        <v>65</v>
      </c>
      <c r="L69" s="79">
        <v>69</v>
      </c>
      <c r="M69" s="79"/>
      <c r="N69" s="74"/>
      <c r="O69" s="81" t="s">
        <v>653</v>
      </c>
      <c r="P69">
        <v>1</v>
      </c>
      <c r="Q69" s="80" t="str">
        <f>REPLACE(INDEX(GroupVertices[Group],MATCH(Edges[[#This Row],[Vertex 1]],GroupVertices[Vertex],0)),1,1,"")</f>
        <v>6</v>
      </c>
      <c r="R69" s="80" t="str">
        <f>REPLACE(INDEX(GroupVertices[Group],MATCH(Edges[[#This Row],[Vertex 2]],GroupVertices[Vertex],0)),1,1,"")</f>
        <v>6</v>
      </c>
      <c r="S69" s="34"/>
      <c r="T69" s="34"/>
      <c r="U69" s="34"/>
      <c r="V69" s="34"/>
      <c r="W69" s="34"/>
      <c r="X69" s="34"/>
      <c r="Y69" s="34"/>
      <c r="Z69" s="34"/>
      <c r="AA69" s="34"/>
    </row>
    <row r="70" spans="1:27" ht="15">
      <c r="A70" s="66" t="s">
        <v>323</v>
      </c>
      <c r="B70" s="66" t="s">
        <v>397</v>
      </c>
      <c r="C70" s="67" t="s">
        <v>3495</v>
      </c>
      <c r="D70" s="68">
        <v>3</v>
      </c>
      <c r="E70" s="69"/>
      <c r="F70" s="70">
        <v>50</v>
      </c>
      <c r="G70" s="67"/>
      <c r="H70" s="71"/>
      <c r="I70" s="72"/>
      <c r="J70" s="72"/>
      <c r="K70" s="34" t="s">
        <v>65</v>
      </c>
      <c r="L70" s="79">
        <v>70</v>
      </c>
      <c r="M70" s="79"/>
      <c r="N70" s="74"/>
      <c r="O70" s="81" t="s">
        <v>653</v>
      </c>
      <c r="P70">
        <v>1</v>
      </c>
      <c r="Q70" s="80" t="str">
        <f>REPLACE(INDEX(GroupVertices[Group],MATCH(Edges[[#This Row],[Vertex 1]],GroupVertices[Vertex],0)),1,1,"")</f>
        <v>6</v>
      </c>
      <c r="R70" s="80" t="str">
        <f>REPLACE(INDEX(GroupVertices[Group],MATCH(Edges[[#This Row],[Vertex 2]],GroupVertices[Vertex],0)),1,1,"")</f>
        <v>6</v>
      </c>
      <c r="S70" s="34"/>
      <c r="T70" s="34"/>
      <c r="U70" s="34"/>
      <c r="V70" s="34"/>
      <c r="W70" s="34"/>
      <c r="X70" s="34"/>
      <c r="Y70" s="34"/>
      <c r="Z70" s="34"/>
      <c r="AA70" s="34"/>
    </row>
    <row r="71" spans="1:27" ht="15">
      <c r="A71" s="66" t="s">
        <v>323</v>
      </c>
      <c r="B71" s="66" t="s">
        <v>398</v>
      </c>
      <c r="C71" s="67" t="s">
        <v>3495</v>
      </c>
      <c r="D71" s="68">
        <v>3</v>
      </c>
      <c r="E71" s="69"/>
      <c r="F71" s="70">
        <v>50</v>
      </c>
      <c r="G71" s="67"/>
      <c r="H71" s="71"/>
      <c r="I71" s="72"/>
      <c r="J71" s="72"/>
      <c r="K71" s="34" t="s">
        <v>65</v>
      </c>
      <c r="L71" s="79">
        <v>71</v>
      </c>
      <c r="M71" s="79"/>
      <c r="N71" s="74"/>
      <c r="O71" s="81" t="s">
        <v>653</v>
      </c>
      <c r="P71">
        <v>1</v>
      </c>
      <c r="Q71" s="80" t="str">
        <f>REPLACE(INDEX(GroupVertices[Group],MATCH(Edges[[#This Row],[Vertex 1]],GroupVertices[Vertex],0)),1,1,"")</f>
        <v>6</v>
      </c>
      <c r="R71" s="80" t="str">
        <f>REPLACE(INDEX(GroupVertices[Group],MATCH(Edges[[#This Row],[Vertex 2]],GroupVertices[Vertex],0)),1,1,"")</f>
        <v>6</v>
      </c>
      <c r="S71" s="34"/>
      <c r="T71" s="34"/>
      <c r="U71" s="34"/>
      <c r="V71" s="34"/>
      <c r="W71" s="34"/>
      <c r="X71" s="34"/>
      <c r="Y71" s="34"/>
      <c r="Z71" s="34"/>
      <c r="AA71" s="34"/>
    </row>
    <row r="72" spans="1:27" ht="15">
      <c r="A72" s="66" t="s">
        <v>323</v>
      </c>
      <c r="B72" s="66" t="s">
        <v>399</v>
      </c>
      <c r="C72" s="67" t="s">
        <v>3495</v>
      </c>
      <c r="D72" s="68">
        <v>3</v>
      </c>
      <c r="E72" s="69"/>
      <c r="F72" s="70">
        <v>50</v>
      </c>
      <c r="G72" s="67"/>
      <c r="H72" s="71"/>
      <c r="I72" s="72"/>
      <c r="J72" s="72"/>
      <c r="K72" s="34" t="s">
        <v>65</v>
      </c>
      <c r="L72" s="79">
        <v>72</v>
      </c>
      <c r="M72" s="79"/>
      <c r="N72" s="74"/>
      <c r="O72" s="81" t="s">
        <v>653</v>
      </c>
      <c r="P72">
        <v>1</v>
      </c>
      <c r="Q72" s="80" t="str">
        <f>REPLACE(INDEX(GroupVertices[Group],MATCH(Edges[[#This Row],[Vertex 1]],GroupVertices[Vertex],0)),1,1,"")</f>
        <v>6</v>
      </c>
      <c r="R72" s="80" t="str">
        <f>REPLACE(INDEX(GroupVertices[Group],MATCH(Edges[[#This Row],[Vertex 2]],GroupVertices[Vertex],0)),1,1,"")</f>
        <v>6</v>
      </c>
      <c r="S72" s="34"/>
      <c r="T72" s="34"/>
      <c r="U72" s="34"/>
      <c r="V72" s="34"/>
      <c r="W72" s="34"/>
      <c r="X72" s="34"/>
      <c r="Y72" s="34"/>
      <c r="Z72" s="34"/>
      <c r="AA72" s="34"/>
    </row>
    <row r="73" spans="1:27" ht="15">
      <c r="A73" s="66" t="s">
        <v>323</v>
      </c>
      <c r="B73" s="66" t="s">
        <v>400</v>
      </c>
      <c r="C73" s="67" t="s">
        <v>3495</v>
      </c>
      <c r="D73" s="68">
        <v>3</v>
      </c>
      <c r="E73" s="69"/>
      <c r="F73" s="70">
        <v>50</v>
      </c>
      <c r="G73" s="67"/>
      <c r="H73" s="71"/>
      <c r="I73" s="72"/>
      <c r="J73" s="72"/>
      <c r="K73" s="34" t="s">
        <v>65</v>
      </c>
      <c r="L73" s="79">
        <v>73</v>
      </c>
      <c r="M73" s="79"/>
      <c r="N73" s="74"/>
      <c r="O73" s="81" t="s">
        <v>653</v>
      </c>
      <c r="P73">
        <v>1</v>
      </c>
      <c r="Q73" s="80" t="str">
        <f>REPLACE(INDEX(GroupVertices[Group],MATCH(Edges[[#This Row],[Vertex 1]],GroupVertices[Vertex],0)),1,1,"")</f>
        <v>6</v>
      </c>
      <c r="R73" s="80" t="str">
        <f>REPLACE(INDEX(GroupVertices[Group],MATCH(Edges[[#This Row],[Vertex 2]],GroupVertices[Vertex],0)),1,1,"")</f>
        <v>6</v>
      </c>
      <c r="S73" s="34"/>
      <c r="T73" s="34"/>
      <c r="U73" s="34"/>
      <c r="V73" s="34"/>
      <c r="W73" s="34"/>
      <c r="X73" s="34"/>
      <c r="Y73" s="34"/>
      <c r="Z73" s="34"/>
      <c r="AA73" s="34"/>
    </row>
    <row r="74" spans="1:27" ht="15">
      <c r="A74" s="66" t="s">
        <v>323</v>
      </c>
      <c r="B74" s="66" t="s">
        <v>401</v>
      </c>
      <c r="C74" s="67" t="s">
        <v>3495</v>
      </c>
      <c r="D74" s="68">
        <v>3</v>
      </c>
      <c r="E74" s="69"/>
      <c r="F74" s="70">
        <v>50</v>
      </c>
      <c r="G74" s="67"/>
      <c r="H74" s="71"/>
      <c r="I74" s="72"/>
      <c r="J74" s="72"/>
      <c r="K74" s="34" t="s">
        <v>65</v>
      </c>
      <c r="L74" s="79">
        <v>74</v>
      </c>
      <c r="M74" s="79"/>
      <c r="N74" s="74"/>
      <c r="O74" s="81" t="s">
        <v>653</v>
      </c>
      <c r="P74">
        <v>1</v>
      </c>
      <c r="Q74" s="80" t="str">
        <f>REPLACE(INDEX(GroupVertices[Group],MATCH(Edges[[#This Row],[Vertex 1]],GroupVertices[Vertex],0)),1,1,"")</f>
        <v>6</v>
      </c>
      <c r="R74" s="80" t="str">
        <f>REPLACE(INDEX(GroupVertices[Group],MATCH(Edges[[#This Row],[Vertex 2]],GroupVertices[Vertex],0)),1,1,"")</f>
        <v>6</v>
      </c>
      <c r="S74" s="34"/>
      <c r="T74" s="34"/>
      <c r="U74" s="34"/>
      <c r="V74" s="34"/>
      <c r="W74" s="34"/>
      <c r="X74" s="34"/>
      <c r="Y74" s="34"/>
      <c r="Z74" s="34"/>
      <c r="AA74" s="34"/>
    </row>
    <row r="75" spans="1:27" ht="15">
      <c r="A75" s="66" t="s">
        <v>323</v>
      </c>
      <c r="B75" s="66" t="s">
        <v>402</v>
      </c>
      <c r="C75" s="67" t="s">
        <v>3495</v>
      </c>
      <c r="D75" s="68">
        <v>3</v>
      </c>
      <c r="E75" s="69"/>
      <c r="F75" s="70">
        <v>50</v>
      </c>
      <c r="G75" s="67"/>
      <c r="H75" s="71"/>
      <c r="I75" s="72"/>
      <c r="J75" s="72"/>
      <c r="K75" s="34" t="s">
        <v>65</v>
      </c>
      <c r="L75" s="79">
        <v>75</v>
      </c>
      <c r="M75" s="79"/>
      <c r="N75" s="74"/>
      <c r="O75" s="81" t="s">
        <v>653</v>
      </c>
      <c r="P75">
        <v>1</v>
      </c>
      <c r="Q75" s="80" t="str">
        <f>REPLACE(INDEX(GroupVertices[Group],MATCH(Edges[[#This Row],[Vertex 1]],GroupVertices[Vertex],0)),1,1,"")</f>
        <v>6</v>
      </c>
      <c r="R75" s="80" t="str">
        <f>REPLACE(INDEX(GroupVertices[Group],MATCH(Edges[[#This Row],[Vertex 2]],GroupVertices[Vertex],0)),1,1,"")</f>
        <v>6</v>
      </c>
      <c r="S75" s="34"/>
      <c r="T75" s="34"/>
      <c r="U75" s="34"/>
      <c r="V75" s="34"/>
      <c r="W75" s="34"/>
      <c r="X75" s="34"/>
      <c r="Y75" s="34"/>
      <c r="Z75" s="34"/>
      <c r="AA75" s="34"/>
    </row>
    <row r="76" spans="1:27" ht="15">
      <c r="A76" s="66" t="s">
        <v>323</v>
      </c>
      <c r="B76" s="66" t="s">
        <v>403</v>
      </c>
      <c r="C76" s="67" t="s">
        <v>3495</v>
      </c>
      <c r="D76" s="68">
        <v>3</v>
      </c>
      <c r="E76" s="69"/>
      <c r="F76" s="70">
        <v>50</v>
      </c>
      <c r="G76" s="67"/>
      <c r="H76" s="71"/>
      <c r="I76" s="72"/>
      <c r="J76" s="72"/>
      <c r="K76" s="34" t="s">
        <v>65</v>
      </c>
      <c r="L76" s="79">
        <v>76</v>
      </c>
      <c r="M76" s="79"/>
      <c r="N76" s="74"/>
      <c r="O76" s="81" t="s">
        <v>653</v>
      </c>
      <c r="P76">
        <v>1</v>
      </c>
      <c r="Q76" s="80" t="str">
        <f>REPLACE(INDEX(GroupVertices[Group],MATCH(Edges[[#This Row],[Vertex 1]],GroupVertices[Vertex],0)),1,1,"")</f>
        <v>6</v>
      </c>
      <c r="R76" s="80" t="str">
        <f>REPLACE(INDEX(GroupVertices[Group],MATCH(Edges[[#This Row],[Vertex 2]],GroupVertices[Vertex],0)),1,1,"")</f>
        <v>6</v>
      </c>
      <c r="S76" s="34"/>
      <c r="T76" s="34"/>
      <c r="U76" s="34"/>
      <c r="V76" s="34"/>
      <c r="W76" s="34"/>
      <c r="X76" s="34"/>
      <c r="Y76" s="34"/>
      <c r="Z76" s="34"/>
      <c r="AA76" s="34"/>
    </row>
    <row r="77" spans="1:27" ht="15">
      <c r="A77" s="66" t="s">
        <v>323</v>
      </c>
      <c r="B77" s="66" t="s">
        <v>404</v>
      </c>
      <c r="C77" s="67" t="s">
        <v>3495</v>
      </c>
      <c r="D77" s="68">
        <v>3</v>
      </c>
      <c r="E77" s="69"/>
      <c r="F77" s="70">
        <v>50</v>
      </c>
      <c r="G77" s="67"/>
      <c r="H77" s="71"/>
      <c r="I77" s="72"/>
      <c r="J77" s="72"/>
      <c r="K77" s="34" t="s">
        <v>65</v>
      </c>
      <c r="L77" s="79">
        <v>77</v>
      </c>
      <c r="M77" s="79"/>
      <c r="N77" s="74"/>
      <c r="O77" s="81" t="s">
        <v>653</v>
      </c>
      <c r="P77">
        <v>1</v>
      </c>
      <c r="Q77" s="80" t="str">
        <f>REPLACE(INDEX(GroupVertices[Group],MATCH(Edges[[#This Row],[Vertex 1]],GroupVertices[Vertex],0)),1,1,"")</f>
        <v>6</v>
      </c>
      <c r="R77" s="80" t="str">
        <f>REPLACE(INDEX(GroupVertices[Group],MATCH(Edges[[#This Row],[Vertex 2]],GroupVertices[Vertex],0)),1,1,"")</f>
        <v>6</v>
      </c>
      <c r="S77" s="34"/>
      <c r="T77" s="34"/>
      <c r="U77" s="34"/>
      <c r="V77" s="34"/>
      <c r="W77" s="34"/>
      <c r="X77" s="34"/>
      <c r="Y77" s="34"/>
      <c r="Z77" s="34"/>
      <c r="AA77" s="34"/>
    </row>
    <row r="78" spans="1:27" ht="15">
      <c r="A78" s="66" t="s">
        <v>323</v>
      </c>
      <c r="B78" s="66" t="s">
        <v>405</v>
      </c>
      <c r="C78" s="67" t="s">
        <v>3495</v>
      </c>
      <c r="D78" s="68">
        <v>3</v>
      </c>
      <c r="E78" s="69"/>
      <c r="F78" s="70">
        <v>50</v>
      </c>
      <c r="G78" s="67"/>
      <c r="H78" s="71"/>
      <c r="I78" s="72"/>
      <c r="J78" s="72"/>
      <c r="K78" s="34" t="s">
        <v>65</v>
      </c>
      <c r="L78" s="79">
        <v>78</v>
      </c>
      <c r="M78" s="79"/>
      <c r="N78" s="74"/>
      <c r="O78" s="81" t="s">
        <v>653</v>
      </c>
      <c r="P78">
        <v>1</v>
      </c>
      <c r="Q78" s="80" t="str">
        <f>REPLACE(INDEX(GroupVertices[Group],MATCH(Edges[[#This Row],[Vertex 1]],GroupVertices[Vertex],0)),1,1,"")</f>
        <v>6</v>
      </c>
      <c r="R78" s="80" t="str">
        <f>REPLACE(INDEX(GroupVertices[Group],MATCH(Edges[[#This Row],[Vertex 2]],GroupVertices[Vertex],0)),1,1,"")</f>
        <v>6</v>
      </c>
      <c r="S78" s="34"/>
      <c r="T78" s="34"/>
      <c r="U78" s="34"/>
      <c r="V78" s="34"/>
      <c r="W78" s="34"/>
      <c r="X78" s="34"/>
      <c r="Y78" s="34"/>
      <c r="Z78" s="34"/>
      <c r="AA78" s="34"/>
    </row>
    <row r="79" spans="1:27" ht="15">
      <c r="A79" s="66" t="s">
        <v>323</v>
      </c>
      <c r="B79" s="66" t="s">
        <v>406</v>
      </c>
      <c r="C79" s="67" t="s">
        <v>3495</v>
      </c>
      <c r="D79" s="68">
        <v>3</v>
      </c>
      <c r="E79" s="69"/>
      <c r="F79" s="70">
        <v>50</v>
      </c>
      <c r="G79" s="67"/>
      <c r="H79" s="71"/>
      <c r="I79" s="72"/>
      <c r="J79" s="72"/>
      <c r="K79" s="34" t="s">
        <v>65</v>
      </c>
      <c r="L79" s="79">
        <v>79</v>
      </c>
      <c r="M79" s="79"/>
      <c r="N79" s="74"/>
      <c r="O79" s="81" t="s">
        <v>653</v>
      </c>
      <c r="P79">
        <v>1</v>
      </c>
      <c r="Q79" s="80" t="str">
        <f>REPLACE(INDEX(GroupVertices[Group],MATCH(Edges[[#This Row],[Vertex 1]],GroupVertices[Vertex],0)),1,1,"")</f>
        <v>6</v>
      </c>
      <c r="R79" s="80" t="str">
        <f>REPLACE(INDEX(GroupVertices[Group],MATCH(Edges[[#This Row],[Vertex 2]],GroupVertices[Vertex],0)),1,1,"")</f>
        <v>6</v>
      </c>
      <c r="S79" s="34"/>
      <c r="T79" s="34"/>
      <c r="U79" s="34"/>
      <c r="V79" s="34"/>
      <c r="W79" s="34"/>
      <c r="X79" s="34"/>
      <c r="Y79" s="34"/>
      <c r="Z79" s="34"/>
      <c r="AA79" s="34"/>
    </row>
    <row r="80" spans="1:27" ht="15">
      <c r="A80" s="66" t="s">
        <v>323</v>
      </c>
      <c r="B80" s="66" t="s">
        <v>407</v>
      </c>
      <c r="C80" s="67" t="s">
        <v>3495</v>
      </c>
      <c r="D80" s="68">
        <v>3</v>
      </c>
      <c r="E80" s="69"/>
      <c r="F80" s="70">
        <v>50</v>
      </c>
      <c r="G80" s="67"/>
      <c r="H80" s="71"/>
      <c r="I80" s="72"/>
      <c r="J80" s="72"/>
      <c r="K80" s="34" t="s">
        <v>65</v>
      </c>
      <c r="L80" s="79">
        <v>80</v>
      </c>
      <c r="M80" s="79"/>
      <c r="N80" s="74"/>
      <c r="O80" s="81" t="s">
        <v>653</v>
      </c>
      <c r="P80">
        <v>1</v>
      </c>
      <c r="Q80" s="80" t="str">
        <f>REPLACE(INDEX(GroupVertices[Group],MATCH(Edges[[#This Row],[Vertex 1]],GroupVertices[Vertex],0)),1,1,"")</f>
        <v>6</v>
      </c>
      <c r="R80" s="80" t="str">
        <f>REPLACE(INDEX(GroupVertices[Group],MATCH(Edges[[#This Row],[Vertex 2]],GroupVertices[Vertex],0)),1,1,"")</f>
        <v>6</v>
      </c>
      <c r="S80" s="34"/>
      <c r="T80" s="34"/>
      <c r="U80" s="34"/>
      <c r="V80" s="34"/>
      <c r="W80" s="34"/>
      <c r="X80" s="34"/>
      <c r="Y80" s="34"/>
      <c r="Z80" s="34"/>
      <c r="AA80" s="34"/>
    </row>
    <row r="81" spans="1:27" ht="15">
      <c r="A81" s="66" t="s">
        <v>323</v>
      </c>
      <c r="B81" s="66" t="s">
        <v>408</v>
      </c>
      <c r="C81" s="67" t="s">
        <v>3495</v>
      </c>
      <c r="D81" s="68">
        <v>3</v>
      </c>
      <c r="E81" s="69"/>
      <c r="F81" s="70">
        <v>50</v>
      </c>
      <c r="G81" s="67"/>
      <c r="H81" s="71"/>
      <c r="I81" s="72"/>
      <c r="J81" s="72"/>
      <c r="K81" s="34" t="s">
        <v>65</v>
      </c>
      <c r="L81" s="79">
        <v>81</v>
      </c>
      <c r="M81" s="79"/>
      <c r="N81" s="74"/>
      <c r="O81" s="81" t="s">
        <v>653</v>
      </c>
      <c r="P81">
        <v>1</v>
      </c>
      <c r="Q81" s="80" t="str">
        <f>REPLACE(INDEX(GroupVertices[Group],MATCH(Edges[[#This Row],[Vertex 1]],GroupVertices[Vertex],0)),1,1,"")</f>
        <v>6</v>
      </c>
      <c r="R81" s="80" t="str">
        <f>REPLACE(INDEX(GroupVertices[Group],MATCH(Edges[[#This Row],[Vertex 2]],GroupVertices[Vertex],0)),1,1,"")</f>
        <v>6</v>
      </c>
      <c r="S81" s="34"/>
      <c r="T81" s="34"/>
      <c r="U81" s="34"/>
      <c r="V81" s="34"/>
      <c r="W81" s="34"/>
      <c r="X81" s="34"/>
      <c r="Y81" s="34"/>
      <c r="Z81" s="34"/>
      <c r="AA81" s="34"/>
    </row>
    <row r="82" spans="1:27" ht="15">
      <c r="A82" s="66" t="s">
        <v>323</v>
      </c>
      <c r="B82" s="66" t="s">
        <v>409</v>
      </c>
      <c r="C82" s="67" t="s">
        <v>3495</v>
      </c>
      <c r="D82" s="68">
        <v>3</v>
      </c>
      <c r="E82" s="69"/>
      <c r="F82" s="70">
        <v>50</v>
      </c>
      <c r="G82" s="67"/>
      <c r="H82" s="71"/>
      <c r="I82" s="72"/>
      <c r="J82" s="72"/>
      <c r="K82" s="34" t="s">
        <v>65</v>
      </c>
      <c r="L82" s="79">
        <v>82</v>
      </c>
      <c r="M82" s="79"/>
      <c r="N82" s="74"/>
      <c r="O82" s="81" t="s">
        <v>653</v>
      </c>
      <c r="P82">
        <v>1</v>
      </c>
      <c r="Q82" s="80" t="str">
        <f>REPLACE(INDEX(GroupVertices[Group],MATCH(Edges[[#This Row],[Vertex 1]],GroupVertices[Vertex],0)),1,1,"")</f>
        <v>6</v>
      </c>
      <c r="R82" s="80" t="str">
        <f>REPLACE(INDEX(GroupVertices[Group],MATCH(Edges[[#This Row],[Vertex 2]],GroupVertices[Vertex],0)),1,1,"")</f>
        <v>7</v>
      </c>
      <c r="S82" s="34"/>
      <c r="T82" s="34"/>
      <c r="U82" s="34"/>
      <c r="V82" s="34"/>
      <c r="W82" s="34"/>
      <c r="X82" s="34"/>
      <c r="Y82" s="34"/>
      <c r="Z82" s="34"/>
      <c r="AA82" s="34"/>
    </row>
    <row r="83" spans="1:27" ht="15">
      <c r="A83" s="66" t="s">
        <v>323</v>
      </c>
      <c r="B83" s="66" t="s">
        <v>410</v>
      </c>
      <c r="C83" s="67" t="s">
        <v>3495</v>
      </c>
      <c r="D83" s="68">
        <v>3</v>
      </c>
      <c r="E83" s="69"/>
      <c r="F83" s="70">
        <v>50</v>
      </c>
      <c r="G83" s="67"/>
      <c r="H83" s="71"/>
      <c r="I83" s="72"/>
      <c r="J83" s="72"/>
      <c r="K83" s="34" t="s">
        <v>65</v>
      </c>
      <c r="L83" s="79">
        <v>83</v>
      </c>
      <c r="M83" s="79"/>
      <c r="N83" s="74"/>
      <c r="O83" s="81" t="s">
        <v>653</v>
      </c>
      <c r="P83">
        <v>1</v>
      </c>
      <c r="Q83" s="80" t="str">
        <f>REPLACE(INDEX(GroupVertices[Group],MATCH(Edges[[#This Row],[Vertex 1]],GroupVertices[Vertex],0)),1,1,"")</f>
        <v>6</v>
      </c>
      <c r="R83" s="80" t="str">
        <f>REPLACE(INDEX(GroupVertices[Group],MATCH(Edges[[#This Row],[Vertex 2]],GroupVertices[Vertex],0)),1,1,"")</f>
        <v>8</v>
      </c>
      <c r="S83" s="34"/>
      <c r="T83" s="34"/>
      <c r="U83" s="34"/>
      <c r="V83" s="34"/>
      <c r="W83" s="34"/>
      <c r="X83" s="34"/>
      <c r="Y83" s="34"/>
      <c r="Z83" s="34"/>
      <c r="AA83" s="34"/>
    </row>
    <row r="84" spans="1:27" ht="15">
      <c r="A84" s="66" t="s">
        <v>323</v>
      </c>
      <c r="B84" s="66" t="s">
        <v>411</v>
      </c>
      <c r="C84" s="67" t="s">
        <v>3495</v>
      </c>
      <c r="D84" s="68">
        <v>3</v>
      </c>
      <c r="E84" s="69"/>
      <c r="F84" s="70">
        <v>50</v>
      </c>
      <c r="G84" s="67"/>
      <c r="H84" s="71"/>
      <c r="I84" s="72"/>
      <c r="J84" s="72"/>
      <c r="K84" s="34" t="s">
        <v>65</v>
      </c>
      <c r="L84" s="79">
        <v>84</v>
      </c>
      <c r="M84" s="79"/>
      <c r="N84" s="74"/>
      <c r="O84" s="81" t="s">
        <v>653</v>
      </c>
      <c r="P84">
        <v>1</v>
      </c>
      <c r="Q84" s="80" t="str">
        <f>REPLACE(INDEX(GroupVertices[Group],MATCH(Edges[[#This Row],[Vertex 1]],GroupVertices[Vertex],0)),1,1,"")</f>
        <v>6</v>
      </c>
      <c r="R84" s="80" t="str">
        <f>REPLACE(INDEX(GroupVertices[Group],MATCH(Edges[[#This Row],[Vertex 2]],GroupVertices[Vertex],0)),1,1,"")</f>
        <v>8</v>
      </c>
      <c r="S84" s="34"/>
      <c r="T84" s="34"/>
      <c r="U84" s="34"/>
      <c r="V84" s="34"/>
      <c r="W84" s="34"/>
      <c r="X84" s="34"/>
      <c r="Y84" s="34"/>
      <c r="Z84" s="34"/>
      <c r="AA84" s="34"/>
    </row>
    <row r="85" spans="1:27" ht="15">
      <c r="A85" s="66" t="s">
        <v>323</v>
      </c>
      <c r="B85" s="66" t="s">
        <v>329</v>
      </c>
      <c r="C85" s="67" t="s">
        <v>3495</v>
      </c>
      <c r="D85" s="68">
        <v>3</v>
      </c>
      <c r="E85" s="69"/>
      <c r="F85" s="70">
        <v>50</v>
      </c>
      <c r="G85" s="67"/>
      <c r="H85" s="71"/>
      <c r="I85" s="72"/>
      <c r="J85" s="72"/>
      <c r="K85" s="34" t="s">
        <v>65</v>
      </c>
      <c r="L85" s="79">
        <v>85</v>
      </c>
      <c r="M85" s="79"/>
      <c r="N85" s="74"/>
      <c r="O85" s="81" t="s">
        <v>653</v>
      </c>
      <c r="P85">
        <v>1</v>
      </c>
      <c r="Q85" s="80" t="str">
        <f>REPLACE(INDEX(GroupVertices[Group],MATCH(Edges[[#This Row],[Vertex 1]],GroupVertices[Vertex],0)),1,1,"")</f>
        <v>6</v>
      </c>
      <c r="R85" s="80" t="str">
        <f>REPLACE(INDEX(GroupVertices[Group],MATCH(Edges[[#This Row],[Vertex 2]],GroupVertices[Vertex],0)),1,1,"")</f>
        <v>1</v>
      </c>
      <c r="S85" s="34"/>
      <c r="T85" s="34"/>
      <c r="U85" s="34"/>
      <c r="V85" s="34"/>
      <c r="W85" s="34"/>
      <c r="X85" s="34"/>
      <c r="Y85" s="34"/>
      <c r="Z85" s="34"/>
      <c r="AA85" s="34"/>
    </row>
    <row r="86" spans="1:27" ht="15">
      <c r="A86" s="66" t="s">
        <v>323</v>
      </c>
      <c r="B86" s="66" t="s">
        <v>412</v>
      </c>
      <c r="C86" s="67" t="s">
        <v>3495</v>
      </c>
      <c r="D86" s="68">
        <v>3</v>
      </c>
      <c r="E86" s="69"/>
      <c r="F86" s="70">
        <v>50</v>
      </c>
      <c r="G86" s="67"/>
      <c r="H86" s="71"/>
      <c r="I86" s="72"/>
      <c r="J86" s="72"/>
      <c r="K86" s="34" t="s">
        <v>65</v>
      </c>
      <c r="L86" s="79">
        <v>86</v>
      </c>
      <c r="M86" s="79"/>
      <c r="N86" s="74"/>
      <c r="O86" s="81" t="s">
        <v>653</v>
      </c>
      <c r="P86">
        <v>1</v>
      </c>
      <c r="Q86" s="80" t="str">
        <f>REPLACE(INDEX(GroupVertices[Group],MATCH(Edges[[#This Row],[Vertex 1]],GroupVertices[Vertex],0)),1,1,"")</f>
        <v>6</v>
      </c>
      <c r="R86" s="80" t="str">
        <f>REPLACE(INDEX(GroupVertices[Group],MATCH(Edges[[#This Row],[Vertex 2]],GroupVertices[Vertex],0)),1,1,"")</f>
        <v>6</v>
      </c>
      <c r="S86" s="34"/>
      <c r="T86" s="34"/>
      <c r="U86" s="34"/>
      <c r="V86" s="34"/>
      <c r="W86" s="34"/>
      <c r="X86" s="34"/>
      <c r="Y86" s="34"/>
      <c r="Z86" s="34"/>
      <c r="AA86" s="34"/>
    </row>
    <row r="87" spans="1:27" ht="15">
      <c r="A87" s="66" t="s">
        <v>323</v>
      </c>
      <c r="B87" s="66" t="s">
        <v>328</v>
      </c>
      <c r="C87" s="67" t="s">
        <v>3495</v>
      </c>
      <c r="D87" s="68">
        <v>3</v>
      </c>
      <c r="E87" s="69"/>
      <c r="F87" s="70">
        <v>50</v>
      </c>
      <c r="G87" s="67"/>
      <c r="H87" s="71"/>
      <c r="I87" s="72"/>
      <c r="J87" s="72"/>
      <c r="K87" s="34" t="s">
        <v>65</v>
      </c>
      <c r="L87" s="79">
        <v>87</v>
      </c>
      <c r="M87" s="79"/>
      <c r="N87" s="74"/>
      <c r="O87" s="81" t="s">
        <v>653</v>
      </c>
      <c r="P87">
        <v>1</v>
      </c>
      <c r="Q87" s="80" t="str">
        <f>REPLACE(INDEX(GroupVertices[Group],MATCH(Edges[[#This Row],[Vertex 1]],GroupVertices[Vertex],0)),1,1,"")</f>
        <v>6</v>
      </c>
      <c r="R87" s="80" t="str">
        <f>REPLACE(INDEX(GroupVertices[Group],MATCH(Edges[[#This Row],[Vertex 2]],GroupVertices[Vertex],0)),1,1,"")</f>
        <v>5</v>
      </c>
      <c r="S87" s="34"/>
      <c r="T87" s="34"/>
      <c r="U87" s="34"/>
      <c r="V87" s="34"/>
      <c r="W87" s="34"/>
      <c r="X87" s="34"/>
      <c r="Y87" s="34"/>
      <c r="Z87" s="34"/>
      <c r="AA87" s="34"/>
    </row>
    <row r="88" spans="1:27" ht="15">
      <c r="A88" s="66" t="s">
        <v>323</v>
      </c>
      <c r="B88" s="66" t="s">
        <v>413</v>
      </c>
      <c r="C88" s="67" t="s">
        <v>3495</v>
      </c>
      <c r="D88" s="68">
        <v>3</v>
      </c>
      <c r="E88" s="69"/>
      <c r="F88" s="70">
        <v>50</v>
      </c>
      <c r="G88" s="67"/>
      <c r="H88" s="71"/>
      <c r="I88" s="72"/>
      <c r="J88" s="72"/>
      <c r="K88" s="34" t="s">
        <v>65</v>
      </c>
      <c r="L88" s="79">
        <v>88</v>
      </c>
      <c r="M88" s="79"/>
      <c r="N88" s="74"/>
      <c r="O88" s="81" t="s">
        <v>653</v>
      </c>
      <c r="P88">
        <v>1</v>
      </c>
      <c r="Q88" s="80" t="str">
        <f>REPLACE(INDEX(GroupVertices[Group],MATCH(Edges[[#This Row],[Vertex 1]],GroupVertices[Vertex],0)),1,1,"")</f>
        <v>6</v>
      </c>
      <c r="R88" s="80" t="str">
        <f>REPLACE(INDEX(GroupVertices[Group],MATCH(Edges[[#This Row],[Vertex 2]],GroupVertices[Vertex],0)),1,1,"")</f>
        <v>2</v>
      </c>
      <c r="S88" s="34"/>
      <c r="T88" s="34"/>
      <c r="U88" s="34"/>
      <c r="V88" s="34"/>
      <c r="W88" s="34"/>
      <c r="X88" s="34"/>
      <c r="Y88" s="34"/>
      <c r="Z88" s="34"/>
      <c r="AA88" s="34"/>
    </row>
    <row r="89" spans="1:27" ht="15">
      <c r="A89" s="66" t="s">
        <v>323</v>
      </c>
      <c r="B89" s="66" t="s">
        <v>414</v>
      </c>
      <c r="C89" s="67" t="s">
        <v>3495</v>
      </c>
      <c r="D89" s="68">
        <v>3</v>
      </c>
      <c r="E89" s="69"/>
      <c r="F89" s="70">
        <v>50</v>
      </c>
      <c r="G89" s="67"/>
      <c r="H89" s="71"/>
      <c r="I89" s="72"/>
      <c r="J89" s="72"/>
      <c r="K89" s="34" t="s">
        <v>65</v>
      </c>
      <c r="L89" s="79">
        <v>89</v>
      </c>
      <c r="M89" s="79"/>
      <c r="N89" s="74"/>
      <c r="O89" s="81" t="s">
        <v>653</v>
      </c>
      <c r="P89">
        <v>1</v>
      </c>
      <c r="Q89" s="80" t="str">
        <f>REPLACE(INDEX(GroupVertices[Group],MATCH(Edges[[#This Row],[Vertex 1]],GroupVertices[Vertex],0)),1,1,"")</f>
        <v>6</v>
      </c>
      <c r="R89" s="80" t="str">
        <f>REPLACE(INDEX(GroupVertices[Group],MATCH(Edges[[#This Row],[Vertex 2]],GroupVertices[Vertex],0)),1,1,"")</f>
        <v>8</v>
      </c>
      <c r="S89" s="34"/>
      <c r="T89" s="34"/>
      <c r="U89" s="34"/>
      <c r="V89" s="34"/>
      <c r="W89" s="34"/>
      <c r="X89" s="34"/>
      <c r="Y89" s="34"/>
      <c r="Z89" s="34"/>
      <c r="AA89" s="34"/>
    </row>
    <row r="90" spans="1:27" ht="15">
      <c r="A90" s="66" t="s">
        <v>323</v>
      </c>
      <c r="B90" s="66" t="s">
        <v>415</v>
      </c>
      <c r="C90" s="67" t="s">
        <v>3495</v>
      </c>
      <c r="D90" s="68">
        <v>3</v>
      </c>
      <c r="E90" s="69"/>
      <c r="F90" s="70">
        <v>50</v>
      </c>
      <c r="G90" s="67"/>
      <c r="H90" s="71"/>
      <c r="I90" s="72"/>
      <c r="J90" s="72"/>
      <c r="K90" s="34" t="s">
        <v>65</v>
      </c>
      <c r="L90" s="79">
        <v>90</v>
      </c>
      <c r="M90" s="79"/>
      <c r="N90" s="74"/>
      <c r="O90" s="81" t="s">
        <v>653</v>
      </c>
      <c r="P90">
        <v>1</v>
      </c>
      <c r="Q90" s="80" t="str">
        <f>REPLACE(INDEX(GroupVertices[Group],MATCH(Edges[[#This Row],[Vertex 1]],GroupVertices[Vertex],0)),1,1,"")</f>
        <v>6</v>
      </c>
      <c r="R90" s="80" t="str">
        <f>REPLACE(INDEX(GroupVertices[Group],MATCH(Edges[[#This Row],[Vertex 2]],GroupVertices[Vertex],0)),1,1,"")</f>
        <v>1</v>
      </c>
      <c r="S90" s="34"/>
      <c r="T90" s="34"/>
      <c r="U90" s="34"/>
      <c r="V90" s="34"/>
      <c r="W90" s="34"/>
      <c r="X90" s="34"/>
      <c r="Y90" s="34"/>
      <c r="Z90" s="34"/>
      <c r="AA90" s="34"/>
    </row>
    <row r="91" spans="1:27" ht="15">
      <c r="A91" s="66" t="s">
        <v>323</v>
      </c>
      <c r="B91" s="66" t="s">
        <v>416</v>
      </c>
      <c r="C91" s="67" t="s">
        <v>3495</v>
      </c>
      <c r="D91" s="68">
        <v>3</v>
      </c>
      <c r="E91" s="69"/>
      <c r="F91" s="70">
        <v>50</v>
      </c>
      <c r="G91" s="67"/>
      <c r="H91" s="71"/>
      <c r="I91" s="72"/>
      <c r="J91" s="72"/>
      <c r="K91" s="34" t="s">
        <v>65</v>
      </c>
      <c r="L91" s="79">
        <v>91</v>
      </c>
      <c r="M91" s="79"/>
      <c r="N91" s="74"/>
      <c r="O91" s="81" t="s">
        <v>653</v>
      </c>
      <c r="P91">
        <v>1</v>
      </c>
      <c r="Q91" s="80" t="str">
        <f>REPLACE(INDEX(GroupVertices[Group],MATCH(Edges[[#This Row],[Vertex 1]],GroupVertices[Vertex],0)),1,1,"")</f>
        <v>6</v>
      </c>
      <c r="R91" s="80" t="str">
        <f>REPLACE(INDEX(GroupVertices[Group],MATCH(Edges[[#This Row],[Vertex 2]],GroupVertices[Vertex],0)),1,1,"")</f>
        <v>1</v>
      </c>
      <c r="S91" s="34"/>
      <c r="T91" s="34"/>
      <c r="U91" s="34"/>
      <c r="V91" s="34"/>
      <c r="W91" s="34"/>
      <c r="X91" s="34"/>
      <c r="Y91" s="34"/>
      <c r="Z91" s="34"/>
      <c r="AA91" s="34"/>
    </row>
    <row r="92" spans="1:27" ht="15">
      <c r="A92" s="66" t="s">
        <v>323</v>
      </c>
      <c r="B92" s="66" t="s">
        <v>417</v>
      </c>
      <c r="C92" s="67" t="s">
        <v>3495</v>
      </c>
      <c r="D92" s="68">
        <v>3</v>
      </c>
      <c r="E92" s="69"/>
      <c r="F92" s="70">
        <v>50</v>
      </c>
      <c r="G92" s="67"/>
      <c r="H92" s="71"/>
      <c r="I92" s="72"/>
      <c r="J92" s="72"/>
      <c r="K92" s="34" t="s">
        <v>65</v>
      </c>
      <c r="L92" s="79">
        <v>92</v>
      </c>
      <c r="M92" s="79"/>
      <c r="N92" s="74"/>
      <c r="O92" s="81" t="s">
        <v>653</v>
      </c>
      <c r="P92">
        <v>1</v>
      </c>
      <c r="Q92" s="80" t="str">
        <f>REPLACE(INDEX(GroupVertices[Group],MATCH(Edges[[#This Row],[Vertex 1]],GroupVertices[Vertex],0)),1,1,"")</f>
        <v>6</v>
      </c>
      <c r="R92" s="80" t="str">
        <f>REPLACE(INDEX(GroupVertices[Group],MATCH(Edges[[#This Row],[Vertex 2]],GroupVertices[Vertex],0)),1,1,"")</f>
        <v>6</v>
      </c>
      <c r="S92" s="34"/>
      <c r="T92" s="34"/>
      <c r="U92" s="34"/>
      <c r="V92" s="34"/>
      <c r="W92" s="34"/>
      <c r="X92" s="34"/>
      <c r="Y92" s="34"/>
      <c r="Z92" s="34"/>
      <c r="AA92" s="34"/>
    </row>
    <row r="93" spans="1:27" ht="15">
      <c r="A93" s="66" t="s">
        <v>323</v>
      </c>
      <c r="B93" s="66" t="s">
        <v>418</v>
      </c>
      <c r="C93" s="67" t="s">
        <v>3495</v>
      </c>
      <c r="D93" s="68">
        <v>3</v>
      </c>
      <c r="E93" s="69"/>
      <c r="F93" s="70">
        <v>50</v>
      </c>
      <c r="G93" s="67"/>
      <c r="H93" s="71"/>
      <c r="I93" s="72"/>
      <c r="J93" s="72"/>
      <c r="K93" s="34" t="s">
        <v>65</v>
      </c>
      <c r="L93" s="79">
        <v>93</v>
      </c>
      <c r="M93" s="79"/>
      <c r="N93" s="74"/>
      <c r="O93" s="81" t="s">
        <v>653</v>
      </c>
      <c r="P93">
        <v>1</v>
      </c>
      <c r="Q93" s="80" t="str">
        <f>REPLACE(INDEX(GroupVertices[Group],MATCH(Edges[[#This Row],[Vertex 1]],GroupVertices[Vertex],0)),1,1,"")</f>
        <v>6</v>
      </c>
      <c r="R93" s="80" t="str">
        <f>REPLACE(INDEX(GroupVertices[Group],MATCH(Edges[[#This Row],[Vertex 2]],GroupVertices[Vertex],0)),1,1,"")</f>
        <v>1</v>
      </c>
      <c r="S93" s="34"/>
      <c r="T93" s="34"/>
      <c r="U93" s="34"/>
      <c r="V93" s="34"/>
      <c r="W93" s="34"/>
      <c r="X93" s="34"/>
      <c r="Y93" s="34"/>
      <c r="Z93" s="34"/>
      <c r="AA93" s="34"/>
    </row>
    <row r="94" spans="1:27" ht="15">
      <c r="A94" s="66" t="s">
        <v>323</v>
      </c>
      <c r="B94" s="66" t="s">
        <v>419</v>
      </c>
      <c r="C94" s="67" t="s">
        <v>3495</v>
      </c>
      <c r="D94" s="68">
        <v>3</v>
      </c>
      <c r="E94" s="69"/>
      <c r="F94" s="70">
        <v>50</v>
      </c>
      <c r="G94" s="67"/>
      <c r="H94" s="71"/>
      <c r="I94" s="72"/>
      <c r="J94" s="72"/>
      <c r="K94" s="34" t="s">
        <v>65</v>
      </c>
      <c r="L94" s="79">
        <v>94</v>
      </c>
      <c r="M94" s="79"/>
      <c r="N94" s="74"/>
      <c r="O94" s="81" t="s">
        <v>653</v>
      </c>
      <c r="P94">
        <v>1</v>
      </c>
      <c r="Q94" s="80" t="str">
        <f>REPLACE(INDEX(GroupVertices[Group],MATCH(Edges[[#This Row],[Vertex 1]],GroupVertices[Vertex],0)),1,1,"")</f>
        <v>6</v>
      </c>
      <c r="R94" s="80" t="str">
        <f>REPLACE(INDEX(GroupVertices[Group],MATCH(Edges[[#This Row],[Vertex 2]],GroupVertices[Vertex],0)),1,1,"")</f>
        <v>6</v>
      </c>
      <c r="S94" s="34"/>
      <c r="T94" s="34"/>
      <c r="U94" s="34"/>
      <c r="V94" s="34"/>
      <c r="W94" s="34"/>
      <c r="X94" s="34"/>
      <c r="Y94" s="34"/>
      <c r="Z94" s="34"/>
      <c r="AA94" s="34"/>
    </row>
    <row r="95" spans="1:27" ht="15">
      <c r="A95" s="66" t="s">
        <v>323</v>
      </c>
      <c r="B95" s="66" t="s">
        <v>420</v>
      </c>
      <c r="C95" s="67" t="s">
        <v>3495</v>
      </c>
      <c r="D95" s="68">
        <v>3</v>
      </c>
      <c r="E95" s="69"/>
      <c r="F95" s="70">
        <v>50</v>
      </c>
      <c r="G95" s="67"/>
      <c r="H95" s="71"/>
      <c r="I95" s="72"/>
      <c r="J95" s="72"/>
      <c r="K95" s="34" t="s">
        <v>65</v>
      </c>
      <c r="L95" s="79">
        <v>95</v>
      </c>
      <c r="M95" s="79"/>
      <c r="N95" s="74"/>
      <c r="O95" s="81" t="s">
        <v>653</v>
      </c>
      <c r="P95">
        <v>1</v>
      </c>
      <c r="Q95" s="80" t="str">
        <f>REPLACE(INDEX(GroupVertices[Group],MATCH(Edges[[#This Row],[Vertex 1]],GroupVertices[Vertex],0)),1,1,"")</f>
        <v>6</v>
      </c>
      <c r="R95" s="80" t="str">
        <f>REPLACE(INDEX(GroupVertices[Group],MATCH(Edges[[#This Row],[Vertex 2]],GroupVertices[Vertex],0)),1,1,"")</f>
        <v>7</v>
      </c>
      <c r="S95" s="34"/>
      <c r="T95" s="34"/>
      <c r="U95" s="34"/>
      <c r="V95" s="34"/>
      <c r="W95" s="34"/>
      <c r="X95" s="34"/>
      <c r="Y95" s="34"/>
      <c r="Z95" s="34"/>
      <c r="AA95" s="34"/>
    </row>
    <row r="96" spans="1:27" ht="15">
      <c r="A96" s="66" t="s">
        <v>323</v>
      </c>
      <c r="B96" s="66" t="s">
        <v>330</v>
      </c>
      <c r="C96" s="67" t="s">
        <v>3495</v>
      </c>
      <c r="D96" s="68">
        <v>3</v>
      </c>
      <c r="E96" s="69"/>
      <c r="F96" s="70">
        <v>50</v>
      </c>
      <c r="G96" s="67"/>
      <c r="H96" s="71"/>
      <c r="I96" s="72"/>
      <c r="J96" s="72"/>
      <c r="K96" s="34" t="s">
        <v>65</v>
      </c>
      <c r="L96" s="79">
        <v>96</v>
      </c>
      <c r="M96" s="79"/>
      <c r="N96" s="74"/>
      <c r="O96" s="81" t="s">
        <v>653</v>
      </c>
      <c r="P96">
        <v>1</v>
      </c>
      <c r="Q96" s="80" t="str">
        <f>REPLACE(INDEX(GroupVertices[Group],MATCH(Edges[[#This Row],[Vertex 1]],GroupVertices[Vertex],0)),1,1,"")</f>
        <v>6</v>
      </c>
      <c r="R96" s="80" t="str">
        <f>REPLACE(INDEX(GroupVertices[Group],MATCH(Edges[[#This Row],[Vertex 2]],GroupVertices[Vertex],0)),1,1,"")</f>
        <v>4</v>
      </c>
      <c r="S96" s="34"/>
      <c r="T96" s="34"/>
      <c r="U96" s="34"/>
      <c r="V96" s="34"/>
      <c r="W96" s="34"/>
      <c r="X96" s="34"/>
      <c r="Y96" s="34"/>
      <c r="Z96" s="34"/>
      <c r="AA96" s="34"/>
    </row>
    <row r="97" spans="1:27" ht="15">
      <c r="A97" s="66" t="s">
        <v>323</v>
      </c>
      <c r="B97" s="66" t="s">
        <v>421</v>
      </c>
      <c r="C97" s="67" t="s">
        <v>3495</v>
      </c>
      <c r="D97" s="68">
        <v>3</v>
      </c>
      <c r="E97" s="69"/>
      <c r="F97" s="70">
        <v>50</v>
      </c>
      <c r="G97" s="67"/>
      <c r="H97" s="71"/>
      <c r="I97" s="72"/>
      <c r="J97" s="72"/>
      <c r="K97" s="34" t="s">
        <v>65</v>
      </c>
      <c r="L97" s="79">
        <v>97</v>
      </c>
      <c r="M97" s="79"/>
      <c r="N97" s="74"/>
      <c r="O97" s="81" t="s">
        <v>653</v>
      </c>
      <c r="P97">
        <v>1</v>
      </c>
      <c r="Q97" s="80" t="str">
        <f>REPLACE(INDEX(GroupVertices[Group],MATCH(Edges[[#This Row],[Vertex 1]],GroupVertices[Vertex],0)),1,1,"")</f>
        <v>6</v>
      </c>
      <c r="R97" s="80" t="str">
        <f>REPLACE(INDEX(GroupVertices[Group],MATCH(Edges[[#This Row],[Vertex 2]],GroupVertices[Vertex],0)),1,1,"")</f>
        <v>4</v>
      </c>
      <c r="S97" s="34"/>
      <c r="T97" s="34"/>
      <c r="U97" s="34"/>
      <c r="V97" s="34"/>
      <c r="W97" s="34"/>
      <c r="X97" s="34"/>
      <c r="Y97" s="34"/>
      <c r="Z97" s="34"/>
      <c r="AA97" s="34"/>
    </row>
    <row r="98" spans="1:27" ht="15">
      <c r="A98" s="66" t="s">
        <v>323</v>
      </c>
      <c r="B98" s="66" t="s">
        <v>422</v>
      </c>
      <c r="C98" s="67" t="s">
        <v>3495</v>
      </c>
      <c r="D98" s="68">
        <v>3</v>
      </c>
      <c r="E98" s="69"/>
      <c r="F98" s="70">
        <v>50</v>
      </c>
      <c r="G98" s="67"/>
      <c r="H98" s="71"/>
      <c r="I98" s="72"/>
      <c r="J98" s="72"/>
      <c r="K98" s="34" t="s">
        <v>65</v>
      </c>
      <c r="L98" s="79">
        <v>98</v>
      </c>
      <c r="M98" s="79"/>
      <c r="N98" s="74"/>
      <c r="O98" s="81" t="s">
        <v>653</v>
      </c>
      <c r="P98">
        <v>1</v>
      </c>
      <c r="Q98" s="80" t="str">
        <f>REPLACE(INDEX(GroupVertices[Group],MATCH(Edges[[#This Row],[Vertex 1]],GroupVertices[Vertex],0)),1,1,"")</f>
        <v>6</v>
      </c>
      <c r="R98" s="80" t="str">
        <f>REPLACE(INDEX(GroupVertices[Group],MATCH(Edges[[#This Row],[Vertex 2]],GroupVertices[Vertex],0)),1,1,"")</f>
        <v>1</v>
      </c>
      <c r="S98" s="34"/>
      <c r="T98" s="34"/>
      <c r="U98" s="34"/>
      <c r="V98" s="34"/>
      <c r="W98" s="34"/>
      <c r="X98" s="34"/>
      <c r="Y98" s="34"/>
      <c r="Z98" s="34"/>
      <c r="AA98" s="34"/>
    </row>
    <row r="99" spans="1:27" ht="15">
      <c r="A99" s="66" t="s">
        <v>324</v>
      </c>
      <c r="B99" s="66" t="s">
        <v>423</v>
      </c>
      <c r="C99" s="67" t="s">
        <v>3495</v>
      </c>
      <c r="D99" s="68">
        <v>3</v>
      </c>
      <c r="E99" s="69"/>
      <c r="F99" s="70">
        <v>50</v>
      </c>
      <c r="G99" s="67"/>
      <c r="H99" s="71"/>
      <c r="I99" s="72"/>
      <c r="J99" s="72"/>
      <c r="K99" s="34" t="s">
        <v>65</v>
      </c>
      <c r="L99" s="79">
        <v>99</v>
      </c>
      <c r="M99" s="79"/>
      <c r="N99" s="74"/>
      <c r="O99" s="81" t="s">
        <v>653</v>
      </c>
      <c r="P99">
        <v>1</v>
      </c>
      <c r="Q99" s="80" t="str">
        <f>REPLACE(INDEX(GroupVertices[Group],MATCH(Edges[[#This Row],[Vertex 1]],GroupVertices[Vertex],0)),1,1,"")</f>
        <v>2</v>
      </c>
      <c r="R99" s="80" t="str">
        <f>REPLACE(INDEX(GroupVertices[Group],MATCH(Edges[[#This Row],[Vertex 2]],GroupVertices[Vertex],0)),1,1,"")</f>
        <v>2</v>
      </c>
      <c r="S99" s="34"/>
      <c r="T99" s="34"/>
      <c r="U99" s="34"/>
      <c r="V99" s="34"/>
      <c r="W99" s="34"/>
      <c r="X99" s="34"/>
      <c r="Y99" s="34"/>
      <c r="Z99" s="34"/>
      <c r="AA99" s="34"/>
    </row>
    <row r="100" spans="1:27" ht="15">
      <c r="A100" s="66" t="s">
        <v>324</v>
      </c>
      <c r="B100" s="66" t="s">
        <v>424</v>
      </c>
      <c r="C100" s="67" t="s">
        <v>3495</v>
      </c>
      <c r="D100" s="68">
        <v>3</v>
      </c>
      <c r="E100" s="69"/>
      <c r="F100" s="70">
        <v>50</v>
      </c>
      <c r="G100" s="67"/>
      <c r="H100" s="71"/>
      <c r="I100" s="72"/>
      <c r="J100" s="72"/>
      <c r="K100" s="34" t="s">
        <v>65</v>
      </c>
      <c r="L100" s="79">
        <v>100</v>
      </c>
      <c r="M100" s="79"/>
      <c r="N100" s="74"/>
      <c r="O100" s="81" t="s">
        <v>653</v>
      </c>
      <c r="P100">
        <v>1</v>
      </c>
      <c r="Q100" s="80" t="str">
        <f>REPLACE(INDEX(GroupVertices[Group],MATCH(Edges[[#This Row],[Vertex 1]],GroupVertices[Vertex],0)),1,1,"")</f>
        <v>2</v>
      </c>
      <c r="R100" s="80" t="str">
        <f>REPLACE(INDEX(GroupVertices[Group],MATCH(Edges[[#This Row],[Vertex 2]],GroupVertices[Vertex],0)),1,1,"")</f>
        <v>2</v>
      </c>
      <c r="S100" s="34"/>
      <c r="T100" s="34"/>
      <c r="U100" s="34"/>
      <c r="V100" s="34"/>
      <c r="W100" s="34"/>
      <c r="X100" s="34"/>
      <c r="Y100" s="34"/>
      <c r="Z100" s="34"/>
      <c r="AA100" s="34"/>
    </row>
    <row r="101" spans="1:27" ht="15">
      <c r="A101" s="66" t="s">
        <v>324</v>
      </c>
      <c r="B101" s="66" t="s">
        <v>425</v>
      </c>
      <c r="C101" s="67" t="s">
        <v>3495</v>
      </c>
      <c r="D101" s="68">
        <v>3</v>
      </c>
      <c r="E101" s="69"/>
      <c r="F101" s="70">
        <v>50</v>
      </c>
      <c r="G101" s="67"/>
      <c r="H101" s="71"/>
      <c r="I101" s="72"/>
      <c r="J101" s="72"/>
      <c r="K101" s="34" t="s">
        <v>65</v>
      </c>
      <c r="L101" s="79">
        <v>101</v>
      </c>
      <c r="M101" s="79"/>
      <c r="N101" s="74"/>
      <c r="O101" s="81" t="s">
        <v>653</v>
      </c>
      <c r="P101">
        <v>1</v>
      </c>
      <c r="Q101" s="80" t="str">
        <f>REPLACE(INDEX(GroupVertices[Group],MATCH(Edges[[#This Row],[Vertex 1]],GroupVertices[Vertex],0)),1,1,"")</f>
        <v>2</v>
      </c>
      <c r="R101" s="80" t="str">
        <f>REPLACE(INDEX(GroupVertices[Group],MATCH(Edges[[#This Row],[Vertex 2]],GroupVertices[Vertex],0)),1,1,"")</f>
        <v>2</v>
      </c>
      <c r="S101" s="34"/>
      <c r="T101" s="34"/>
      <c r="U101" s="34"/>
      <c r="V101" s="34"/>
      <c r="W101" s="34"/>
      <c r="X101" s="34"/>
      <c r="Y101" s="34"/>
      <c r="Z101" s="34"/>
      <c r="AA101" s="34"/>
    </row>
    <row r="102" spans="1:27" ht="15">
      <c r="A102" s="66" t="s">
        <v>324</v>
      </c>
      <c r="B102" s="66" t="s">
        <v>426</v>
      </c>
      <c r="C102" s="67" t="s">
        <v>3495</v>
      </c>
      <c r="D102" s="68">
        <v>3</v>
      </c>
      <c r="E102" s="69"/>
      <c r="F102" s="70">
        <v>50</v>
      </c>
      <c r="G102" s="67"/>
      <c r="H102" s="71"/>
      <c r="I102" s="72"/>
      <c r="J102" s="72"/>
      <c r="K102" s="34" t="s">
        <v>65</v>
      </c>
      <c r="L102" s="79">
        <v>102</v>
      </c>
      <c r="M102" s="79"/>
      <c r="N102" s="74"/>
      <c r="O102" s="81" t="s">
        <v>653</v>
      </c>
      <c r="P102">
        <v>1</v>
      </c>
      <c r="Q102" s="80" t="str">
        <f>REPLACE(INDEX(GroupVertices[Group],MATCH(Edges[[#This Row],[Vertex 1]],GroupVertices[Vertex],0)),1,1,"")</f>
        <v>2</v>
      </c>
      <c r="R102" s="80" t="str">
        <f>REPLACE(INDEX(GroupVertices[Group],MATCH(Edges[[#This Row],[Vertex 2]],GroupVertices[Vertex],0)),1,1,"")</f>
        <v>2</v>
      </c>
      <c r="S102" s="34"/>
      <c r="T102" s="34"/>
      <c r="U102" s="34"/>
      <c r="V102" s="34"/>
      <c r="W102" s="34"/>
      <c r="X102" s="34"/>
      <c r="Y102" s="34"/>
      <c r="Z102" s="34"/>
      <c r="AA102" s="34"/>
    </row>
    <row r="103" spans="1:27" ht="15">
      <c r="A103" s="66" t="s">
        <v>324</v>
      </c>
      <c r="B103" s="66" t="s">
        <v>427</v>
      </c>
      <c r="C103" s="67" t="s">
        <v>3495</v>
      </c>
      <c r="D103" s="68">
        <v>3</v>
      </c>
      <c r="E103" s="69"/>
      <c r="F103" s="70">
        <v>50</v>
      </c>
      <c r="G103" s="67"/>
      <c r="H103" s="71"/>
      <c r="I103" s="72"/>
      <c r="J103" s="72"/>
      <c r="K103" s="34" t="s">
        <v>65</v>
      </c>
      <c r="L103" s="79">
        <v>103</v>
      </c>
      <c r="M103" s="79"/>
      <c r="N103" s="74"/>
      <c r="O103" s="81" t="s">
        <v>653</v>
      </c>
      <c r="P103">
        <v>1</v>
      </c>
      <c r="Q103" s="80" t="str">
        <f>REPLACE(INDEX(GroupVertices[Group],MATCH(Edges[[#This Row],[Vertex 1]],GroupVertices[Vertex],0)),1,1,"")</f>
        <v>2</v>
      </c>
      <c r="R103" s="80" t="str">
        <f>REPLACE(INDEX(GroupVertices[Group],MATCH(Edges[[#This Row],[Vertex 2]],GroupVertices[Vertex],0)),1,1,"")</f>
        <v>2</v>
      </c>
      <c r="S103" s="34"/>
      <c r="T103" s="34"/>
      <c r="U103" s="34"/>
      <c r="V103" s="34"/>
      <c r="W103" s="34"/>
      <c r="X103" s="34"/>
      <c r="Y103" s="34"/>
      <c r="Z103" s="34"/>
      <c r="AA103" s="34"/>
    </row>
    <row r="104" spans="1:27" ht="15">
      <c r="A104" s="66" t="s">
        <v>324</v>
      </c>
      <c r="B104" s="66" t="s">
        <v>428</v>
      </c>
      <c r="C104" s="67" t="s">
        <v>3495</v>
      </c>
      <c r="D104" s="68">
        <v>3</v>
      </c>
      <c r="E104" s="69"/>
      <c r="F104" s="70">
        <v>50</v>
      </c>
      <c r="G104" s="67"/>
      <c r="H104" s="71"/>
      <c r="I104" s="72"/>
      <c r="J104" s="72"/>
      <c r="K104" s="34" t="s">
        <v>65</v>
      </c>
      <c r="L104" s="79">
        <v>104</v>
      </c>
      <c r="M104" s="79"/>
      <c r="N104" s="74"/>
      <c r="O104" s="81" t="s">
        <v>653</v>
      </c>
      <c r="P104">
        <v>1</v>
      </c>
      <c r="Q104" s="80" t="str">
        <f>REPLACE(INDEX(GroupVertices[Group],MATCH(Edges[[#This Row],[Vertex 1]],GroupVertices[Vertex],0)),1,1,"")</f>
        <v>2</v>
      </c>
      <c r="R104" s="80" t="str">
        <f>REPLACE(INDEX(GroupVertices[Group],MATCH(Edges[[#This Row],[Vertex 2]],GroupVertices[Vertex],0)),1,1,"")</f>
        <v>2</v>
      </c>
      <c r="S104" s="34"/>
      <c r="T104" s="34"/>
      <c r="U104" s="34"/>
      <c r="V104" s="34"/>
      <c r="W104" s="34"/>
      <c r="X104" s="34"/>
      <c r="Y104" s="34"/>
      <c r="Z104" s="34"/>
      <c r="AA104" s="34"/>
    </row>
    <row r="105" spans="1:27" ht="15">
      <c r="A105" s="66" t="s">
        <v>324</v>
      </c>
      <c r="B105" s="66" t="s">
        <v>429</v>
      </c>
      <c r="C105" s="67" t="s">
        <v>3495</v>
      </c>
      <c r="D105" s="68">
        <v>3</v>
      </c>
      <c r="E105" s="69"/>
      <c r="F105" s="70">
        <v>50</v>
      </c>
      <c r="G105" s="67"/>
      <c r="H105" s="71"/>
      <c r="I105" s="72"/>
      <c r="J105" s="72"/>
      <c r="K105" s="34" t="s">
        <v>65</v>
      </c>
      <c r="L105" s="79">
        <v>105</v>
      </c>
      <c r="M105" s="79"/>
      <c r="N105" s="74"/>
      <c r="O105" s="81" t="s">
        <v>653</v>
      </c>
      <c r="P105">
        <v>1</v>
      </c>
      <c r="Q105" s="80" t="str">
        <f>REPLACE(INDEX(GroupVertices[Group],MATCH(Edges[[#This Row],[Vertex 1]],GroupVertices[Vertex],0)),1,1,"")</f>
        <v>2</v>
      </c>
      <c r="R105" s="80" t="str">
        <f>REPLACE(INDEX(GroupVertices[Group],MATCH(Edges[[#This Row],[Vertex 2]],GroupVertices[Vertex],0)),1,1,"")</f>
        <v>2</v>
      </c>
      <c r="S105" s="34"/>
      <c r="T105" s="34"/>
      <c r="U105" s="34"/>
      <c r="V105" s="34"/>
      <c r="W105" s="34"/>
      <c r="X105" s="34"/>
      <c r="Y105" s="34"/>
      <c r="Z105" s="34"/>
      <c r="AA105" s="34"/>
    </row>
    <row r="106" spans="1:27" ht="15">
      <c r="A106" s="66" t="s">
        <v>324</v>
      </c>
      <c r="B106" s="66" t="s">
        <v>430</v>
      </c>
      <c r="C106" s="67" t="s">
        <v>3495</v>
      </c>
      <c r="D106" s="68">
        <v>3</v>
      </c>
      <c r="E106" s="69"/>
      <c r="F106" s="70">
        <v>50</v>
      </c>
      <c r="G106" s="67"/>
      <c r="H106" s="71"/>
      <c r="I106" s="72"/>
      <c r="J106" s="72"/>
      <c r="K106" s="34" t="s">
        <v>65</v>
      </c>
      <c r="L106" s="79">
        <v>106</v>
      </c>
      <c r="M106" s="79"/>
      <c r="N106" s="74"/>
      <c r="O106" s="81" t="s">
        <v>653</v>
      </c>
      <c r="P106">
        <v>1</v>
      </c>
      <c r="Q106" s="80" t="str">
        <f>REPLACE(INDEX(GroupVertices[Group],MATCH(Edges[[#This Row],[Vertex 1]],GroupVertices[Vertex],0)),1,1,"")</f>
        <v>2</v>
      </c>
      <c r="R106" s="80" t="str">
        <f>REPLACE(INDEX(GroupVertices[Group],MATCH(Edges[[#This Row],[Vertex 2]],GroupVertices[Vertex],0)),1,1,"")</f>
        <v>2</v>
      </c>
      <c r="S106" s="34"/>
      <c r="T106" s="34"/>
      <c r="U106" s="34"/>
      <c r="V106" s="34"/>
      <c r="W106" s="34"/>
      <c r="X106" s="34"/>
      <c r="Y106" s="34"/>
      <c r="Z106" s="34"/>
      <c r="AA106" s="34"/>
    </row>
    <row r="107" spans="1:27" ht="15">
      <c r="A107" s="66" t="s">
        <v>324</v>
      </c>
      <c r="B107" s="66" t="s">
        <v>431</v>
      </c>
      <c r="C107" s="67" t="s">
        <v>3495</v>
      </c>
      <c r="D107" s="68">
        <v>3</v>
      </c>
      <c r="E107" s="69"/>
      <c r="F107" s="70">
        <v>50</v>
      </c>
      <c r="G107" s="67"/>
      <c r="H107" s="71"/>
      <c r="I107" s="72"/>
      <c r="J107" s="72"/>
      <c r="K107" s="34" t="s">
        <v>65</v>
      </c>
      <c r="L107" s="79">
        <v>107</v>
      </c>
      <c r="M107" s="79"/>
      <c r="N107" s="74"/>
      <c r="O107" s="81" t="s">
        <v>653</v>
      </c>
      <c r="P107">
        <v>1</v>
      </c>
      <c r="Q107" s="80" t="str">
        <f>REPLACE(INDEX(GroupVertices[Group],MATCH(Edges[[#This Row],[Vertex 1]],GroupVertices[Vertex],0)),1,1,"")</f>
        <v>2</v>
      </c>
      <c r="R107" s="80" t="str">
        <f>REPLACE(INDEX(GroupVertices[Group],MATCH(Edges[[#This Row],[Vertex 2]],GroupVertices[Vertex],0)),1,1,"")</f>
        <v>2</v>
      </c>
      <c r="S107" s="34"/>
      <c r="T107" s="34"/>
      <c r="U107" s="34"/>
      <c r="V107" s="34"/>
      <c r="W107" s="34"/>
      <c r="X107" s="34"/>
      <c r="Y107" s="34"/>
      <c r="Z107" s="34"/>
      <c r="AA107" s="34"/>
    </row>
    <row r="108" spans="1:27" ht="15">
      <c r="A108" s="66" t="s">
        <v>324</v>
      </c>
      <c r="B108" s="66" t="s">
        <v>432</v>
      </c>
      <c r="C108" s="67" t="s">
        <v>3495</v>
      </c>
      <c r="D108" s="68">
        <v>3</v>
      </c>
      <c r="E108" s="69"/>
      <c r="F108" s="70">
        <v>50</v>
      </c>
      <c r="G108" s="67"/>
      <c r="H108" s="71"/>
      <c r="I108" s="72"/>
      <c r="J108" s="72"/>
      <c r="K108" s="34" t="s">
        <v>65</v>
      </c>
      <c r="L108" s="79">
        <v>108</v>
      </c>
      <c r="M108" s="79"/>
      <c r="N108" s="74"/>
      <c r="O108" s="81" t="s">
        <v>653</v>
      </c>
      <c r="P108">
        <v>1</v>
      </c>
      <c r="Q108" s="80" t="str">
        <f>REPLACE(INDEX(GroupVertices[Group],MATCH(Edges[[#This Row],[Vertex 1]],GroupVertices[Vertex],0)),1,1,"")</f>
        <v>2</v>
      </c>
      <c r="R108" s="80" t="str">
        <f>REPLACE(INDEX(GroupVertices[Group],MATCH(Edges[[#This Row],[Vertex 2]],GroupVertices[Vertex],0)),1,1,"")</f>
        <v>2</v>
      </c>
      <c r="S108" s="34"/>
      <c r="T108" s="34"/>
      <c r="U108" s="34"/>
      <c r="V108" s="34"/>
      <c r="W108" s="34"/>
      <c r="X108" s="34"/>
      <c r="Y108" s="34"/>
      <c r="Z108" s="34"/>
      <c r="AA108" s="34"/>
    </row>
    <row r="109" spans="1:27" ht="15">
      <c r="A109" s="66" t="s">
        <v>324</v>
      </c>
      <c r="B109" s="66" t="s">
        <v>433</v>
      </c>
      <c r="C109" s="67" t="s">
        <v>3495</v>
      </c>
      <c r="D109" s="68">
        <v>3</v>
      </c>
      <c r="E109" s="69"/>
      <c r="F109" s="70">
        <v>50</v>
      </c>
      <c r="G109" s="67"/>
      <c r="H109" s="71"/>
      <c r="I109" s="72"/>
      <c r="J109" s="72"/>
      <c r="K109" s="34" t="s">
        <v>65</v>
      </c>
      <c r="L109" s="79">
        <v>109</v>
      </c>
      <c r="M109" s="79"/>
      <c r="N109" s="74"/>
      <c r="O109" s="81" t="s">
        <v>653</v>
      </c>
      <c r="P109">
        <v>1</v>
      </c>
      <c r="Q109" s="80" t="str">
        <f>REPLACE(INDEX(GroupVertices[Group],MATCH(Edges[[#This Row],[Vertex 1]],GroupVertices[Vertex],0)),1,1,"")</f>
        <v>2</v>
      </c>
      <c r="R109" s="80" t="str">
        <f>REPLACE(INDEX(GroupVertices[Group],MATCH(Edges[[#This Row],[Vertex 2]],GroupVertices[Vertex],0)),1,1,"")</f>
        <v>2</v>
      </c>
      <c r="S109" s="34"/>
      <c r="T109" s="34"/>
      <c r="U109" s="34"/>
      <c r="V109" s="34"/>
      <c r="W109" s="34"/>
      <c r="X109" s="34"/>
      <c r="Y109" s="34"/>
      <c r="Z109" s="34"/>
      <c r="AA109" s="34"/>
    </row>
    <row r="110" spans="1:27" ht="15">
      <c r="A110" s="66" t="s">
        <v>324</v>
      </c>
      <c r="B110" s="66" t="s">
        <v>434</v>
      </c>
      <c r="C110" s="67" t="s">
        <v>3495</v>
      </c>
      <c r="D110" s="68">
        <v>3</v>
      </c>
      <c r="E110" s="69"/>
      <c r="F110" s="70">
        <v>50</v>
      </c>
      <c r="G110" s="67"/>
      <c r="H110" s="71"/>
      <c r="I110" s="72"/>
      <c r="J110" s="72"/>
      <c r="K110" s="34" t="s">
        <v>65</v>
      </c>
      <c r="L110" s="79">
        <v>110</v>
      </c>
      <c r="M110" s="79"/>
      <c r="N110" s="74"/>
      <c r="O110" s="81" t="s">
        <v>653</v>
      </c>
      <c r="P110">
        <v>1</v>
      </c>
      <c r="Q110" s="80" t="str">
        <f>REPLACE(INDEX(GroupVertices[Group],MATCH(Edges[[#This Row],[Vertex 1]],GroupVertices[Vertex],0)),1,1,"")</f>
        <v>2</v>
      </c>
      <c r="R110" s="80" t="str">
        <f>REPLACE(INDEX(GroupVertices[Group],MATCH(Edges[[#This Row],[Vertex 2]],GroupVertices[Vertex],0)),1,1,"")</f>
        <v>2</v>
      </c>
      <c r="S110" s="34"/>
      <c r="T110" s="34"/>
      <c r="U110" s="34"/>
      <c r="V110" s="34"/>
      <c r="W110" s="34"/>
      <c r="X110" s="34"/>
      <c r="Y110" s="34"/>
      <c r="Z110" s="34"/>
      <c r="AA110" s="34"/>
    </row>
    <row r="111" spans="1:27" ht="15">
      <c r="A111" s="66" t="s">
        <v>324</v>
      </c>
      <c r="B111" s="66" t="s">
        <v>435</v>
      </c>
      <c r="C111" s="67" t="s">
        <v>3495</v>
      </c>
      <c r="D111" s="68">
        <v>3</v>
      </c>
      <c r="E111" s="69"/>
      <c r="F111" s="70">
        <v>50</v>
      </c>
      <c r="G111" s="67"/>
      <c r="H111" s="71"/>
      <c r="I111" s="72"/>
      <c r="J111" s="72"/>
      <c r="K111" s="34" t="s">
        <v>65</v>
      </c>
      <c r="L111" s="79">
        <v>111</v>
      </c>
      <c r="M111" s="79"/>
      <c r="N111" s="74"/>
      <c r="O111" s="81" t="s">
        <v>653</v>
      </c>
      <c r="P111">
        <v>1</v>
      </c>
      <c r="Q111" s="80" t="str">
        <f>REPLACE(INDEX(GroupVertices[Group],MATCH(Edges[[#This Row],[Vertex 1]],GroupVertices[Vertex],0)),1,1,"")</f>
        <v>2</v>
      </c>
      <c r="R111" s="80" t="str">
        <f>REPLACE(INDEX(GroupVertices[Group],MATCH(Edges[[#This Row],[Vertex 2]],GroupVertices[Vertex],0)),1,1,"")</f>
        <v>2</v>
      </c>
      <c r="S111" s="34"/>
      <c r="T111" s="34"/>
      <c r="U111" s="34"/>
      <c r="V111" s="34"/>
      <c r="W111" s="34"/>
      <c r="X111" s="34"/>
      <c r="Y111" s="34"/>
      <c r="Z111" s="34"/>
      <c r="AA111" s="34"/>
    </row>
    <row r="112" spans="1:27" ht="15">
      <c r="A112" s="66" t="s">
        <v>324</v>
      </c>
      <c r="B112" s="66" t="s">
        <v>436</v>
      </c>
      <c r="C112" s="67" t="s">
        <v>3495</v>
      </c>
      <c r="D112" s="68">
        <v>3</v>
      </c>
      <c r="E112" s="69"/>
      <c r="F112" s="70">
        <v>50</v>
      </c>
      <c r="G112" s="67"/>
      <c r="H112" s="71"/>
      <c r="I112" s="72"/>
      <c r="J112" s="72"/>
      <c r="K112" s="34" t="s">
        <v>65</v>
      </c>
      <c r="L112" s="79">
        <v>112</v>
      </c>
      <c r="M112" s="79"/>
      <c r="N112" s="74"/>
      <c r="O112" s="81" t="s">
        <v>653</v>
      </c>
      <c r="P112">
        <v>1</v>
      </c>
      <c r="Q112" s="80" t="str">
        <f>REPLACE(INDEX(GroupVertices[Group],MATCH(Edges[[#This Row],[Vertex 1]],GroupVertices[Vertex],0)),1,1,"")</f>
        <v>2</v>
      </c>
      <c r="R112" s="80" t="str">
        <f>REPLACE(INDEX(GroupVertices[Group],MATCH(Edges[[#This Row],[Vertex 2]],GroupVertices[Vertex],0)),1,1,"")</f>
        <v>2</v>
      </c>
      <c r="S112" s="34"/>
      <c r="T112" s="34"/>
      <c r="U112" s="34"/>
      <c r="V112" s="34"/>
      <c r="W112" s="34"/>
      <c r="X112" s="34"/>
      <c r="Y112" s="34"/>
      <c r="Z112" s="34"/>
      <c r="AA112" s="34"/>
    </row>
    <row r="113" spans="1:27" ht="15">
      <c r="A113" s="66" t="s">
        <v>324</v>
      </c>
      <c r="B113" s="66" t="s">
        <v>437</v>
      </c>
      <c r="C113" s="67" t="s">
        <v>3495</v>
      </c>
      <c r="D113" s="68">
        <v>3</v>
      </c>
      <c r="E113" s="69"/>
      <c r="F113" s="70">
        <v>50</v>
      </c>
      <c r="G113" s="67"/>
      <c r="H113" s="71"/>
      <c r="I113" s="72"/>
      <c r="J113" s="72"/>
      <c r="K113" s="34" t="s">
        <v>65</v>
      </c>
      <c r="L113" s="79">
        <v>113</v>
      </c>
      <c r="M113" s="79"/>
      <c r="N113" s="74"/>
      <c r="O113" s="81" t="s">
        <v>653</v>
      </c>
      <c r="P113">
        <v>1</v>
      </c>
      <c r="Q113" s="80" t="str">
        <f>REPLACE(INDEX(GroupVertices[Group],MATCH(Edges[[#This Row],[Vertex 1]],GroupVertices[Vertex],0)),1,1,"")</f>
        <v>2</v>
      </c>
      <c r="R113" s="80" t="str">
        <f>REPLACE(INDEX(GroupVertices[Group],MATCH(Edges[[#This Row],[Vertex 2]],GroupVertices[Vertex],0)),1,1,"")</f>
        <v>2</v>
      </c>
      <c r="S113" s="34"/>
      <c r="T113" s="34"/>
      <c r="U113" s="34"/>
      <c r="V113" s="34"/>
      <c r="W113" s="34"/>
      <c r="X113" s="34"/>
      <c r="Y113" s="34"/>
      <c r="Z113" s="34"/>
      <c r="AA113" s="34"/>
    </row>
    <row r="114" spans="1:27" ht="15">
      <c r="A114" s="66" t="s">
        <v>324</v>
      </c>
      <c r="B114" s="66" t="s">
        <v>438</v>
      </c>
      <c r="C114" s="67" t="s">
        <v>3495</v>
      </c>
      <c r="D114" s="68">
        <v>3</v>
      </c>
      <c r="E114" s="69"/>
      <c r="F114" s="70">
        <v>50</v>
      </c>
      <c r="G114" s="67"/>
      <c r="H114" s="71"/>
      <c r="I114" s="72"/>
      <c r="J114" s="72"/>
      <c r="K114" s="34" t="s">
        <v>65</v>
      </c>
      <c r="L114" s="79">
        <v>114</v>
      </c>
      <c r="M114" s="79"/>
      <c r="N114" s="74"/>
      <c r="O114" s="81" t="s">
        <v>653</v>
      </c>
      <c r="P114">
        <v>1</v>
      </c>
      <c r="Q114" s="80" t="str">
        <f>REPLACE(INDEX(GroupVertices[Group],MATCH(Edges[[#This Row],[Vertex 1]],GroupVertices[Vertex],0)),1,1,"")</f>
        <v>2</v>
      </c>
      <c r="R114" s="80" t="str">
        <f>REPLACE(INDEX(GroupVertices[Group],MATCH(Edges[[#This Row],[Vertex 2]],GroupVertices[Vertex],0)),1,1,"")</f>
        <v>2</v>
      </c>
      <c r="S114" s="34"/>
      <c r="T114" s="34"/>
      <c r="U114" s="34"/>
      <c r="V114" s="34"/>
      <c r="W114" s="34"/>
      <c r="X114" s="34"/>
      <c r="Y114" s="34"/>
      <c r="Z114" s="34"/>
      <c r="AA114" s="34"/>
    </row>
    <row r="115" spans="1:27" ht="15">
      <c r="A115" s="66" t="s">
        <v>324</v>
      </c>
      <c r="B115" s="66" t="s">
        <v>439</v>
      </c>
      <c r="C115" s="67" t="s">
        <v>3495</v>
      </c>
      <c r="D115" s="68">
        <v>3</v>
      </c>
      <c r="E115" s="69"/>
      <c r="F115" s="70">
        <v>50</v>
      </c>
      <c r="G115" s="67"/>
      <c r="H115" s="71"/>
      <c r="I115" s="72"/>
      <c r="J115" s="72"/>
      <c r="K115" s="34" t="s">
        <v>65</v>
      </c>
      <c r="L115" s="79">
        <v>115</v>
      </c>
      <c r="M115" s="79"/>
      <c r="N115" s="74"/>
      <c r="O115" s="81" t="s">
        <v>653</v>
      </c>
      <c r="P115">
        <v>1</v>
      </c>
      <c r="Q115" s="80" t="str">
        <f>REPLACE(INDEX(GroupVertices[Group],MATCH(Edges[[#This Row],[Vertex 1]],GroupVertices[Vertex],0)),1,1,"")</f>
        <v>2</v>
      </c>
      <c r="R115" s="80" t="str">
        <f>REPLACE(INDEX(GroupVertices[Group],MATCH(Edges[[#This Row],[Vertex 2]],GroupVertices[Vertex],0)),1,1,"")</f>
        <v>2</v>
      </c>
      <c r="S115" s="34"/>
      <c r="T115" s="34"/>
      <c r="U115" s="34"/>
      <c r="V115" s="34"/>
      <c r="W115" s="34"/>
      <c r="X115" s="34"/>
      <c r="Y115" s="34"/>
      <c r="Z115" s="34"/>
      <c r="AA115" s="34"/>
    </row>
    <row r="116" spans="1:27" ht="15">
      <c r="A116" s="66" t="s">
        <v>324</v>
      </c>
      <c r="B116" s="66" t="s">
        <v>440</v>
      </c>
      <c r="C116" s="67" t="s">
        <v>3495</v>
      </c>
      <c r="D116" s="68">
        <v>3</v>
      </c>
      <c r="E116" s="69"/>
      <c r="F116" s="70">
        <v>50</v>
      </c>
      <c r="G116" s="67"/>
      <c r="H116" s="71"/>
      <c r="I116" s="72"/>
      <c r="J116" s="72"/>
      <c r="K116" s="34" t="s">
        <v>65</v>
      </c>
      <c r="L116" s="79">
        <v>116</v>
      </c>
      <c r="M116" s="79"/>
      <c r="N116" s="74"/>
      <c r="O116" s="81" t="s">
        <v>653</v>
      </c>
      <c r="P116">
        <v>1</v>
      </c>
      <c r="Q116" s="80" t="str">
        <f>REPLACE(INDEX(GroupVertices[Group],MATCH(Edges[[#This Row],[Vertex 1]],GroupVertices[Vertex],0)),1,1,"")</f>
        <v>2</v>
      </c>
      <c r="R116" s="80" t="str">
        <f>REPLACE(INDEX(GroupVertices[Group],MATCH(Edges[[#This Row],[Vertex 2]],GroupVertices[Vertex],0)),1,1,"")</f>
        <v>2</v>
      </c>
      <c r="S116" s="34"/>
      <c r="T116" s="34"/>
      <c r="U116" s="34"/>
      <c r="V116" s="34"/>
      <c r="W116" s="34"/>
      <c r="X116" s="34"/>
      <c r="Y116" s="34"/>
      <c r="Z116" s="34"/>
      <c r="AA116" s="34"/>
    </row>
    <row r="117" spans="1:27" ht="15">
      <c r="A117" s="66" t="s">
        <v>324</v>
      </c>
      <c r="B117" s="66" t="s">
        <v>441</v>
      </c>
      <c r="C117" s="67" t="s">
        <v>3495</v>
      </c>
      <c r="D117" s="68">
        <v>3</v>
      </c>
      <c r="E117" s="69"/>
      <c r="F117" s="70">
        <v>50</v>
      </c>
      <c r="G117" s="67"/>
      <c r="H117" s="71"/>
      <c r="I117" s="72"/>
      <c r="J117" s="72"/>
      <c r="K117" s="34" t="s">
        <v>65</v>
      </c>
      <c r="L117" s="79">
        <v>117</v>
      </c>
      <c r="M117" s="79"/>
      <c r="N117" s="74"/>
      <c r="O117" s="81" t="s">
        <v>653</v>
      </c>
      <c r="P117">
        <v>1</v>
      </c>
      <c r="Q117" s="80" t="str">
        <f>REPLACE(INDEX(GroupVertices[Group],MATCH(Edges[[#This Row],[Vertex 1]],GroupVertices[Vertex],0)),1,1,"")</f>
        <v>2</v>
      </c>
      <c r="R117" s="80" t="str">
        <f>REPLACE(INDEX(GroupVertices[Group],MATCH(Edges[[#This Row],[Vertex 2]],GroupVertices[Vertex],0)),1,1,"")</f>
        <v>2</v>
      </c>
      <c r="S117" s="34"/>
      <c r="T117" s="34"/>
      <c r="U117" s="34"/>
      <c r="V117" s="34"/>
      <c r="W117" s="34"/>
      <c r="X117" s="34"/>
      <c r="Y117" s="34"/>
      <c r="Z117" s="34"/>
      <c r="AA117" s="34"/>
    </row>
    <row r="118" spans="1:27" ht="15">
      <c r="A118" s="66" t="s">
        <v>324</v>
      </c>
      <c r="B118" s="66" t="s">
        <v>442</v>
      </c>
      <c r="C118" s="67" t="s">
        <v>3495</v>
      </c>
      <c r="D118" s="68">
        <v>3</v>
      </c>
      <c r="E118" s="69"/>
      <c r="F118" s="70">
        <v>50</v>
      </c>
      <c r="G118" s="67"/>
      <c r="H118" s="71"/>
      <c r="I118" s="72"/>
      <c r="J118" s="72"/>
      <c r="K118" s="34" t="s">
        <v>65</v>
      </c>
      <c r="L118" s="79">
        <v>118</v>
      </c>
      <c r="M118" s="79"/>
      <c r="N118" s="74"/>
      <c r="O118" s="81" t="s">
        <v>653</v>
      </c>
      <c r="P118">
        <v>1</v>
      </c>
      <c r="Q118" s="80" t="str">
        <f>REPLACE(INDEX(GroupVertices[Group],MATCH(Edges[[#This Row],[Vertex 1]],GroupVertices[Vertex],0)),1,1,"")</f>
        <v>2</v>
      </c>
      <c r="R118" s="80" t="str">
        <f>REPLACE(INDEX(GroupVertices[Group],MATCH(Edges[[#This Row],[Vertex 2]],GroupVertices[Vertex],0)),1,1,"")</f>
        <v>2</v>
      </c>
      <c r="S118" s="34"/>
      <c r="T118" s="34"/>
      <c r="U118" s="34"/>
      <c r="V118" s="34"/>
      <c r="W118" s="34"/>
      <c r="X118" s="34"/>
      <c r="Y118" s="34"/>
      <c r="Z118" s="34"/>
      <c r="AA118" s="34"/>
    </row>
    <row r="119" spans="1:27" ht="15">
      <c r="A119" s="66" t="s">
        <v>324</v>
      </c>
      <c r="B119" s="66" t="s">
        <v>443</v>
      </c>
      <c r="C119" s="67" t="s">
        <v>3495</v>
      </c>
      <c r="D119" s="68">
        <v>3</v>
      </c>
      <c r="E119" s="69"/>
      <c r="F119" s="70">
        <v>50</v>
      </c>
      <c r="G119" s="67"/>
      <c r="H119" s="71"/>
      <c r="I119" s="72"/>
      <c r="J119" s="72"/>
      <c r="K119" s="34" t="s">
        <v>65</v>
      </c>
      <c r="L119" s="79">
        <v>119</v>
      </c>
      <c r="M119" s="79"/>
      <c r="N119" s="74"/>
      <c r="O119" s="81" t="s">
        <v>653</v>
      </c>
      <c r="P119">
        <v>1</v>
      </c>
      <c r="Q119" s="80" t="str">
        <f>REPLACE(INDEX(GroupVertices[Group],MATCH(Edges[[#This Row],[Vertex 1]],GroupVertices[Vertex],0)),1,1,"")</f>
        <v>2</v>
      </c>
      <c r="R119" s="80" t="str">
        <f>REPLACE(INDEX(GroupVertices[Group],MATCH(Edges[[#This Row],[Vertex 2]],GroupVertices[Vertex],0)),1,1,"")</f>
        <v>2</v>
      </c>
      <c r="S119" s="34"/>
      <c r="T119" s="34"/>
      <c r="U119" s="34"/>
      <c r="V119" s="34"/>
      <c r="W119" s="34"/>
      <c r="X119" s="34"/>
      <c r="Y119" s="34"/>
      <c r="Z119" s="34"/>
      <c r="AA119" s="34"/>
    </row>
    <row r="120" spans="1:27" ht="15">
      <c r="A120" s="66" t="s">
        <v>324</v>
      </c>
      <c r="B120" s="66" t="s">
        <v>444</v>
      </c>
      <c r="C120" s="67" t="s">
        <v>3495</v>
      </c>
      <c r="D120" s="68">
        <v>3</v>
      </c>
      <c r="E120" s="69"/>
      <c r="F120" s="70">
        <v>50</v>
      </c>
      <c r="G120" s="67"/>
      <c r="H120" s="71"/>
      <c r="I120" s="72"/>
      <c r="J120" s="72"/>
      <c r="K120" s="34" t="s">
        <v>65</v>
      </c>
      <c r="L120" s="79">
        <v>120</v>
      </c>
      <c r="M120" s="79"/>
      <c r="N120" s="74"/>
      <c r="O120" s="81" t="s">
        <v>653</v>
      </c>
      <c r="P120">
        <v>1</v>
      </c>
      <c r="Q120" s="80" t="str">
        <f>REPLACE(INDEX(GroupVertices[Group],MATCH(Edges[[#This Row],[Vertex 1]],GroupVertices[Vertex],0)),1,1,"")</f>
        <v>2</v>
      </c>
      <c r="R120" s="80" t="str">
        <f>REPLACE(INDEX(GroupVertices[Group],MATCH(Edges[[#This Row],[Vertex 2]],GroupVertices[Vertex],0)),1,1,"")</f>
        <v>2</v>
      </c>
      <c r="S120" s="34"/>
      <c r="T120" s="34"/>
      <c r="U120" s="34"/>
      <c r="V120" s="34"/>
      <c r="W120" s="34"/>
      <c r="X120" s="34"/>
      <c r="Y120" s="34"/>
      <c r="Z120" s="34"/>
      <c r="AA120" s="34"/>
    </row>
    <row r="121" spans="1:27" ht="15">
      <c r="A121" s="66" t="s">
        <v>324</v>
      </c>
      <c r="B121" s="66" t="s">
        <v>445</v>
      </c>
      <c r="C121" s="67" t="s">
        <v>3495</v>
      </c>
      <c r="D121" s="68">
        <v>3</v>
      </c>
      <c r="E121" s="69"/>
      <c r="F121" s="70">
        <v>50</v>
      </c>
      <c r="G121" s="67"/>
      <c r="H121" s="71"/>
      <c r="I121" s="72"/>
      <c r="J121" s="72"/>
      <c r="K121" s="34" t="s">
        <v>65</v>
      </c>
      <c r="L121" s="79">
        <v>121</v>
      </c>
      <c r="M121" s="79"/>
      <c r="N121" s="74"/>
      <c r="O121" s="81" t="s">
        <v>653</v>
      </c>
      <c r="P121">
        <v>1</v>
      </c>
      <c r="Q121" s="80" t="str">
        <f>REPLACE(INDEX(GroupVertices[Group],MATCH(Edges[[#This Row],[Vertex 1]],GroupVertices[Vertex],0)),1,1,"")</f>
        <v>2</v>
      </c>
      <c r="R121" s="80" t="str">
        <f>REPLACE(INDEX(GroupVertices[Group],MATCH(Edges[[#This Row],[Vertex 2]],GroupVertices[Vertex],0)),1,1,"")</f>
        <v>2</v>
      </c>
      <c r="S121" s="34"/>
      <c r="T121" s="34"/>
      <c r="U121" s="34"/>
      <c r="V121" s="34"/>
      <c r="W121" s="34"/>
      <c r="X121" s="34"/>
      <c r="Y121" s="34"/>
      <c r="Z121" s="34"/>
      <c r="AA121" s="34"/>
    </row>
    <row r="122" spans="1:27" ht="15">
      <c r="A122" s="66" t="s">
        <v>324</v>
      </c>
      <c r="B122" s="66" t="s">
        <v>446</v>
      </c>
      <c r="C122" s="67" t="s">
        <v>3495</v>
      </c>
      <c r="D122" s="68">
        <v>3</v>
      </c>
      <c r="E122" s="69"/>
      <c r="F122" s="70">
        <v>50</v>
      </c>
      <c r="G122" s="67"/>
      <c r="H122" s="71"/>
      <c r="I122" s="72"/>
      <c r="J122" s="72"/>
      <c r="K122" s="34" t="s">
        <v>65</v>
      </c>
      <c r="L122" s="79">
        <v>122</v>
      </c>
      <c r="M122" s="79"/>
      <c r="N122" s="74"/>
      <c r="O122" s="81" t="s">
        <v>653</v>
      </c>
      <c r="P122">
        <v>1</v>
      </c>
      <c r="Q122" s="80" t="str">
        <f>REPLACE(INDEX(GroupVertices[Group],MATCH(Edges[[#This Row],[Vertex 1]],GroupVertices[Vertex],0)),1,1,"")</f>
        <v>2</v>
      </c>
      <c r="R122" s="80" t="str">
        <f>REPLACE(INDEX(GroupVertices[Group],MATCH(Edges[[#This Row],[Vertex 2]],GroupVertices[Vertex],0)),1,1,"")</f>
        <v>2</v>
      </c>
      <c r="S122" s="34"/>
      <c r="T122" s="34"/>
      <c r="U122" s="34"/>
      <c r="V122" s="34"/>
      <c r="W122" s="34"/>
      <c r="X122" s="34"/>
      <c r="Y122" s="34"/>
      <c r="Z122" s="34"/>
      <c r="AA122" s="34"/>
    </row>
    <row r="123" spans="1:27" ht="15">
      <c r="A123" s="66" t="s">
        <v>324</v>
      </c>
      <c r="B123" s="66" t="s">
        <v>447</v>
      </c>
      <c r="C123" s="67" t="s">
        <v>3495</v>
      </c>
      <c r="D123" s="68">
        <v>3</v>
      </c>
      <c r="E123" s="69"/>
      <c r="F123" s="70">
        <v>50</v>
      </c>
      <c r="G123" s="67"/>
      <c r="H123" s="71"/>
      <c r="I123" s="72"/>
      <c r="J123" s="72"/>
      <c r="K123" s="34" t="s">
        <v>65</v>
      </c>
      <c r="L123" s="79">
        <v>123</v>
      </c>
      <c r="M123" s="79"/>
      <c r="N123" s="74"/>
      <c r="O123" s="81" t="s">
        <v>653</v>
      </c>
      <c r="P123">
        <v>1</v>
      </c>
      <c r="Q123" s="80" t="str">
        <f>REPLACE(INDEX(GroupVertices[Group],MATCH(Edges[[#This Row],[Vertex 1]],GroupVertices[Vertex],0)),1,1,"")</f>
        <v>2</v>
      </c>
      <c r="R123" s="80" t="str">
        <f>REPLACE(INDEX(GroupVertices[Group],MATCH(Edges[[#This Row],[Vertex 2]],GroupVertices[Vertex],0)),1,1,"")</f>
        <v>2</v>
      </c>
      <c r="S123" s="34"/>
      <c r="T123" s="34"/>
      <c r="U123" s="34"/>
      <c r="V123" s="34"/>
      <c r="W123" s="34"/>
      <c r="X123" s="34"/>
      <c r="Y123" s="34"/>
      <c r="Z123" s="34"/>
      <c r="AA123" s="34"/>
    </row>
    <row r="124" spans="1:27" ht="15">
      <c r="A124" s="66" t="s">
        <v>324</v>
      </c>
      <c r="B124" s="66" t="s">
        <v>448</v>
      </c>
      <c r="C124" s="67" t="s">
        <v>3495</v>
      </c>
      <c r="D124" s="68">
        <v>3</v>
      </c>
      <c r="E124" s="69"/>
      <c r="F124" s="70">
        <v>50</v>
      </c>
      <c r="G124" s="67"/>
      <c r="H124" s="71"/>
      <c r="I124" s="72"/>
      <c r="J124" s="72"/>
      <c r="K124" s="34" t="s">
        <v>65</v>
      </c>
      <c r="L124" s="79">
        <v>124</v>
      </c>
      <c r="M124" s="79"/>
      <c r="N124" s="74"/>
      <c r="O124" s="81" t="s">
        <v>653</v>
      </c>
      <c r="P124">
        <v>1</v>
      </c>
      <c r="Q124" s="80" t="str">
        <f>REPLACE(INDEX(GroupVertices[Group],MATCH(Edges[[#This Row],[Vertex 1]],GroupVertices[Vertex],0)),1,1,"")</f>
        <v>2</v>
      </c>
      <c r="R124" s="80" t="str">
        <f>REPLACE(INDEX(GroupVertices[Group],MATCH(Edges[[#This Row],[Vertex 2]],GroupVertices[Vertex],0)),1,1,"")</f>
        <v>2</v>
      </c>
      <c r="S124" s="34"/>
      <c r="T124" s="34"/>
      <c r="U124" s="34"/>
      <c r="V124" s="34"/>
      <c r="W124" s="34"/>
      <c r="X124" s="34"/>
      <c r="Y124" s="34"/>
      <c r="Z124" s="34"/>
      <c r="AA124" s="34"/>
    </row>
    <row r="125" spans="1:27" ht="15">
      <c r="A125" s="66" t="s">
        <v>324</v>
      </c>
      <c r="B125" s="66" t="s">
        <v>449</v>
      </c>
      <c r="C125" s="67" t="s">
        <v>3495</v>
      </c>
      <c r="D125" s="68">
        <v>3</v>
      </c>
      <c r="E125" s="69"/>
      <c r="F125" s="70">
        <v>50</v>
      </c>
      <c r="G125" s="67"/>
      <c r="H125" s="71"/>
      <c r="I125" s="72"/>
      <c r="J125" s="72"/>
      <c r="K125" s="34" t="s">
        <v>65</v>
      </c>
      <c r="L125" s="79">
        <v>125</v>
      </c>
      <c r="M125" s="79"/>
      <c r="N125" s="74"/>
      <c r="O125" s="81" t="s">
        <v>653</v>
      </c>
      <c r="P125">
        <v>1</v>
      </c>
      <c r="Q125" s="80" t="str">
        <f>REPLACE(INDEX(GroupVertices[Group],MATCH(Edges[[#This Row],[Vertex 1]],GroupVertices[Vertex],0)),1,1,"")</f>
        <v>2</v>
      </c>
      <c r="R125" s="80" t="str">
        <f>REPLACE(INDEX(GroupVertices[Group],MATCH(Edges[[#This Row],[Vertex 2]],GroupVertices[Vertex],0)),1,1,"")</f>
        <v>2</v>
      </c>
      <c r="S125" s="34"/>
      <c r="T125" s="34"/>
      <c r="U125" s="34"/>
      <c r="V125" s="34"/>
      <c r="W125" s="34"/>
      <c r="X125" s="34"/>
      <c r="Y125" s="34"/>
      <c r="Z125" s="34"/>
      <c r="AA125" s="34"/>
    </row>
    <row r="126" spans="1:27" ht="15">
      <c r="A126" s="66" t="s">
        <v>324</v>
      </c>
      <c r="B126" s="66" t="s">
        <v>450</v>
      </c>
      <c r="C126" s="67" t="s">
        <v>3495</v>
      </c>
      <c r="D126" s="68">
        <v>3</v>
      </c>
      <c r="E126" s="69"/>
      <c r="F126" s="70">
        <v>50</v>
      </c>
      <c r="G126" s="67"/>
      <c r="H126" s="71"/>
      <c r="I126" s="72"/>
      <c r="J126" s="72"/>
      <c r="K126" s="34" t="s">
        <v>65</v>
      </c>
      <c r="L126" s="79">
        <v>126</v>
      </c>
      <c r="M126" s="79"/>
      <c r="N126" s="74"/>
      <c r="O126" s="81" t="s">
        <v>653</v>
      </c>
      <c r="P126">
        <v>1</v>
      </c>
      <c r="Q126" s="80" t="str">
        <f>REPLACE(INDEX(GroupVertices[Group],MATCH(Edges[[#This Row],[Vertex 1]],GroupVertices[Vertex],0)),1,1,"")</f>
        <v>2</v>
      </c>
      <c r="R126" s="80" t="str">
        <f>REPLACE(INDEX(GroupVertices[Group],MATCH(Edges[[#This Row],[Vertex 2]],GroupVertices[Vertex],0)),1,1,"")</f>
        <v>2</v>
      </c>
      <c r="S126" s="34"/>
      <c r="T126" s="34"/>
      <c r="U126" s="34"/>
      <c r="V126" s="34"/>
      <c r="W126" s="34"/>
      <c r="X126" s="34"/>
      <c r="Y126" s="34"/>
      <c r="Z126" s="34"/>
      <c r="AA126" s="34"/>
    </row>
    <row r="127" spans="1:27" ht="15">
      <c r="A127" s="66" t="s">
        <v>324</v>
      </c>
      <c r="B127" s="66" t="s">
        <v>451</v>
      </c>
      <c r="C127" s="67" t="s">
        <v>3495</v>
      </c>
      <c r="D127" s="68">
        <v>3</v>
      </c>
      <c r="E127" s="69"/>
      <c r="F127" s="70">
        <v>50</v>
      </c>
      <c r="G127" s="67"/>
      <c r="H127" s="71"/>
      <c r="I127" s="72"/>
      <c r="J127" s="72"/>
      <c r="K127" s="34" t="s">
        <v>65</v>
      </c>
      <c r="L127" s="79">
        <v>127</v>
      </c>
      <c r="M127" s="79"/>
      <c r="N127" s="74"/>
      <c r="O127" s="81" t="s">
        <v>653</v>
      </c>
      <c r="P127">
        <v>1</v>
      </c>
      <c r="Q127" s="80" t="str">
        <f>REPLACE(INDEX(GroupVertices[Group],MATCH(Edges[[#This Row],[Vertex 1]],GroupVertices[Vertex],0)),1,1,"")</f>
        <v>2</v>
      </c>
      <c r="R127" s="80" t="str">
        <f>REPLACE(INDEX(GroupVertices[Group],MATCH(Edges[[#This Row],[Vertex 2]],GroupVertices[Vertex],0)),1,1,"")</f>
        <v>2</v>
      </c>
      <c r="S127" s="34"/>
      <c r="T127" s="34"/>
      <c r="U127" s="34"/>
      <c r="V127" s="34"/>
      <c r="W127" s="34"/>
      <c r="X127" s="34"/>
      <c r="Y127" s="34"/>
      <c r="Z127" s="34"/>
      <c r="AA127" s="34"/>
    </row>
    <row r="128" spans="1:27" ht="15">
      <c r="A128" s="66" t="s">
        <v>324</v>
      </c>
      <c r="B128" s="66" t="s">
        <v>452</v>
      </c>
      <c r="C128" s="67" t="s">
        <v>3495</v>
      </c>
      <c r="D128" s="68">
        <v>3</v>
      </c>
      <c r="E128" s="69"/>
      <c r="F128" s="70">
        <v>50</v>
      </c>
      <c r="G128" s="67"/>
      <c r="H128" s="71"/>
      <c r="I128" s="72"/>
      <c r="J128" s="72"/>
      <c r="K128" s="34" t="s">
        <v>65</v>
      </c>
      <c r="L128" s="79">
        <v>128</v>
      </c>
      <c r="M128" s="79"/>
      <c r="N128" s="74"/>
      <c r="O128" s="81" t="s">
        <v>653</v>
      </c>
      <c r="P128">
        <v>1</v>
      </c>
      <c r="Q128" s="80" t="str">
        <f>REPLACE(INDEX(GroupVertices[Group],MATCH(Edges[[#This Row],[Vertex 1]],GroupVertices[Vertex],0)),1,1,"")</f>
        <v>2</v>
      </c>
      <c r="R128" s="80" t="str">
        <f>REPLACE(INDEX(GroupVertices[Group],MATCH(Edges[[#This Row],[Vertex 2]],GroupVertices[Vertex],0)),1,1,"")</f>
        <v>2</v>
      </c>
      <c r="S128" s="34"/>
      <c r="T128" s="34"/>
      <c r="U128" s="34"/>
      <c r="V128" s="34"/>
      <c r="W128" s="34"/>
      <c r="X128" s="34"/>
      <c r="Y128" s="34"/>
      <c r="Z128" s="34"/>
      <c r="AA128" s="34"/>
    </row>
    <row r="129" spans="1:27" ht="15">
      <c r="A129" s="66" t="s">
        <v>324</v>
      </c>
      <c r="B129" s="66" t="s">
        <v>453</v>
      </c>
      <c r="C129" s="67" t="s">
        <v>3495</v>
      </c>
      <c r="D129" s="68">
        <v>3</v>
      </c>
      <c r="E129" s="69"/>
      <c r="F129" s="70">
        <v>50</v>
      </c>
      <c r="G129" s="67"/>
      <c r="H129" s="71"/>
      <c r="I129" s="72"/>
      <c r="J129" s="72"/>
      <c r="K129" s="34" t="s">
        <v>65</v>
      </c>
      <c r="L129" s="79">
        <v>129</v>
      </c>
      <c r="M129" s="79"/>
      <c r="N129" s="74"/>
      <c r="O129" s="81" t="s">
        <v>653</v>
      </c>
      <c r="P129">
        <v>1</v>
      </c>
      <c r="Q129" s="80" t="str">
        <f>REPLACE(INDEX(GroupVertices[Group],MATCH(Edges[[#This Row],[Vertex 1]],GroupVertices[Vertex],0)),1,1,"")</f>
        <v>2</v>
      </c>
      <c r="R129" s="80" t="str">
        <f>REPLACE(INDEX(GroupVertices[Group],MATCH(Edges[[#This Row],[Vertex 2]],GroupVertices[Vertex],0)),1,1,"")</f>
        <v>2</v>
      </c>
      <c r="S129" s="34"/>
      <c r="T129" s="34"/>
      <c r="U129" s="34"/>
      <c r="V129" s="34"/>
      <c r="W129" s="34"/>
      <c r="X129" s="34"/>
      <c r="Y129" s="34"/>
      <c r="Z129" s="34"/>
      <c r="AA129" s="34"/>
    </row>
    <row r="130" spans="1:27" ht="15">
      <c r="A130" s="66" t="s">
        <v>324</v>
      </c>
      <c r="B130" s="66" t="s">
        <v>454</v>
      </c>
      <c r="C130" s="67" t="s">
        <v>3495</v>
      </c>
      <c r="D130" s="68">
        <v>3</v>
      </c>
      <c r="E130" s="69"/>
      <c r="F130" s="70">
        <v>50</v>
      </c>
      <c r="G130" s="67"/>
      <c r="H130" s="71"/>
      <c r="I130" s="72"/>
      <c r="J130" s="72"/>
      <c r="K130" s="34" t="s">
        <v>65</v>
      </c>
      <c r="L130" s="79">
        <v>130</v>
      </c>
      <c r="M130" s="79"/>
      <c r="N130" s="74"/>
      <c r="O130" s="81" t="s">
        <v>653</v>
      </c>
      <c r="P130">
        <v>1</v>
      </c>
      <c r="Q130" s="80" t="str">
        <f>REPLACE(INDEX(GroupVertices[Group],MATCH(Edges[[#This Row],[Vertex 1]],GroupVertices[Vertex],0)),1,1,"")</f>
        <v>2</v>
      </c>
      <c r="R130" s="80" t="str">
        <f>REPLACE(INDEX(GroupVertices[Group],MATCH(Edges[[#This Row],[Vertex 2]],GroupVertices[Vertex],0)),1,1,"")</f>
        <v>2</v>
      </c>
      <c r="S130" s="34"/>
      <c r="T130" s="34"/>
      <c r="U130" s="34"/>
      <c r="V130" s="34"/>
      <c r="W130" s="34"/>
      <c r="X130" s="34"/>
      <c r="Y130" s="34"/>
      <c r="Z130" s="34"/>
      <c r="AA130" s="34"/>
    </row>
    <row r="131" spans="1:27" ht="15">
      <c r="A131" s="66" t="s">
        <v>324</v>
      </c>
      <c r="B131" s="66" t="s">
        <v>455</v>
      </c>
      <c r="C131" s="67" t="s">
        <v>3495</v>
      </c>
      <c r="D131" s="68">
        <v>3</v>
      </c>
      <c r="E131" s="69"/>
      <c r="F131" s="70">
        <v>50</v>
      </c>
      <c r="G131" s="67"/>
      <c r="H131" s="71"/>
      <c r="I131" s="72"/>
      <c r="J131" s="72"/>
      <c r="K131" s="34" t="s">
        <v>65</v>
      </c>
      <c r="L131" s="79">
        <v>131</v>
      </c>
      <c r="M131" s="79"/>
      <c r="N131" s="74"/>
      <c r="O131" s="81" t="s">
        <v>653</v>
      </c>
      <c r="P131">
        <v>1</v>
      </c>
      <c r="Q131" s="80" t="str">
        <f>REPLACE(INDEX(GroupVertices[Group],MATCH(Edges[[#This Row],[Vertex 1]],GroupVertices[Vertex],0)),1,1,"")</f>
        <v>2</v>
      </c>
      <c r="R131" s="80" t="str">
        <f>REPLACE(INDEX(GroupVertices[Group],MATCH(Edges[[#This Row],[Vertex 2]],GroupVertices[Vertex],0)),1,1,"")</f>
        <v>2</v>
      </c>
      <c r="S131" s="34"/>
      <c r="T131" s="34"/>
      <c r="U131" s="34"/>
      <c r="V131" s="34"/>
      <c r="W131" s="34"/>
      <c r="X131" s="34"/>
      <c r="Y131" s="34"/>
      <c r="Z131" s="34"/>
      <c r="AA131" s="34"/>
    </row>
    <row r="132" spans="1:27" ht="15">
      <c r="A132" s="66" t="s">
        <v>324</v>
      </c>
      <c r="B132" s="66" t="s">
        <v>456</v>
      </c>
      <c r="C132" s="67" t="s">
        <v>3495</v>
      </c>
      <c r="D132" s="68">
        <v>3</v>
      </c>
      <c r="E132" s="69"/>
      <c r="F132" s="70">
        <v>50</v>
      </c>
      <c r="G132" s="67"/>
      <c r="H132" s="71"/>
      <c r="I132" s="72"/>
      <c r="J132" s="72"/>
      <c r="K132" s="34" t="s">
        <v>65</v>
      </c>
      <c r="L132" s="79">
        <v>132</v>
      </c>
      <c r="M132" s="79"/>
      <c r="N132" s="74"/>
      <c r="O132" s="81" t="s">
        <v>653</v>
      </c>
      <c r="P132">
        <v>1</v>
      </c>
      <c r="Q132" s="80" t="str">
        <f>REPLACE(INDEX(GroupVertices[Group],MATCH(Edges[[#This Row],[Vertex 1]],GroupVertices[Vertex],0)),1,1,"")</f>
        <v>2</v>
      </c>
      <c r="R132" s="80" t="str">
        <f>REPLACE(INDEX(GroupVertices[Group],MATCH(Edges[[#This Row],[Vertex 2]],GroupVertices[Vertex],0)),1,1,"")</f>
        <v>2</v>
      </c>
      <c r="S132" s="34"/>
      <c r="T132" s="34"/>
      <c r="U132" s="34"/>
      <c r="V132" s="34"/>
      <c r="W132" s="34"/>
      <c r="X132" s="34"/>
      <c r="Y132" s="34"/>
      <c r="Z132" s="34"/>
      <c r="AA132" s="34"/>
    </row>
    <row r="133" spans="1:27" ht="15">
      <c r="A133" s="66" t="s">
        <v>324</v>
      </c>
      <c r="B133" s="66" t="s">
        <v>457</v>
      </c>
      <c r="C133" s="67" t="s">
        <v>3495</v>
      </c>
      <c r="D133" s="68">
        <v>3</v>
      </c>
      <c r="E133" s="69"/>
      <c r="F133" s="70">
        <v>50</v>
      </c>
      <c r="G133" s="67"/>
      <c r="H133" s="71"/>
      <c r="I133" s="72"/>
      <c r="J133" s="72"/>
      <c r="K133" s="34" t="s">
        <v>65</v>
      </c>
      <c r="L133" s="79">
        <v>133</v>
      </c>
      <c r="M133" s="79"/>
      <c r="N133" s="74"/>
      <c r="O133" s="81" t="s">
        <v>653</v>
      </c>
      <c r="P133">
        <v>1</v>
      </c>
      <c r="Q133" s="80" t="str">
        <f>REPLACE(INDEX(GroupVertices[Group],MATCH(Edges[[#This Row],[Vertex 1]],GroupVertices[Vertex],0)),1,1,"")</f>
        <v>2</v>
      </c>
      <c r="R133" s="80" t="str">
        <f>REPLACE(INDEX(GroupVertices[Group],MATCH(Edges[[#This Row],[Vertex 2]],GroupVertices[Vertex],0)),1,1,"")</f>
        <v>2</v>
      </c>
      <c r="S133" s="34"/>
      <c r="T133" s="34"/>
      <c r="U133" s="34"/>
      <c r="V133" s="34"/>
      <c r="W133" s="34"/>
      <c r="X133" s="34"/>
      <c r="Y133" s="34"/>
      <c r="Z133" s="34"/>
      <c r="AA133" s="34"/>
    </row>
    <row r="134" spans="1:27" ht="15">
      <c r="A134" s="66" t="s">
        <v>324</v>
      </c>
      <c r="B134" s="66" t="s">
        <v>458</v>
      </c>
      <c r="C134" s="67" t="s">
        <v>3495</v>
      </c>
      <c r="D134" s="68">
        <v>3</v>
      </c>
      <c r="E134" s="69"/>
      <c r="F134" s="70">
        <v>50</v>
      </c>
      <c r="G134" s="67"/>
      <c r="H134" s="71"/>
      <c r="I134" s="72"/>
      <c r="J134" s="72"/>
      <c r="K134" s="34" t="s">
        <v>65</v>
      </c>
      <c r="L134" s="79">
        <v>134</v>
      </c>
      <c r="M134" s="79"/>
      <c r="N134" s="74"/>
      <c r="O134" s="81" t="s">
        <v>653</v>
      </c>
      <c r="P134">
        <v>1</v>
      </c>
      <c r="Q134" s="80" t="str">
        <f>REPLACE(INDEX(GroupVertices[Group],MATCH(Edges[[#This Row],[Vertex 1]],GroupVertices[Vertex],0)),1,1,"")</f>
        <v>2</v>
      </c>
      <c r="R134" s="80" t="str">
        <f>REPLACE(INDEX(GroupVertices[Group],MATCH(Edges[[#This Row],[Vertex 2]],GroupVertices[Vertex],0)),1,1,"")</f>
        <v>2</v>
      </c>
      <c r="S134" s="34"/>
      <c r="T134" s="34"/>
      <c r="U134" s="34"/>
      <c r="V134" s="34"/>
      <c r="W134" s="34"/>
      <c r="X134" s="34"/>
      <c r="Y134" s="34"/>
      <c r="Z134" s="34"/>
      <c r="AA134" s="34"/>
    </row>
    <row r="135" spans="1:27" ht="15">
      <c r="A135" s="66" t="s">
        <v>324</v>
      </c>
      <c r="B135" s="66" t="s">
        <v>459</v>
      </c>
      <c r="C135" s="67" t="s">
        <v>3495</v>
      </c>
      <c r="D135" s="68">
        <v>3</v>
      </c>
      <c r="E135" s="69"/>
      <c r="F135" s="70">
        <v>50</v>
      </c>
      <c r="G135" s="67"/>
      <c r="H135" s="71"/>
      <c r="I135" s="72"/>
      <c r="J135" s="72"/>
      <c r="K135" s="34" t="s">
        <v>65</v>
      </c>
      <c r="L135" s="79">
        <v>135</v>
      </c>
      <c r="M135" s="79"/>
      <c r="N135" s="74"/>
      <c r="O135" s="81" t="s">
        <v>653</v>
      </c>
      <c r="P135">
        <v>1</v>
      </c>
      <c r="Q135" s="80" t="str">
        <f>REPLACE(INDEX(GroupVertices[Group],MATCH(Edges[[#This Row],[Vertex 1]],GroupVertices[Vertex],0)),1,1,"")</f>
        <v>2</v>
      </c>
      <c r="R135" s="80" t="str">
        <f>REPLACE(INDEX(GroupVertices[Group],MATCH(Edges[[#This Row],[Vertex 2]],GroupVertices[Vertex],0)),1,1,"")</f>
        <v>2</v>
      </c>
      <c r="S135" s="34"/>
      <c r="T135" s="34"/>
      <c r="U135" s="34"/>
      <c r="V135" s="34"/>
      <c r="W135" s="34"/>
      <c r="X135" s="34"/>
      <c r="Y135" s="34"/>
      <c r="Z135" s="34"/>
      <c r="AA135" s="34"/>
    </row>
    <row r="136" spans="1:27" ht="15">
      <c r="A136" s="66" t="s">
        <v>324</v>
      </c>
      <c r="B136" s="66" t="s">
        <v>460</v>
      </c>
      <c r="C136" s="67" t="s">
        <v>3495</v>
      </c>
      <c r="D136" s="68">
        <v>3</v>
      </c>
      <c r="E136" s="69"/>
      <c r="F136" s="70">
        <v>50</v>
      </c>
      <c r="G136" s="67"/>
      <c r="H136" s="71"/>
      <c r="I136" s="72"/>
      <c r="J136" s="72"/>
      <c r="K136" s="34" t="s">
        <v>65</v>
      </c>
      <c r="L136" s="79">
        <v>136</v>
      </c>
      <c r="M136" s="79"/>
      <c r="N136" s="74"/>
      <c r="O136" s="81" t="s">
        <v>653</v>
      </c>
      <c r="P136">
        <v>1</v>
      </c>
      <c r="Q136" s="80" t="str">
        <f>REPLACE(INDEX(GroupVertices[Group],MATCH(Edges[[#This Row],[Vertex 1]],GroupVertices[Vertex],0)),1,1,"")</f>
        <v>2</v>
      </c>
      <c r="R136" s="80" t="str">
        <f>REPLACE(INDEX(GroupVertices[Group],MATCH(Edges[[#This Row],[Vertex 2]],GroupVertices[Vertex],0)),1,1,"")</f>
        <v>2</v>
      </c>
      <c r="S136" s="34"/>
      <c r="T136" s="34"/>
      <c r="U136" s="34"/>
      <c r="V136" s="34"/>
      <c r="W136" s="34"/>
      <c r="X136" s="34"/>
      <c r="Y136" s="34"/>
      <c r="Z136" s="34"/>
      <c r="AA136" s="34"/>
    </row>
    <row r="137" spans="1:27" ht="15">
      <c r="A137" s="66" t="s">
        <v>324</v>
      </c>
      <c r="B137" s="66" t="s">
        <v>461</v>
      </c>
      <c r="C137" s="67" t="s">
        <v>3495</v>
      </c>
      <c r="D137" s="68">
        <v>3</v>
      </c>
      <c r="E137" s="69"/>
      <c r="F137" s="70">
        <v>50</v>
      </c>
      <c r="G137" s="67"/>
      <c r="H137" s="71"/>
      <c r="I137" s="72"/>
      <c r="J137" s="72"/>
      <c r="K137" s="34" t="s">
        <v>65</v>
      </c>
      <c r="L137" s="79">
        <v>137</v>
      </c>
      <c r="M137" s="79"/>
      <c r="N137" s="74"/>
      <c r="O137" s="81" t="s">
        <v>653</v>
      </c>
      <c r="P137">
        <v>1</v>
      </c>
      <c r="Q137" s="80" t="str">
        <f>REPLACE(INDEX(GroupVertices[Group],MATCH(Edges[[#This Row],[Vertex 1]],GroupVertices[Vertex],0)),1,1,"")</f>
        <v>2</v>
      </c>
      <c r="R137" s="80" t="str">
        <f>REPLACE(INDEX(GroupVertices[Group],MATCH(Edges[[#This Row],[Vertex 2]],GroupVertices[Vertex],0)),1,1,"")</f>
        <v>2</v>
      </c>
      <c r="S137" s="34"/>
      <c r="T137" s="34"/>
      <c r="U137" s="34"/>
      <c r="V137" s="34"/>
      <c r="W137" s="34"/>
      <c r="X137" s="34"/>
      <c r="Y137" s="34"/>
      <c r="Z137" s="34"/>
      <c r="AA137" s="34"/>
    </row>
    <row r="138" spans="1:27" ht="15">
      <c r="A138" s="66" t="s">
        <v>324</v>
      </c>
      <c r="B138" s="66" t="s">
        <v>462</v>
      </c>
      <c r="C138" s="67" t="s">
        <v>3495</v>
      </c>
      <c r="D138" s="68">
        <v>3</v>
      </c>
      <c r="E138" s="69"/>
      <c r="F138" s="70">
        <v>50</v>
      </c>
      <c r="G138" s="67"/>
      <c r="H138" s="71"/>
      <c r="I138" s="72"/>
      <c r="J138" s="72"/>
      <c r="K138" s="34" t="s">
        <v>65</v>
      </c>
      <c r="L138" s="79">
        <v>138</v>
      </c>
      <c r="M138" s="79"/>
      <c r="N138" s="74"/>
      <c r="O138" s="81" t="s">
        <v>653</v>
      </c>
      <c r="P138">
        <v>1</v>
      </c>
      <c r="Q138" s="80" t="str">
        <f>REPLACE(INDEX(GroupVertices[Group],MATCH(Edges[[#This Row],[Vertex 1]],GroupVertices[Vertex],0)),1,1,"")</f>
        <v>2</v>
      </c>
      <c r="R138" s="80" t="str">
        <f>REPLACE(INDEX(GroupVertices[Group],MATCH(Edges[[#This Row],[Vertex 2]],GroupVertices[Vertex],0)),1,1,"")</f>
        <v>2</v>
      </c>
      <c r="S138" s="34"/>
      <c r="T138" s="34"/>
      <c r="U138" s="34"/>
      <c r="V138" s="34"/>
      <c r="W138" s="34"/>
      <c r="X138" s="34"/>
      <c r="Y138" s="34"/>
      <c r="Z138" s="34"/>
      <c r="AA138" s="34"/>
    </row>
    <row r="139" spans="1:27" ht="15">
      <c r="A139" s="66" t="s">
        <v>324</v>
      </c>
      <c r="B139" s="66" t="s">
        <v>463</v>
      </c>
      <c r="C139" s="67" t="s">
        <v>3495</v>
      </c>
      <c r="D139" s="68">
        <v>3</v>
      </c>
      <c r="E139" s="69"/>
      <c r="F139" s="70">
        <v>50</v>
      </c>
      <c r="G139" s="67"/>
      <c r="H139" s="71"/>
      <c r="I139" s="72"/>
      <c r="J139" s="72"/>
      <c r="K139" s="34" t="s">
        <v>65</v>
      </c>
      <c r="L139" s="79">
        <v>139</v>
      </c>
      <c r="M139" s="79"/>
      <c r="N139" s="74"/>
      <c r="O139" s="81" t="s">
        <v>653</v>
      </c>
      <c r="P139">
        <v>1</v>
      </c>
      <c r="Q139" s="80" t="str">
        <f>REPLACE(INDEX(GroupVertices[Group],MATCH(Edges[[#This Row],[Vertex 1]],GroupVertices[Vertex],0)),1,1,"")</f>
        <v>2</v>
      </c>
      <c r="R139" s="80" t="str">
        <f>REPLACE(INDEX(GroupVertices[Group],MATCH(Edges[[#This Row],[Vertex 2]],GroupVertices[Vertex],0)),1,1,"")</f>
        <v>2</v>
      </c>
      <c r="S139" s="34"/>
      <c r="T139" s="34"/>
      <c r="U139" s="34"/>
      <c r="V139" s="34"/>
      <c r="W139" s="34"/>
      <c r="X139" s="34"/>
      <c r="Y139" s="34"/>
      <c r="Z139" s="34"/>
      <c r="AA139" s="34"/>
    </row>
    <row r="140" spans="1:27" ht="15">
      <c r="A140" s="66" t="s">
        <v>324</v>
      </c>
      <c r="B140" s="66" t="s">
        <v>464</v>
      </c>
      <c r="C140" s="67" t="s">
        <v>3495</v>
      </c>
      <c r="D140" s="68">
        <v>3</v>
      </c>
      <c r="E140" s="69"/>
      <c r="F140" s="70">
        <v>50</v>
      </c>
      <c r="G140" s="67"/>
      <c r="H140" s="71"/>
      <c r="I140" s="72"/>
      <c r="J140" s="72"/>
      <c r="K140" s="34" t="s">
        <v>65</v>
      </c>
      <c r="L140" s="79">
        <v>140</v>
      </c>
      <c r="M140" s="79"/>
      <c r="N140" s="74"/>
      <c r="O140" s="81" t="s">
        <v>653</v>
      </c>
      <c r="P140">
        <v>1</v>
      </c>
      <c r="Q140" s="80" t="str">
        <f>REPLACE(INDEX(GroupVertices[Group],MATCH(Edges[[#This Row],[Vertex 1]],GroupVertices[Vertex],0)),1,1,"")</f>
        <v>2</v>
      </c>
      <c r="R140" s="80" t="str">
        <f>REPLACE(INDEX(GroupVertices[Group],MATCH(Edges[[#This Row],[Vertex 2]],GroupVertices[Vertex],0)),1,1,"")</f>
        <v>2</v>
      </c>
      <c r="S140" s="34"/>
      <c r="T140" s="34"/>
      <c r="U140" s="34"/>
      <c r="V140" s="34"/>
      <c r="W140" s="34"/>
      <c r="X140" s="34"/>
      <c r="Y140" s="34"/>
      <c r="Z140" s="34"/>
      <c r="AA140" s="34"/>
    </row>
    <row r="141" spans="1:27" ht="15">
      <c r="A141" s="66" t="s">
        <v>324</v>
      </c>
      <c r="B141" s="66" t="s">
        <v>465</v>
      </c>
      <c r="C141" s="67" t="s">
        <v>3495</v>
      </c>
      <c r="D141" s="68">
        <v>3</v>
      </c>
      <c r="E141" s="69"/>
      <c r="F141" s="70">
        <v>50</v>
      </c>
      <c r="G141" s="67"/>
      <c r="H141" s="71"/>
      <c r="I141" s="72"/>
      <c r="J141" s="72"/>
      <c r="K141" s="34" t="s">
        <v>65</v>
      </c>
      <c r="L141" s="79">
        <v>141</v>
      </c>
      <c r="M141" s="79"/>
      <c r="N141" s="74"/>
      <c r="O141" s="81" t="s">
        <v>653</v>
      </c>
      <c r="P141">
        <v>1</v>
      </c>
      <c r="Q141" s="80" t="str">
        <f>REPLACE(INDEX(GroupVertices[Group],MATCH(Edges[[#This Row],[Vertex 1]],GroupVertices[Vertex],0)),1,1,"")</f>
        <v>2</v>
      </c>
      <c r="R141" s="80" t="str">
        <f>REPLACE(INDEX(GroupVertices[Group],MATCH(Edges[[#This Row],[Vertex 2]],GroupVertices[Vertex],0)),1,1,"")</f>
        <v>2</v>
      </c>
      <c r="S141" s="34"/>
      <c r="T141" s="34"/>
      <c r="U141" s="34"/>
      <c r="V141" s="34"/>
      <c r="W141" s="34"/>
      <c r="X141" s="34"/>
      <c r="Y141" s="34"/>
      <c r="Z141" s="34"/>
      <c r="AA141" s="34"/>
    </row>
    <row r="142" spans="1:27" ht="15">
      <c r="A142" s="66" t="s">
        <v>324</v>
      </c>
      <c r="B142" s="66" t="s">
        <v>466</v>
      </c>
      <c r="C142" s="67" t="s">
        <v>3495</v>
      </c>
      <c r="D142" s="68">
        <v>3</v>
      </c>
      <c r="E142" s="69"/>
      <c r="F142" s="70">
        <v>50</v>
      </c>
      <c r="G142" s="67"/>
      <c r="H142" s="71"/>
      <c r="I142" s="72"/>
      <c r="J142" s="72"/>
      <c r="K142" s="34" t="s">
        <v>65</v>
      </c>
      <c r="L142" s="79">
        <v>142</v>
      </c>
      <c r="M142" s="79"/>
      <c r="N142" s="74"/>
      <c r="O142" s="81" t="s">
        <v>653</v>
      </c>
      <c r="P142">
        <v>1</v>
      </c>
      <c r="Q142" s="80" t="str">
        <f>REPLACE(INDEX(GroupVertices[Group],MATCH(Edges[[#This Row],[Vertex 1]],GroupVertices[Vertex],0)),1,1,"")</f>
        <v>2</v>
      </c>
      <c r="R142" s="80" t="str">
        <f>REPLACE(INDEX(GroupVertices[Group],MATCH(Edges[[#This Row],[Vertex 2]],GroupVertices[Vertex],0)),1,1,"")</f>
        <v>2</v>
      </c>
      <c r="S142" s="34"/>
      <c r="T142" s="34"/>
      <c r="U142" s="34"/>
      <c r="V142" s="34"/>
      <c r="W142" s="34"/>
      <c r="X142" s="34"/>
      <c r="Y142" s="34"/>
      <c r="Z142" s="34"/>
      <c r="AA142" s="34"/>
    </row>
    <row r="143" spans="1:27" ht="15">
      <c r="A143" s="66" t="s">
        <v>324</v>
      </c>
      <c r="B143" s="66" t="s">
        <v>467</v>
      </c>
      <c r="C143" s="67" t="s">
        <v>3495</v>
      </c>
      <c r="D143" s="68">
        <v>3</v>
      </c>
      <c r="E143" s="69"/>
      <c r="F143" s="70">
        <v>50</v>
      </c>
      <c r="G143" s="67"/>
      <c r="H143" s="71"/>
      <c r="I143" s="72"/>
      <c r="J143" s="72"/>
      <c r="K143" s="34" t="s">
        <v>65</v>
      </c>
      <c r="L143" s="79">
        <v>143</v>
      </c>
      <c r="M143" s="79"/>
      <c r="N143" s="74"/>
      <c r="O143" s="81" t="s">
        <v>653</v>
      </c>
      <c r="P143">
        <v>1</v>
      </c>
      <c r="Q143" s="80" t="str">
        <f>REPLACE(INDEX(GroupVertices[Group],MATCH(Edges[[#This Row],[Vertex 1]],GroupVertices[Vertex],0)),1,1,"")</f>
        <v>2</v>
      </c>
      <c r="R143" s="80" t="str">
        <f>REPLACE(INDEX(GroupVertices[Group],MATCH(Edges[[#This Row],[Vertex 2]],GroupVertices[Vertex],0)),1,1,"")</f>
        <v>2</v>
      </c>
      <c r="S143" s="34"/>
      <c r="T143" s="34"/>
      <c r="U143" s="34"/>
      <c r="V143" s="34"/>
      <c r="W143" s="34"/>
      <c r="X143" s="34"/>
      <c r="Y143" s="34"/>
      <c r="Z143" s="34"/>
      <c r="AA143" s="34"/>
    </row>
    <row r="144" spans="1:27" ht="15">
      <c r="A144" s="66" t="s">
        <v>324</v>
      </c>
      <c r="B144" s="66" t="s">
        <v>468</v>
      </c>
      <c r="C144" s="67" t="s">
        <v>3495</v>
      </c>
      <c r="D144" s="68">
        <v>3</v>
      </c>
      <c r="E144" s="69"/>
      <c r="F144" s="70">
        <v>50</v>
      </c>
      <c r="G144" s="67"/>
      <c r="H144" s="71"/>
      <c r="I144" s="72"/>
      <c r="J144" s="72"/>
      <c r="K144" s="34" t="s">
        <v>65</v>
      </c>
      <c r="L144" s="79">
        <v>144</v>
      </c>
      <c r="M144" s="79"/>
      <c r="N144" s="74"/>
      <c r="O144" s="81" t="s">
        <v>653</v>
      </c>
      <c r="P144">
        <v>1</v>
      </c>
      <c r="Q144" s="80" t="str">
        <f>REPLACE(INDEX(GroupVertices[Group],MATCH(Edges[[#This Row],[Vertex 1]],GroupVertices[Vertex],0)),1,1,"")</f>
        <v>2</v>
      </c>
      <c r="R144" s="80" t="str">
        <f>REPLACE(INDEX(GroupVertices[Group],MATCH(Edges[[#This Row],[Vertex 2]],GroupVertices[Vertex],0)),1,1,"")</f>
        <v>2</v>
      </c>
      <c r="S144" s="34"/>
      <c r="T144" s="34"/>
      <c r="U144" s="34"/>
      <c r="V144" s="34"/>
      <c r="W144" s="34"/>
      <c r="X144" s="34"/>
      <c r="Y144" s="34"/>
      <c r="Z144" s="34"/>
      <c r="AA144" s="34"/>
    </row>
    <row r="145" spans="1:27" ht="15">
      <c r="A145" s="66" t="s">
        <v>324</v>
      </c>
      <c r="B145" s="66" t="s">
        <v>469</v>
      </c>
      <c r="C145" s="67" t="s">
        <v>3495</v>
      </c>
      <c r="D145" s="68">
        <v>3</v>
      </c>
      <c r="E145" s="69"/>
      <c r="F145" s="70">
        <v>50</v>
      </c>
      <c r="G145" s="67"/>
      <c r="H145" s="71"/>
      <c r="I145" s="72"/>
      <c r="J145" s="72"/>
      <c r="K145" s="34" t="s">
        <v>65</v>
      </c>
      <c r="L145" s="79">
        <v>145</v>
      </c>
      <c r="M145" s="79"/>
      <c r="N145" s="74"/>
      <c r="O145" s="81" t="s">
        <v>653</v>
      </c>
      <c r="P145">
        <v>1</v>
      </c>
      <c r="Q145" s="80" t="str">
        <f>REPLACE(INDEX(GroupVertices[Group],MATCH(Edges[[#This Row],[Vertex 1]],GroupVertices[Vertex],0)),1,1,"")</f>
        <v>2</v>
      </c>
      <c r="R145" s="80" t="str">
        <f>REPLACE(INDEX(GroupVertices[Group],MATCH(Edges[[#This Row],[Vertex 2]],GroupVertices[Vertex],0)),1,1,"")</f>
        <v>2</v>
      </c>
      <c r="S145" s="34"/>
      <c r="T145" s="34"/>
      <c r="U145" s="34"/>
      <c r="V145" s="34"/>
      <c r="W145" s="34"/>
      <c r="X145" s="34"/>
      <c r="Y145" s="34"/>
      <c r="Z145" s="34"/>
      <c r="AA145" s="34"/>
    </row>
    <row r="146" spans="1:27" ht="15">
      <c r="A146" s="66" t="s">
        <v>324</v>
      </c>
      <c r="B146" s="66" t="s">
        <v>470</v>
      </c>
      <c r="C146" s="67" t="s">
        <v>3495</v>
      </c>
      <c r="D146" s="68">
        <v>3</v>
      </c>
      <c r="E146" s="69"/>
      <c r="F146" s="70">
        <v>50</v>
      </c>
      <c r="G146" s="67"/>
      <c r="H146" s="71"/>
      <c r="I146" s="72"/>
      <c r="J146" s="72"/>
      <c r="K146" s="34" t="s">
        <v>65</v>
      </c>
      <c r="L146" s="79">
        <v>146</v>
      </c>
      <c r="M146" s="79"/>
      <c r="N146" s="74"/>
      <c r="O146" s="81" t="s">
        <v>653</v>
      </c>
      <c r="P146">
        <v>1</v>
      </c>
      <c r="Q146" s="80" t="str">
        <f>REPLACE(INDEX(GroupVertices[Group],MATCH(Edges[[#This Row],[Vertex 1]],GroupVertices[Vertex],0)),1,1,"")</f>
        <v>2</v>
      </c>
      <c r="R146" s="80" t="str">
        <f>REPLACE(INDEX(GroupVertices[Group],MATCH(Edges[[#This Row],[Vertex 2]],GroupVertices[Vertex],0)),1,1,"")</f>
        <v>2</v>
      </c>
      <c r="S146" s="34"/>
      <c r="T146" s="34"/>
      <c r="U146" s="34"/>
      <c r="V146" s="34"/>
      <c r="W146" s="34"/>
      <c r="X146" s="34"/>
      <c r="Y146" s="34"/>
      <c r="Z146" s="34"/>
      <c r="AA146" s="34"/>
    </row>
    <row r="147" spans="1:27" ht="15">
      <c r="A147" s="66" t="s">
        <v>324</v>
      </c>
      <c r="B147" s="66" t="s">
        <v>471</v>
      </c>
      <c r="C147" s="67" t="s">
        <v>3495</v>
      </c>
      <c r="D147" s="68">
        <v>3</v>
      </c>
      <c r="E147" s="69"/>
      <c r="F147" s="70">
        <v>50</v>
      </c>
      <c r="G147" s="67"/>
      <c r="H147" s="71"/>
      <c r="I147" s="72"/>
      <c r="J147" s="72"/>
      <c r="K147" s="34" t="s">
        <v>65</v>
      </c>
      <c r="L147" s="79">
        <v>147</v>
      </c>
      <c r="M147" s="79"/>
      <c r="N147" s="74"/>
      <c r="O147" s="81" t="s">
        <v>653</v>
      </c>
      <c r="P147">
        <v>1</v>
      </c>
      <c r="Q147" s="80" t="str">
        <f>REPLACE(INDEX(GroupVertices[Group],MATCH(Edges[[#This Row],[Vertex 1]],GroupVertices[Vertex],0)),1,1,"")</f>
        <v>2</v>
      </c>
      <c r="R147" s="80" t="str">
        <f>REPLACE(INDEX(GroupVertices[Group],MATCH(Edges[[#This Row],[Vertex 2]],GroupVertices[Vertex],0)),1,1,"")</f>
        <v>2</v>
      </c>
      <c r="S147" s="34"/>
      <c r="T147" s="34"/>
      <c r="U147" s="34"/>
      <c r="V147" s="34"/>
      <c r="W147" s="34"/>
      <c r="X147" s="34"/>
      <c r="Y147" s="34"/>
      <c r="Z147" s="34"/>
      <c r="AA147" s="34"/>
    </row>
    <row r="148" spans="1:27" ht="15">
      <c r="A148" s="66" t="s">
        <v>324</v>
      </c>
      <c r="B148" s="66" t="s">
        <v>413</v>
      </c>
      <c r="C148" s="67" t="s">
        <v>3495</v>
      </c>
      <c r="D148" s="68">
        <v>3</v>
      </c>
      <c r="E148" s="69"/>
      <c r="F148" s="70">
        <v>50</v>
      </c>
      <c r="G148" s="67"/>
      <c r="H148" s="71"/>
      <c r="I148" s="72"/>
      <c r="J148" s="72"/>
      <c r="K148" s="34" t="s">
        <v>65</v>
      </c>
      <c r="L148" s="79">
        <v>148</v>
      </c>
      <c r="M148" s="79"/>
      <c r="N148" s="74"/>
      <c r="O148" s="81" t="s">
        <v>653</v>
      </c>
      <c r="P148">
        <v>1</v>
      </c>
      <c r="Q148" s="80" t="str">
        <f>REPLACE(INDEX(GroupVertices[Group],MATCH(Edges[[#This Row],[Vertex 1]],GroupVertices[Vertex],0)),1,1,"")</f>
        <v>2</v>
      </c>
      <c r="R148" s="80" t="str">
        <f>REPLACE(INDEX(GroupVertices[Group],MATCH(Edges[[#This Row],[Vertex 2]],GroupVertices[Vertex],0)),1,1,"")</f>
        <v>2</v>
      </c>
      <c r="S148" s="34"/>
      <c r="T148" s="34"/>
      <c r="U148" s="34"/>
      <c r="V148" s="34"/>
      <c r="W148" s="34"/>
      <c r="X148" s="34"/>
      <c r="Y148" s="34"/>
      <c r="Z148" s="34"/>
      <c r="AA148" s="34"/>
    </row>
    <row r="149" spans="1:27" ht="15">
      <c r="A149" s="66" t="s">
        <v>325</v>
      </c>
      <c r="B149" s="66" t="s">
        <v>472</v>
      </c>
      <c r="C149" s="67" t="s">
        <v>3495</v>
      </c>
      <c r="D149" s="68">
        <v>3</v>
      </c>
      <c r="E149" s="69"/>
      <c r="F149" s="70">
        <v>50</v>
      </c>
      <c r="G149" s="67"/>
      <c r="H149" s="71"/>
      <c r="I149" s="72"/>
      <c r="J149" s="72"/>
      <c r="K149" s="34" t="s">
        <v>65</v>
      </c>
      <c r="L149" s="79">
        <v>149</v>
      </c>
      <c r="M149" s="79"/>
      <c r="N149" s="74"/>
      <c r="O149" s="81" t="s">
        <v>653</v>
      </c>
      <c r="P149">
        <v>1</v>
      </c>
      <c r="Q149" s="80" t="str">
        <f>REPLACE(INDEX(GroupVertices[Group],MATCH(Edges[[#This Row],[Vertex 1]],GroupVertices[Vertex],0)),1,1,"")</f>
        <v>1</v>
      </c>
      <c r="R149" s="80" t="str">
        <f>REPLACE(INDEX(GroupVertices[Group],MATCH(Edges[[#This Row],[Vertex 2]],GroupVertices[Vertex],0)),1,1,"")</f>
        <v>1</v>
      </c>
      <c r="S149" s="34"/>
      <c r="T149" s="34"/>
      <c r="U149" s="34"/>
      <c r="V149" s="34"/>
      <c r="W149" s="34"/>
      <c r="X149" s="34"/>
      <c r="Y149" s="34"/>
      <c r="Z149" s="34"/>
      <c r="AA149" s="34"/>
    </row>
    <row r="150" spans="1:27" ht="15">
      <c r="A150" s="66" t="s">
        <v>325</v>
      </c>
      <c r="B150" s="66" t="s">
        <v>473</v>
      </c>
      <c r="C150" s="67" t="s">
        <v>3495</v>
      </c>
      <c r="D150" s="68">
        <v>3</v>
      </c>
      <c r="E150" s="69"/>
      <c r="F150" s="70">
        <v>50</v>
      </c>
      <c r="G150" s="67"/>
      <c r="H150" s="71"/>
      <c r="I150" s="72"/>
      <c r="J150" s="72"/>
      <c r="K150" s="34" t="s">
        <v>65</v>
      </c>
      <c r="L150" s="79">
        <v>150</v>
      </c>
      <c r="M150" s="79"/>
      <c r="N150" s="74"/>
      <c r="O150" s="81" t="s">
        <v>653</v>
      </c>
      <c r="P150">
        <v>1</v>
      </c>
      <c r="Q150" s="80" t="str">
        <f>REPLACE(INDEX(GroupVertices[Group],MATCH(Edges[[#This Row],[Vertex 1]],GroupVertices[Vertex],0)),1,1,"")</f>
        <v>1</v>
      </c>
      <c r="R150" s="80" t="str">
        <f>REPLACE(INDEX(GroupVertices[Group],MATCH(Edges[[#This Row],[Vertex 2]],GroupVertices[Vertex],0)),1,1,"")</f>
        <v>1</v>
      </c>
      <c r="S150" s="34"/>
      <c r="T150" s="34"/>
      <c r="U150" s="34"/>
      <c r="V150" s="34"/>
      <c r="W150" s="34"/>
      <c r="X150" s="34"/>
      <c r="Y150" s="34"/>
      <c r="Z150" s="34"/>
      <c r="AA150" s="34"/>
    </row>
    <row r="151" spans="1:27" ht="15">
      <c r="A151" s="66" t="s">
        <v>325</v>
      </c>
      <c r="B151" s="66" t="s">
        <v>474</v>
      </c>
      <c r="C151" s="67" t="s">
        <v>3495</v>
      </c>
      <c r="D151" s="68">
        <v>3</v>
      </c>
      <c r="E151" s="69"/>
      <c r="F151" s="70">
        <v>50</v>
      </c>
      <c r="G151" s="67"/>
      <c r="H151" s="71"/>
      <c r="I151" s="72"/>
      <c r="J151" s="72"/>
      <c r="K151" s="34" t="s">
        <v>65</v>
      </c>
      <c r="L151" s="79">
        <v>151</v>
      </c>
      <c r="M151" s="79"/>
      <c r="N151" s="74"/>
      <c r="O151" s="81" t="s">
        <v>653</v>
      </c>
      <c r="P151">
        <v>1</v>
      </c>
      <c r="Q151" s="80" t="str">
        <f>REPLACE(INDEX(GroupVertices[Group],MATCH(Edges[[#This Row],[Vertex 1]],GroupVertices[Vertex],0)),1,1,"")</f>
        <v>1</v>
      </c>
      <c r="R151" s="80" t="str">
        <f>REPLACE(INDEX(GroupVertices[Group],MATCH(Edges[[#This Row],[Vertex 2]],GroupVertices[Vertex],0)),1,1,"")</f>
        <v>1</v>
      </c>
      <c r="S151" s="34"/>
      <c r="T151" s="34"/>
      <c r="U151" s="34"/>
      <c r="V151" s="34"/>
      <c r="W151" s="34"/>
      <c r="X151" s="34"/>
      <c r="Y151" s="34"/>
      <c r="Z151" s="34"/>
      <c r="AA151" s="34"/>
    </row>
    <row r="152" spans="1:27" ht="15">
      <c r="A152" s="66" t="s">
        <v>325</v>
      </c>
      <c r="B152" s="66" t="s">
        <v>475</v>
      </c>
      <c r="C152" s="67" t="s">
        <v>3495</v>
      </c>
      <c r="D152" s="68">
        <v>3</v>
      </c>
      <c r="E152" s="69"/>
      <c r="F152" s="70">
        <v>50</v>
      </c>
      <c r="G152" s="67"/>
      <c r="H152" s="71"/>
      <c r="I152" s="72"/>
      <c r="J152" s="72"/>
      <c r="K152" s="34" t="s">
        <v>65</v>
      </c>
      <c r="L152" s="79">
        <v>152</v>
      </c>
      <c r="M152" s="79"/>
      <c r="N152" s="74"/>
      <c r="O152" s="81" t="s">
        <v>653</v>
      </c>
      <c r="P152">
        <v>1</v>
      </c>
      <c r="Q152" s="80" t="str">
        <f>REPLACE(INDEX(GroupVertices[Group],MATCH(Edges[[#This Row],[Vertex 1]],GroupVertices[Vertex],0)),1,1,"")</f>
        <v>1</v>
      </c>
      <c r="R152" s="80" t="str">
        <f>REPLACE(INDEX(GroupVertices[Group],MATCH(Edges[[#This Row],[Vertex 2]],GroupVertices[Vertex],0)),1,1,"")</f>
        <v>1</v>
      </c>
      <c r="S152" s="34"/>
      <c r="T152" s="34"/>
      <c r="U152" s="34"/>
      <c r="V152" s="34"/>
      <c r="W152" s="34"/>
      <c r="X152" s="34"/>
      <c r="Y152" s="34"/>
      <c r="Z152" s="34"/>
      <c r="AA152" s="34"/>
    </row>
    <row r="153" spans="1:27" ht="15">
      <c r="A153" s="66" t="s">
        <v>325</v>
      </c>
      <c r="B153" s="66" t="s">
        <v>476</v>
      </c>
      <c r="C153" s="67" t="s">
        <v>3495</v>
      </c>
      <c r="D153" s="68">
        <v>3</v>
      </c>
      <c r="E153" s="69"/>
      <c r="F153" s="70">
        <v>50</v>
      </c>
      <c r="G153" s="67"/>
      <c r="H153" s="71"/>
      <c r="I153" s="72"/>
      <c r="J153" s="72"/>
      <c r="K153" s="34" t="s">
        <v>65</v>
      </c>
      <c r="L153" s="79">
        <v>153</v>
      </c>
      <c r="M153" s="79"/>
      <c r="N153" s="74"/>
      <c r="O153" s="81" t="s">
        <v>653</v>
      </c>
      <c r="P153">
        <v>1</v>
      </c>
      <c r="Q153" s="80" t="str">
        <f>REPLACE(INDEX(GroupVertices[Group],MATCH(Edges[[#This Row],[Vertex 1]],GroupVertices[Vertex],0)),1,1,"")</f>
        <v>1</v>
      </c>
      <c r="R153" s="80" t="str">
        <f>REPLACE(INDEX(GroupVertices[Group],MATCH(Edges[[#This Row],[Vertex 2]],GroupVertices[Vertex],0)),1,1,"")</f>
        <v>1</v>
      </c>
      <c r="S153" s="34"/>
      <c r="T153" s="34"/>
      <c r="U153" s="34"/>
      <c r="V153" s="34"/>
      <c r="W153" s="34"/>
      <c r="X153" s="34"/>
      <c r="Y153" s="34"/>
      <c r="Z153" s="34"/>
      <c r="AA153" s="34"/>
    </row>
    <row r="154" spans="1:27" ht="15">
      <c r="A154" s="66" t="s">
        <v>325</v>
      </c>
      <c r="B154" s="66" t="s">
        <v>477</v>
      </c>
      <c r="C154" s="67" t="s">
        <v>3495</v>
      </c>
      <c r="D154" s="68">
        <v>3</v>
      </c>
      <c r="E154" s="69"/>
      <c r="F154" s="70">
        <v>50</v>
      </c>
      <c r="G154" s="67"/>
      <c r="H154" s="71"/>
      <c r="I154" s="72"/>
      <c r="J154" s="72"/>
      <c r="K154" s="34" t="s">
        <v>65</v>
      </c>
      <c r="L154" s="79">
        <v>154</v>
      </c>
      <c r="M154" s="79"/>
      <c r="N154" s="74"/>
      <c r="O154" s="81" t="s">
        <v>653</v>
      </c>
      <c r="P154">
        <v>1</v>
      </c>
      <c r="Q154" s="80" t="str">
        <f>REPLACE(INDEX(GroupVertices[Group],MATCH(Edges[[#This Row],[Vertex 1]],GroupVertices[Vertex],0)),1,1,"")</f>
        <v>1</v>
      </c>
      <c r="R154" s="80" t="str">
        <f>REPLACE(INDEX(GroupVertices[Group],MATCH(Edges[[#This Row],[Vertex 2]],GroupVertices[Vertex],0)),1,1,"")</f>
        <v>1</v>
      </c>
      <c r="S154" s="34"/>
      <c r="T154" s="34"/>
      <c r="U154" s="34"/>
      <c r="V154" s="34"/>
      <c r="W154" s="34"/>
      <c r="X154" s="34"/>
      <c r="Y154" s="34"/>
      <c r="Z154" s="34"/>
      <c r="AA154" s="34"/>
    </row>
    <row r="155" spans="1:27" ht="15">
      <c r="A155" s="66" t="s">
        <v>325</v>
      </c>
      <c r="B155" s="66" t="s">
        <v>478</v>
      </c>
      <c r="C155" s="67" t="s">
        <v>3495</v>
      </c>
      <c r="D155" s="68">
        <v>3</v>
      </c>
      <c r="E155" s="69"/>
      <c r="F155" s="70">
        <v>50</v>
      </c>
      <c r="G155" s="67"/>
      <c r="H155" s="71"/>
      <c r="I155" s="72"/>
      <c r="J155" s="72"/>
      <c r="K155" s="34" t="s">
        <v>65</v>
      </c>
      <c r="L155" s="79">
        <v>155</v>
      </c>
      <c r="M155" s="79"/>
      <c r="N155" s="74"/>
      <c r="O155" s="81" t="s">
        <v>653</v>
      </c>
      <c r="P155">
        <v>1</v>
      </c>
      <c r="Q155" s="80" t="str">
        <f>REPLACE(INDEX(GroupVertices[Group],MATCH(Edges[[#This Row],[Vertex 1]],GroupVertices[Vertex],0)),1,1,"")</f>
        <v>1</v>
      </c>
      <c r="R155" s="80" t="str">
        <f>REPLACE(INDEX(GroupVertices[Group],MATCH(Edges[[#This Row],[Vertex 2]],GroupVertices[Vertex],0)),1,1,"")</f>
        <v>1</v>
      </c>
      <c r="S155" s="34"/>
      <c r="T155" s="34"/>
      <c r="U155" s="34"/>
      <c r="V155" s="34"/>
      <c r="W155" s="34"/>
      <c r="X155" s="34"/>
      <c r="Y155" s="34"/>
      <c r="Z155" s="34"/>
      <c r="AA155" s="34"/>
    </row>
    <row r="156" spans="1:27" ht="15">
      <c r="A156" s="66" t="s">
        <v>325</v>
      </c>
      <c r="B156" s="66" t="s">
        <v>479</v>
      </c>
      <c r="C156" s="67" t="s">
        <v>3495</v>
      </c>
      <c r="D156" s="68">
        <v>3</v>
      </c>
      <c r="E156" s="69"/>
      <c r="F156" s="70">
        <v>50</v>
      </c>
      <c r="G156" s="67"/>
      <c r="H156" s="71"/>
      <c r="I156" s="72"/>
      <c r="J156" s="72"/>
      <c r="K156" s="34" t="s">
        <v>65</v>
      </c>
      <c r="L156" s="79">
        <v>156</v>
      </c>
      <c r="M156" s="79"/>
      <c r="N156" s="74"/>
      <c r="O156" s="81" t="s">
        <v>653</v>
      </c>
      <c r="P156">
        <v>1</v>
      </c>
      <c r="Q156" s="80" t="str">
        <f>REPLACE(INDEX(GroupVertices[Group],MATCH(Edges[[#This Row],[Vertex 1]],GroupVertices[Vertex],0)),1,1,"")</f>
        <v>1</v>
      </c>
      <c r="R156" s="80" t="str">
        <f>REPLACE(INDEX(GroupVertices[Group],MATCH(Edges[[#This Row],[Vertex 2]],GroupVertices[Vertex],0)),1,1,"")</f>
        <v>1</v>
      </c>
      <c r="S156" s="34"/>
      <c r="T156" s="34"/>
      <c r="U156" s="34"/>
      <c r="V156" s="34"/>
      <c r="W156" s="34"/>
      <c r="X156" s="34"/>
      <c r="Y156" s="34"/>
      <c r="Z156" s="34"/>
      <c r="AA156" s="34"/>
    </row>
    <row r="157" spans="1:27" ht="15">
      <c r="A157" s="66" t="s">
        <v>325</v>
      </c>
      <c r="B157" s="66" t="s">
        <v>480</v>
      </c>
      <c r="C157" s="67" t="s">
        <v>3495</v>
      </c>
      <c r="D157" s="68">
        <v>3</v>
      </c>
      <c r="E157" s="69"/>
      <c r="F157" s="70">
        <v>50</v>
      </c>
      <c r="G157" s="67"/>
      <c r="H157" s="71"/>
      <c r="I157" s="72"/>
      <c r="J157" s="72"/>
      <c r="K157" s="34" t="s">
        <v>65</v>
      </c>
      <c r="L157" s="79">
        <v>157</v>
      </c>
      <c r="M157" s="79"/>
      <c r="N157" s="74"/>
      <c r="O157" s="81" t="s">
        <v>653</v>
      </c>
      <c r="P157">
        <v>1</v>
      </c>
      <c r="Q157" s="80" t="str">
        <f>REPLACE(INDEX(GroupVertices[Group],MATCH(Edges[[#This Row],[Vertex 1]],GroupVertices[Vertex],0)),1,1,"")</f>
        <v>1</v>
      </c>
      <c r="R157" s="80" t="str">
        <f>REPLACE(INDEX(GroupVertices[Group],MATCH(Edges[[#This Row],[Vertex 2]],GroupVertices[Vertex],0)),1,1,"")</f>
        <v>1</v>
      </c>
      <c r="S157" s="34"/>
      <c r="T157" s="34"/>
      <c r="U157" s="34"/>
      <c r="V157" s="34"/>
      <c r="W157" s="34"/>
      <c r="X157" s="34"/>
      <c r="Y157" s="34"/>
      <c r="Z157" s="34"/>
      <c r="AA157" s="34"/>
    </row>
    <row r="158" spans="1:27" ht="15">
      <c r="A158" s="66" t="s">
        <v>325</v>
      </c>
      <c r="B158" s="66" t="s">
        <v>481</v>
      </c>
      <c r="C158" s="67" t="s">
        <v>3495</v>
      </c>
      <c r="D158" s="68">
        <v>3</v>
      </c>
      <c r="E158" s="69"/>
      <c r="F158" s="70">
        <v>50</v>
      </c>
      <c r="G158" s="67"/>
      <c r="H158" s="71"/>
      <c r="I158" s="72"/>
      <c r="J158" s="72"/>
      <c r="K158" s="34" t="s">
        <v>65</v>
      </c>
      <c r="L158" s="79">
        <v>158</v>
      </c>
      <c r="M158" s="79"/>
      <c r="N158" s="74"/>
      <c r="O158" s="81" t="s">
        <v>653</v>
      </c>
      <c r="P158">
        <v>1</v>
      </c>
      <c r="Q158" s="80" t="str">
        <f>REPLACE(INDEX(GroupVertices[Group],MATCH(Edges[[#This Row],[Vertex 1]],GroupVertices[Vertex],0)),1,1,"")</f>
        <v>1</v>
      </c>
      <c r="R158" s="80" t="str">
        <f>REPLACE(INDEX(GroupVertices[Group],MATCH(Edges[[#This Row],[Vertex 2]],GroupVertices[Vertex],0)),1,1,"")</f>
        <v>1</v>
      </c>
      <c r="S158" s="34"/>
      <c r="T158" s="34"/>
      <c r="U158" s="34"/>
      <c r="V158" s="34"/>
      <c r="W158" s="34"/>
      <c r="X158" s="34"/>
      <c r="Y158" s="34"/>
      <c r="Z158" s="34"/>
      <c r="AA158" s="34"/>
    </row>
    <row r="159" spans="1:27" ht="15">
      <c r="A159" s="66" t="s">
        <v>325</v>
      </c>
      <c r="B159" s="66" t="s">
        <v>482</v>
      </c>
      <c r="C159" s="67" t="s">
        <v>3495</v>
      </c>
      <c r="D159" s="68">
        <v>3</v>
      </c>
      <c r="E159" s="69"/>
      <c r="F159" s="70">
        <v>50</v>
      </c>
      <c r="G159" s="67"/>
      <c r="H159" s="71"/>
      <c r="I159" s="72"/>
      <c r="J159" s="72"/>
      <c r="K159" s="34" t="s">
        <v>65</v>
      </c>
      <c r="L159" s="79">
        <v>159</v>
      </c>
      <c r="M159" s="79"/>
      <c r="N159" s="74"/>
      <c r="O159" s="81" t="s">
        <v>653</v>
      </c>
      <c r="P159">
        <v>1</v>
      </c>
      <c r="Q159" s="80" t="str">
        <f>REPLACE(INDEX(GroupVertices[Group],MATCH(Edges[[#This Row],[Vertex 1]],GroupVertices[Vertex],0)),1,1,"")</f>
        <v>1</v>
      </c>
      <c r="R159" s="80" t="str">
        <f>REPLACE(INDEX(GroupVertices[Group],MATCH(Edges[[#This Row],[Vertex 2]],GroupVertices[Vertex],0)),1,1,"")</f>
        <v>1</v>
      </c>
      <c r="S159" s="34"/>
      <c r="T159" s="34"/>
      <c r="U159" s="34"/>
      <c r="V159" s="34"/>
      <c r="W159" s="34"/>
      <c r="X159" s="34"/>
      <c r="Y159" s="34"/>
      <c r="Z159" s="34"/>
      <c r="AA159" s="34"/>
    </row>
    <row r="160" spans="1:27" ht="15">
      <c r="A160" s="66" t="s">
        <v>325</v>
      </c>
      <c r="B160" s="66" t="s">
        <v>483</v>
      </c>
      <c r="C160" s="67" t="s">
        <v>3495</v>
      </c>
      <c r="D160" s="68">
        <v>3</v>
      </c>
      <c r="E160" s="69"/>
      <c r="F160" s="70">
        <v>50</v>
      </c>
      <c r="G160" s="67"/>
      <c r="H160" s="71"/>
      <c r="I160" s="72"/>
      <c r="J160" s="72"/>
      <c r="K160" s="34" t="s">
        <v>65</v>
      </c>
      <c r="L160" s="79">
        <v>160</v>
      </c>
      <c r="M160" s="79"/>
      <c r="N160" s="74"/>
      <c r="O160" s="81" t="s">
        <v>653</v>
      </c>
      <c r="P160">
        <v>1</v>
      </c>
      <c r="Q160" s="80" t="str">
        <f>REPLACE(INDEX(GroupVertices[Group],MATCH(Edges[[#This Row],[Vertex 1]],GroupVertices[Vertex],0)),1,1,"")</f>
        <v>1</v>
      </c>
      <c r="R160" s="80" t="str">
        <f>REPLACE(INDEX(GroupVertices[Group],MATCH(Edges[[#This Row],[Vertex 2]],GroupVertices[Vertex],0)),1,1,"")</f>
        <v>1</v>
      </c>
      <c r="S160" s="34"/>
      <c r="T160" s="34"/>
      <c r="U160" s="34"/>
      <c r="V160" s="34"/>
      <c r="W160" s="34"/>
      <c r="X160" s="34"/>
      <c r="Y160" s="34"/>
      <c r="Z160" s="34"/>
      <c r="AA160" s="34"/>
    </row>
    <row r="161" spans="1:27" ht="15">
      <c r="A161" s="66" t="s">
        <v>325</v>
      </c>
      <c r="B161" s="66" t="s">
        <v>484</v>
      </c>
      <c r="C161" s="67" t="s">
        <v>3495</v>
      </c>
      <c r="D161" s="68">
        <v>3</v>
      </c>
      <c r="E161" s="69"/>
      <c r="F161" s="70">
        <v>50</v>
      </c>
      <c r="G161" s="67"/>
      <c r="H161" s="71"/>
      <c r="I161" s="72"/>
      <c r="J161" s="72"/>
      <c r="K161" s="34" t="s">
        <v>65</v>
      </c>
      <c r="L161" s="79">
        <v>161</v>
      </c>
      <c r="M161" s="79"/>
      <c r="N161" s="74"/>
      <c r="O161" s="81" t="s">
        <v>653</v>
      </c>
      <c r="P161">
        <v>1</v>
      </c>
      <c r="Q161" s="80" t="str">
        <f>REPLACE(INDEX(GroupVertices[Group],MATCH(Edges[[#This Row],[Vertex 1]],GroupVertices[Vertex],0)),1,1,"")</f>
        <v>1</v>
      </c>
      <c r="R161" s="80" t="str">
        <f>REPLACE(INDEX(GroupVertices[Group],MATCH(Edges[[#This Row],[Vertex 2]],GroupVertices[Vertex],0)),1,1,"")</f>
        <v>1</v>
      </c>
      <c r="S161" s="34"/>
      <c r="T161" s="34"/>
      <c r="U161" s="34"/>
      <c r="V161" s="34"/>
      <c r="W161" s="34"/>
      <c r="X161" s="34"/>
      <c r="Y161" s="34"/>
      <c r="Z161" s="34"/>
      <c r="AA161" s="34"/>
    </row>
    <row r="162" spans="1:27" ht="15">
      <c r="A162" s="66" t="s">
        <v>325</v>
      </c>
      <c r="B162" s="66" t="s">
        <v>485</v>
      </c>
      <c r="C162" s="67" t="s">
        <v>3495</v>
      </c>
      <c r="D162" s="68">
        <v>3</v>
      </c>
      <c r="E162" s="69"/>
      <c r="F162" s="70">
        <v>50</v>
      </c>
      <c r="G162" s="67"/>
      <c r="H162" s="71"/>
      <c r="I162" s="72"/>
      <c r="J162" s="72"/>
      <c r="K162" s="34" t="s">
        <v>65</v>
      </c>
      <c r="L162" s="79">
        <v>162</v>
      </c>
      <c r="M162" s="79"/>
      <c r="N162" s="74"/>
      <c r="O162" s="81" t="s">
        <v>653</v>
      </c>
      <c r="P162">
        <v>1</v>
      </c>
      <c r="Q162" s="80" t="str">
        <f>REPLACE(INDEX(GroupVertices[Group],MATCH(Edges[[#This Row],[Vertex 1]],GroupVertices[Vertex],0)),1,1,"")</f>
        <v>1</v>
      </c>
      <c r="R162" s="80" t="str">
        <f>REPLACE(INDEX(GroupVertices[Group],MATCH(Edges[[#This Row],[Vertex 2]],GroupVertices[Vertex],0)),1,1,"")</f>
        <v>1</v>
      </c>
      <c r="S162" s="34"/>
      <c r="T162" s="34"/>
      <c r="U162" s="34"/>
      <c r="V162" s="34"/>
      <c r="W162" s="34"/>
      <c r="X162" s="34"/>
      <c r="Y162" s="34"/>
      <c r="Z162" s="34"/>
      <c r="AA162" s="34"/>
    </row>
    <row r="163" spans="1:27" ht="15">
      <c r="A163" s="66" t="s">
        <v>325</v>
      </c>
      <c r="B163" s="66" t="s">
        <v>486</v>
      </c>
      <c r="C163" s="67" t="s">
        <v>3495</v>
      </c>
      <c r="D163" s="68">
        <v>3</v>
      </c>
      <c r="E163" s="69"/>
      <c r="F163" s="70">
        <v>50</v>
      </c>
      <c r="G163" s="67"/>
      <c r="H163" s="71"/>
      <c r="I163" s="72"/>
      <c r="J163" s="72"/>
      <c r="K163" s="34" t="s">
        <v>65</v>
      </c>
      <c r="L163" s="79">
        <v>163</v>
      </c>
      <c r="M163" s="79"/>
      <c r="N163" s="74"/>
      <c r="O163" s="81" t="s">
        <v>653</v>
      </c>
      <c r="P163">
        <v>1</v>
      </c>
      <c r="Q163" s="80" t="str">
        <f>REPLACE(INDEX(GroupVertices[Group],MATCH(Edges[[#This Row],[Vertex 1]],GroupVertices[Vertex],0)),1,1,"")</f>
        <v>1</v>
      </c>
      <c r="R163" s="80" t="str">
        <f>REPLACE(INDEX(GroupVertices[Group],MATCH(Edges[[#This Row],[Vertex 2]],GroupVertices[Vertex],0)),1,1,"")</f>
        <v>1</v>
      </c>
      <c r="S163" s="34"/>
      <c r="T163" s="34"/>
      <c r="U163" s="34"/>
      <c r="V163" s="34"/>
      <c r="W163" s="34"/>
      <c r="X163" s="34"/>
      <c r="Y163" s="34"/>
      <c r="Z163" s="34"/>
      <c r="AA163" s="34"/>
    </row>
    <row r="164" spans="1:27" ht="15">
      <c r="A164" s="66" t="s">
        <v>325</v>
      </c>
      <c r="B164" s="66" t="s">
        <v>487</v>
      </c>
      <c r="C164" s="67" t="s">
        <v>3495</v>
      </c>
      <c r="D164" s="68">
        <v>3</v>
      </c>
      <c r="E164" s="69"/>
      <c r="F164" s="70">
        <v>50</v>
      </c>
      <c r="G164" s="67"/>
      <c r="H164" s="71"/>
      <c r="I164" s="72"/>
      <c r="J164" s="72"/>
      <c r="K164" s="34" t="s">
        <v>65</v>
      </c>
      <c r="L164" s="79">
        <v>164</v>
      </c>
      <c r="M164" s="79"/>
      <c r="N164" s="74"/>
      <c r="O164" s="81" t="s">
        <v>653</v>
      </c>
      <c r="P164">
        <v>1</v>
      </c>
      <c r="Q164" s="80" t="str">
        <f>REPLACE(INDEX(GroupVertices[Group],MATCH(Edges[[#This Row],[Vertex 1]],GroupVertices[Vertex],0)),1,1,"")</f>
        <v>1</v>
      </c>
      <c r="R164" s="80" t="str">
        <f>REPLACE(INDEX(GroupVertices[Group],MATCH(Edges[[#This Row],[Vertex 2]],GroupVertices[Vertex],0)),1,1,"")</f>
        <v>1</v>
      </c>
      <c r="S164" s="34"/>
      <c r="T164" s="34"/>
      <c r="U164" s="34"/>
      <c r="V164" s="34"/>
      <c r="W164" s="34"/>
      <c r="X164" s="34"/>
      <c r="Y164" s="34"/>
      <c r="Z164" s="34"/>
      <c r="AA164" s="34"/>
    </row>
    <row r="165" spans="1:27" ht="15">
      <c r="A165" s="66" t="s">
        <v>325</v>
      </c>
      <c r="B165" s="66" t="s">
        <v>488</v>
      </c>
      <c r="C165" s="67" t="s">
        <v>3495</v>
      </c>
      <c r="D165" s="68">
        <v>3</v>
      </c>
      <c r="E165" s="69"/>
      <c r="F165" s="70">
        <v>50</v>
      </c>
      <c r="G165" s="67"/>
      <c r="H165" s="71"/>
      <c r="I165" s="72"/>
      <c r="J165" s="72"/>
      <c r="K165" s="34" t="s">
        <v>65</v>
      </c>
      <c r="L165" s="79">
        <v>165</v>
      </c>
      <c r="M165" s="79"/>
      <c r="N165" s="74"/>
      <c r="O165" s="81" t="s">
        <v>653</v>
      </c>
      <c r="P165">
        <v>1</v>
      </c>
      <c r="Q165" s="80" t="str">
        <f>REPLACE(INDEX(GroupVertices[Group],MATCH(Edges[[#This Row],[Vertex 1]],GroupVertices[Vertex],0)),1,1,"")</f>
        <v>1</v>
      </c>
      <c r="R165" s="80" t="str">
        <f>REPLACE(INDEX(GroupVertices[Group],MATCH(Edges[[#This Row],[Vertex 2]],GroupVertices[Vertex],0)),1,1,"")</f>
        <v>1</v>
      </c>
      <c r="S165" s="34"/>
      <c r="T165" s="34"/>
      <c r="U165" s="34"/>
      <c r="V165" s="34"/>
      <c r="W165" s="34"/>
      <c r="X165" s="34"/>
      <c r="Y165" s="34"/>
      <c r="Z165" s="34"/>
      <c r="AA165" s="34"/>
    </row>
    <row r="166" spans="1:27" ht="15">
      <c r="A166" s="66" t="s">
        <v>325</v>
      </c>
      <c r="B166" s="66" t="s">
        <v>489</v>
      </c>
      <c r="C166" s="67" t="s">
        <v>3495</v>
      </c>
      <c r="D166" s="68">
        <v>3</v>
      </c>
      <c r="E166" s="69"/>
      <c r="F166" s="70">
        <v>50</v>
      </c>
      <c r="G166" s="67"/>
      <c r="H166" s="71"/>
      <c r="I166" s="72"/>
      <c r="J166" s="72"/>
      <c r="K166" s="34" t="s">
        <v>65</v>
      </c>
      <c r="L166" s="79">
        <v>166</v>
      </c>
      <c r="M166" s="79"/>
      <c r="N166" s="74"/>
      <c r="O166" s="81" t="s">
        <v>653</v>
      </c>
      <c r="P166">
        <v>1</v>
      </c>
      <c r="Q166" s="80" t="str">
        <f>REPLACE(INDEX(GroupVertices[Group],MATCH(Edges[[#This Row],[Vertex 1]],GroupVertices[Vertex],0)),1,1,"")</f>
        <v>1</v>
      </c>
      <c r="R166" s="80" t="str">
        <f>REPLACE(INDEX(GroupVertices[Group],MATCH(Edges[[#This Row],[Vertex 2]],GroupVertices[Vertex],0)),1,1,"")</f>
        <v>1</v>
      </c>
      <c r="S166" s="34"/>
      <c r="T166" s="34"/>
      <c r="U166" s="34"/>
      <c r="V166" s="34"/>
      <c r="W166" s="34"/>
      <c r="X166" s="34"/>
      <c r="Y166" s="34"/>
      <c r="Z166" s="34"/>
      <c r="AA166" s="34"/>
    </row>
    <row r="167" spans="1:27" ht="15">
      <c r="A167" s="66" t="s">
        <v>325</v>
      </c>
      <c r="B167" s="66" t="s">
        <v>490</v>
      </c>
      <c r="C167" s="67" t="s">
        <v>3495</v>
      </c>
      <c r="D167" s="68">
        <v>3</v>
      </c>
      <c r="E167" s="69"/>
      <c r="F167" s="70">
        <v>50</v>
      </c>
      <c r="G167" s="67"/>
      <c r="H167" s="71"/>
      <c r="I167" s="72"/>
      <c r="J167" s="72"/>
      <c r="K167" s="34" t="s">
        <v>65</v>
      </c>
      <c r="L167" s="79">
        <v>167</v>
      </c>
      <c r="M167" s="79"/>
      <c r="N167" s="74"/>
      <c r="O167" s="81" t="s">
        <v>653</v>
      </c>
      <c r="P167">
        <v>1</v>
      </c>
      <c r="Q167" s="80" t="str">
        <f>REPLACE(INDEX(GroupVertices[Group],MATCH(Edges[[#This Row],[Vertex 1]],GroupVertices[Vertex],0)),1,1,"")</f>
        <v>1</v>
      </c>
      <c r="R167" s="80" t="str">
        <f>REPLACE(INDEX(GroupVertices[Group],MATCH(Edges[[#This Row],[Vertex 2]],GroupVertices[Vertex],0)),1,1,"")</f>
        <v>1</v>
      </c>
      <c r="S167" s="34"/>
      <c r="T167" s="34"/>
      <c r="U167" s="34"/>
      <c r="V167" s="34"/>
      <c r="W167" s="34"/>
      <c r="X167" s="34"/>
      <c r="Y167" s="34"/>
      <c r="Z167" s="34"/>
      <c r="AA167" s="34"/>
    </row>
    <row r="168" spans="1:27" ht="15">
      <c r="A168" s="66" t="s">
        <v>325</v>
      </c>
      <c r="B168" s="66" t="s">
        <v>491</v>
      </c>
      <c r="C168" s="67" t="s">
        <v>3495</v>
      </c>
      <c r="D168" s="68">
        <v>3</v>
      </c>
      <c r="E168" s="69"/>
      <c r="F168" s="70">
        <v>50</v>
      </c>
      <c r="G168" s="67"/>
      <c r="H168" s="71"/>
      <c r="I168" s="72"/>
      <c r="J168" s="72"/>
      <c r="K168" s="34" t="s">
        <v>65</v>
      </c>
      <c r="L168" s="79">
        <v>168</v>
      </c>
      <c r="M168" s="79"/>
      <c r="N168" s="74"/>
      <c r="O168" s="81" t="s">
        <v>653</v>
      </c>
      <c r="P168">
        <v>1</v>
      </c>
      <c r="Q168" s="80" t="str">
        <f>REPLACE(INDEX(GroupVertices[Group],MATCH(Edges[[#This Row],[Vertex 1]],GroupVertices[Vertex],0)),1,1,"")</f>
        <v>1</v>
      </c>
      <c r="R168" s="80" t="str">
        <f>REPLACE(INDEX(GroupVertices[Group],MATCH(Edges[[#This Row],[Vertex 2]],GroupVertices[Vertex],0)),1,1,"")</f>
        <v>1</v>
      </c>
      <c r="S168" s="34"/>
      <c r="T168" s="34"/>
      <c r="U168" s="34"/>
      <c r="V168" s="34"/>
      <c r="W168" s="34"/>
      <c r="X168" s="34"/>
      <c r="Y168" s="34"/>
      <c r="Z168" s="34"/>
      <c r="AA168" s="34"/>
    </row>
    <row r="169" spans="1:27" ht="15">
      <c r="A169" s="66" t="s">
        <v>325</v>
      </c>
      <c r="B169" s="66" t="s">
        <v>492</v>
      </c>
      <c r="C169" s="67" t="s">
        <v>3495</v>
      </c>
      <c r="D169" s="68">
        <v>3</v>
      </c>
      <c r="E169" s="69"/>
      <c r="F169" s="70">
        <v>50</v>
      </c>
      <c r="G169" s="67"/>
      <c r="H169" s="71"/>
      <c r="I169" s="72"/>
      <c r="J169" s="72"/>
      <c r="K169" s="34" t="s">
        <v>65</v>
      </c>
      <c r="L169" s="79">
        <v>169</v>
      </c>
      <c r="M169" s="79"/>
      <c r="N169" s="74"/>
      <c r="O169" s="81" t="s">
        <v>653</v>
      </c>
      <c r="P169">
        <v>1</v>
      </c>
      <c r="Q169" s="80" t="str">
        <f>REPLACE(INDEX(GroupVertices[Group],MATCH(Edges[[#This Row],[Vertex 1]],GroupVertices[Vertex],0)),1,1,"")</f>
        <v>1</v>
      </c>
      <c r="R169" s="80" t="str">
        <f>REPLACE(INDEX(GroupVertices[Group],MATCH(Edges[[#This Row],[Vertex 2]],GroupVertices[Vertex],0)),1,1,"")</f>
        <v>1</v>
      </c>
      <c r="S169" s="34"/>
      <c r="T169" s="34"/>
      <c r="U169" s="34"/>
      <c r="V169" s="34"/>
      <c r="W169" s="34"/>
      <c r="X169" s="34"/>
      <c r="Y169" s="34"/>
      <c r="Z169" s="34"/>
      <c r="AA169" s="34"/>
    </row>
    <row r="170" spans="1:27" ht="15">
      <c r="A170" s="66" t="s">
        <v>326</v>
      </c>
      <c r="B170" s="66" t="s">
        <v>493</v>
      </c>
      <c r="C170" s="67" t="s">
        <v>3495</v>
      </c>
      <c r="D170" s="68">
        <v>3</v>
      </c>
      <c r="E170" s="69"/>
      <c r="F170" s="70">
        <v>50</v>
      </c>
      <c r="G170" s="67"/>
      <c r="H170" s="71"/>
      <c r="I170" s="72"/>
      <c r="J170" s="72"/>
      <c r="K170" s="34" t="s">
        <v>65</v>
      </c>
      <c r="L170" s="79">
        <v>170</v>
      </c>
      <c r="M170" s="79"/>
      <c r="N170" s="74"/>
      <c r="O170" s="81" t="s">
        <v>653</v>
      </c>
      <c r="P170">
        <v>1</v>
      </c>
      <c r="Q170" s="80" t="str">
        <f>REPLACE(INDEX(GroupVertices[Group],MATCH(Edges[[#This Row],[Vertex 1]],GroupVertices[Vertex],0)),1,1,"")</f>
        <v>8</v>
      </c>
      <c r="R170" s="80" t="str">
        <f>REPLACE(INDEX(GroupVertices[Group],MATCH(Edges[[#This Row],[Vertex 2]],GroupVertices[Vertex],0)),1,1,"")</f>
        <v>8</v>
      </c>
      <c r="S170" s="34"/>
      <c r="T170" s="34"/>
      <c r="U170" s="34"/>
      <c r="V170" s="34"/>
      <c r="W170" s="34"/>
      <c r="X170" s="34"/>
      <c r="Y170" s="34"/>
      <c r="Z170" s="34"/>
      <c r="AA170" s="34"/>
    </row>
    <row r="171" spans="1:27" ht="15">
      <c r="A171" s="66" t="s">
        <v>326</v>
      </c>
      <c r="B171" s="66" t="s">
        <v>494</v>
      </c>
      <c r="C171" s="67" t="s">
        <v>3495</v>
      </c>
      <c r="D171" s="68">
        <v>3</v>
      </c>
      <c r="E171" s="69"/>
      <c r="F171" s="70">
        <v>50</v>
      </c>
      <c r="G171" s="67"/>
      <c r="H171" s="71"/>
      <c r="I171" s="72"/>
      <c r="J171" s="72"/>
      <c r="K171" s="34" t="s">
        <v>65</v>
      </c>
      <c r="L171" s="79">
        <v>171</v>
      </c>
      <c r="M171" s="79"/>
      <c r="N171" s="74"/>
      <c r="O171" s="81" t="s">
        <v>653</v>
      </c>
      <c r="P171">
        <v>1</v>
      </c>
      <c r="Q171" s="80" t="str">
        <f>REPLACE(INDEX(GroupVertices[Group],MATCH(Edges[[#This Row],[Vertex 1]],GroupVertices[Vertex],0)),1,1,"")</f>
        <v>8</v>
      </c>
      <c r="R171" s="80" t="str">
        <f>REPLACE(INDEX(GroupVertices[Group],MATCH(Edges[[#This Row],[Vertex 2]],GroupVertices[Vertex],0)),1,1,"")</f>
        <v>8</v>
      </c>
      <c r="S171" s="34"/>
      <c r="T171" s="34"/>
      <c r="U171" s="34"/>
      <c r="V171" s="34"/>
      <c r="W171" s="34"/>
      <c r="X171" s="34"/>
      <c r="Y171" s="34"/>
      <c r="Z171" s="34"/>
      <c r="AA171" s="34"/>
    </row>
    <row r="172" spans="1:27" ht="15">
      <c r="A172" s="66" t="s">
        <v>326</v>
      </c>
      <c r="B172" s="66" t="s">
        <v>495</v>
      </c>
      <c r="C172" s="67" t="s">
        <v>3495</v>
      </c>
      <c r="D172" s="68">
        <v>3</v>
      </c>
      <c r="E172" s="69"/>
      <c r="F172" s="70">
        <v>50</v>
      </c>
      <c r="G172" s="67"/>
      <c r="H172" s="71"/>
      <c r="I172" s="72"/>
      <c r="J172" s="72"/>
      <c r="K172" s="34" t="s">
        <v>65</v>
      </c>
      <c r="L172" s="79">
        <v>172</v>
      </c>
      <c r="M172" s="79"/>
      <c r="N172" s="74"/>
      <c r="O172" s="81" t="s">
        <v>653</v>
      </c>
      <c r="P172">
        <v>1</v>
      </c>
      <c r="Q172" s="80" t="str">
        <f>REPLACE(INDEX(GroupVertices[Group],MATCH(Edges[[#This Row],[Vertex 1]],GroupVertices[Vertex],0)),1,1,"")</f>
        <v>8</v>
      </c>
      <c r="R172" s="80" t="str">
        <f>REPLACE(INDEX(GroupVertices[Group],MATCH(Edges[[#This Row],[Vertex 2]],GroupVertices[Vertex],0)),1,1,"")</f>
        <v>8</v>
      </c>
      <c r="S172" s="34"/>
      <c r="T172" s="34"/>
      <c r="U172" s="34"/>
      <c r="V172" s="34"/>
      <c r="W172" s="34"/>
      <c r="X172" s="34"/>
      <c r="Y172" s="34"/>
      <c r="Z172" s="34"/>
      <c r="AA172" s="34"/>
    </row>
    <row r="173" spans="1:27" ht="15">
      <c r="A173" s="66" t="s">
        <v>326</v>
      </c>
      <c r="B173" s="66" t="s">
        <v>496</v>
      </c>
      <c r="C173" s="67" t="s">
        <v>3495</v>
      </c>
      <c r="D173" s="68">
        <v>3</v>
      </c>
      <c r="E173" s="69"/>
      <c r="F173" s="70">
        <v>50</v>
      </c>
      <c r="G173" s="67"/>
      <c r="H173" s="71"/>
      <c r="I173" s="72"/>
      <c r="J173" s="72"/>
      <c r="K173" s="34" t="s">
        <v>65</v>
      </c>
      <c r="L173" s="79">
        <v>173</v>
      </c>
      <c r="M173" s="79"/>
      <c r="N173" s="74"/>
      <c r="O173" s="81" t="s">
        <v>653</v>
      </c>
      <c r="P173">
        <v>1</v>
      </c>
      <c r="Q173" s="80" t="str">
        <f>REPLACE(INDEX(GroupVertices[Group],MATCH(Edges[[#This Row],[Vertex 1]],GroupVertices[Vertex],0)),1,1,"")</f>
        <v>8</v>
      </c>
      <c r="R173" s="80" t="str">
        <f>REPLACE(INDEX(GroupVertices[Group],MATCH(Edges[[#This Row],[Vertex 2]],GroupVertices[Vertex],0)),1,1,"")</f>
        <v>8</v>
      </c>
      <c r="S173" s="34"/>
      <c r="T173" s="34"/>
      <c r="U173" s="34"/>
      <c r="V173" s="34"/>
      <c r="W173" s="34"/>
      <c r="X173" s="34"/>
      <c r="Y173" s="34"/>
      <c r="Z173" s="34"/>
      <c r="AA173" s="34"/>
    </row>
    <row r="174" spans="1:27" ht="15">
      <c r="A174" s="66" t="s">
        <v>326</v>
      </c>
      <c r="B174" s="66" t="s">
        <v>497</v>
      </c>
      <c r="C174" s="67" t="s">
        <v>3495</v>
      </c>
      <c r="D174" s="68">
        <v>3</v>
      </c>
      <c r="E174" s="69"/>
      <c r="F174" s="70">
        <v>50</v>
      </c>
      <c r="G174" s="67"/>
      <c r="H174" s="71"/>
      <c r="I174" s="72"/>
      <c r="J174" s="72"/>
      <c r="K174" s="34" t="s">
        <v>65</v>
      </c>
      <c r="L174" s="79">
        <v>174</v>
      </c>
      <c r="M174" s="79"/>
      <c r="N174" s="74"/>
      <c r="O174" s="81" t="s">
        <v>653</v>
      </c>
      <c r="P174">
        <v>1</v>
      </c>
      <c r="Q174" s="80" t="str">
        <f>REPLACE(INDEX(GroupVertices[Group],MATCH(Edges[[#This Row],[Vertex 1]],GroupVertices[Vertex],0)),1,1,"")</f>
        <v>8</v>
      </c>
      <c r="R174" s="80" t="str">
        <f>REPLACE(INDEX(GroupVertices[Group],MATCH(Edges[[#This Row],[Vertex 2]],GroupVertices[Vertex],0)),1,1,"")</f>
        <v>8</v>
      </c>
      <c r="S174" s="34"/>
      <c r="T174" s="34"/>
      <c r="U174" s="34"/>
      <c r="V174" s="34"/>
      <c r="W174" s="34"/>
      <c r="X174" s="34"/>
      <c r="Y174" s="34"/>
      <c r="Z174" s="34"/>
      <c r="AA174" s="34"/>
    </row>
    <row r="175" spans="1:27" ht="15">
      <c r="A175" s="66" t="s">
        <v>326</v>
      </c>
      <c r="B175" s="66" t="s">
        <v>498</v>
      </c>
      <c r="C175" s="67" t="s">
        <v>3495</v>
      </c>
      <c r="D175" s="68">
        <v>3</v>
      </c>
      <c r="E175" s="69"/>
      <c r="F175" s="70">
        <v>50</v>
      </c>
      <c r="G175" s="67"/>
      <c r="H175" s="71"/>
      <c r="I175" s="72"/>
      <c r="J175" s="72"/>
      <c r="K175" s="34" t="s">
        <v>65</v>
      </c>
      <c r="L175" s="79">
        <v>175</v>
      </c>
      <c r="M175" s="79"/>
      <c r="N175" s="74"/>
      <c r="O175" s="81" t="s">
        <v>653</v>
      </c>
      <c r="P175">
        <v>1</v>
      </c>
      <c r="Q175" s="80" t="str">
        <f>REPLACE(INDEX(GroupVertices[Group],MATCH(Edges[[#This Row],[Vertex 1]],GroupVertices[Vertex],0)),1,1,"")</f>
        <v>8</v>
      </c>
      <c r="R175" s="80" t="str">
        <f>REPLACE(INDEX(GroupVertices[Group],MATCH(Edges[[#This Row],[Vertex 2]],GroupVertices[Vertex],0)),1,1,"")</f>
        <v>8</v>
      </c>
      <c r="S175" s="34"/>
      <c r="T175" s="34"/>
      <c r="U175" s="34"/>
      <c r="V175" s="34"/>
      <c r="W175" s="34"/>
      <c r="X175" s="34"/>
      <c r="Y175" s="34"/>
      <c r="Z175" s="34"/>
      <c r="AA175" s="34"/>
    </row>
    <row r="176" spans="1:27" ht="15">
      <c r="A176" s="66" t="s">
        <v>326</v>
      </c>
      <c r="B176" s="66" t="s">
        <v>499</v>
      </c>
      <c r="C176" s="67" t="s">
        <v>3495</v>
      </c>
      <c r="D176" s="68">
        <v>3</v>
      </c>
      <c r="E176" s="69"/>
      <c r="F176" s="70">
        <v>50</v>
      </c>
      <c r="G176" s="67"/>
      <c r="H176" s="71"/>
      <c r="I176" s="72"/>
      <c r="J176" s="72"/>
      <c r="K176" s="34" t="s">
        <v>65</v>
      </c>
      <c r="L176" s="79">
        <v>176</v>
      </c>
      <c r="M176" s="79"/>
      <c r="N176" s="74"/>
      <c r="O176" s="81" t="s">
        <v>653</v>
      </c>
      <c r="P176">
        <v>1</v>
      </c>
      <c r="Q176" s="80" t="str">
        <f>REPLACE(INDEX(GroupVertices[Group],MATCH(Edges[[#This Row],[Vertex 1]],GroupVertices[Vertex],0)),1,1,"")</f>
        <v>8</v>
      </c>
      <c r="R176" s="80" t="str">
        <f>REPLACE(INDEX(GroupVertices[Group],MATCH(Edges[[#This Row],[Vertex 2]],GroupVertices[Vertex],0)),1,1,"")</f>
        <v>8</v>
      </c>
      <c r="S176" s="34"/>
      <c r="T176" s="34"/>
      <c r="U176" s="34"/>
      <c r="V176" s="34"/>
      <c r="W176" s="34"/>
      <c r="X176" s="34"/>
      <c r="Y176" s="34"/>
      <c r="Z176" s="34"/>
      <c r="AA176" s="34"/>
    </row>
    <row r="177" spans="1:27" ht="15">
      <c r="A177" s="66" t="s">
        <v>326</v>
      </c>
      <c r="B177" s="66" t="s">
        <v>500</v>
      </c>
      <c r="C177" s="67" t="s">
        <v>3495</v>
      </c>
      <c r="D177" s="68">
        <v>3</v>
      </c>
      <c r="E177" s="69"/>
      <c r="F177" s="70">
        <v>50</v>
      </c>
      <c r="G177" s="67"/>
      <c r="H177" s="71"/>
      <c r="I177" s="72"/>
      <c r="J177" s="72"/>
      <c r="K177" s="34" t="s">
        <v>65</v>
      </c>
      <c r="L177" s="79">
        <v>177</v>
      </c>
      <c r="M177" s="79"/>
      <c r="N177" s="74"/>
      <c r="O177" s="81" t="s">
        <v>653</v>
      </c>
      <c r="P177">
        <v>1</v>
      </c>
      <c r="Q177" s="80" t="str">
        <f>REPLACE(INDEX(GroupVertices[Group],MATCH(Edges[[#This Row],[Vertex 1]],GroupVertices[Vertex],0)),1,1,"")</f>
        <v>8</v>
      </c>
      <c r="R177" s="80" t="str">
        <f>REPLACE(INDEX(GroupVertices[Group],MATCH(Edges[[#This Row],[Vertex 2]],GroupVertices[Vertex],0)),1,1,"")</f>
        <v>8</v>
      </c>
      <c r="S177" s="34"/>
      <c r="T177" s="34"/>
      <c r="U177" s="34"/>
      <c r="V177" s="34"/>
      <c r="W177" s="34"/>
      <c r="X177" s="34"/>
      <c r="Y177" s="34"/>
      <c r="Z177" s="34"/>
      <c r="AA177" s="34"/>
    </row>
    <row r="178" spans="1:27" ht="15">
      <c r="A178" s="66" t="s">
        <v>326</v>
      </c>
      <c r="B178" s="66" t="s">
        <v>501</v>
      </c>
      <c r="C178" s="67" t="s">
        <v>3495</v>
      </c>
      <c r="D178" s="68">
        <v>3</v>
      </c>
      <c r="E178" s="69"/>
      <c r="F178" s="70">
        <v>50</v>
      </c>
      <c r="G178" s="67"/>
      <c r="H178" s="71"/>
      <c r="I178" s="72"/>
      <c r="J178" s="72"/>
      <c r="K178" s="34" t="s">
        <v>65</v>
      </c>
      <c r="L178" s="79">
        <v>178</v>
      </c>
      <c r="M178" s="79"/>
      <c r="N178" s="74"/>
      <c r="O178" s="81" t="s">
        <v>653</v>
      </c>
      <c r="P178">
        <v>1</v>
      </c>
      <c r="Q178" s="80" t="str">
        <f>REPLACE(INDEX(GroupVertices[Group],MATCH(Edges[[#This Row],[Vertex 1]],GroupVertices[Vertex],0)),1,1,"")</f>
        <v>8</v>
      </c>
      <c r="R178" s="80" t="str">
        <f>REPLACE(INDEX(GroupVertices[Group],MATCH(Edges[[#This Row],[Vertex 2]],GroupVertices[Vertex],0)),1,1,"")</f>
        <v>8</v>
      </c>
      <c r="S178" s="34"/>
      <c r="T178" s="34"/>
      <c r="U178" s="34"/>
      <c r="V178" s="34"/>
      <c r="W178" s="34"/>
      <c r="X178" s="34"/>
      <c r="Y178" s="34"/>
      <c r="Z178" s="34"/>
      <c r="AA178" s="34"/>
    </row>
    <row r="179" spans="1:27" ht="15">
      <c r="A179" s="66" t="s">
        <v>326</v>
      </c>
      <c r="B179" s="66" t="s">
        <v>502</v>
      </c>
      <c r="C179" s="67" t="s">
        <v>3495</v>
      </c>
      <c r="D179" s="68">
        <v>3</v>
      </c>
      <c r="E179" s="69"/>
      <c r="F179" s="70">
        <v>50</v>
      </c>
      <c r="G179" s="67"/>
      <c r="H179" s="71"/>
      <c r="I179" s="72"/>
      <c r="J179" s="72"/>
      <c r="K179" s="34" t="s">
        <v>65</v>
      </c>
      <c r="L179" s="79">
        <v>179</v>
      </c>
      <c r="M179" s="79"/>
      <c r="N179" s="74"/>
      <c r="O179" s="81" t="s">
        <v>653</v>
      </c>
      <c r="P179">
        <v>1</v>
      </c>
      <c r="Q179" s="80" t="str">
        <f>REPLACE(INDEX(GroupVertices[Group],MATCH(Edges[[#This Row],[Vertex 1]],GroupVertices[Vertex],0)),1,1,"")</f>
        <v>8</v>
      </c>
      <c r="R179" s="80" t="str">
        <f>REPLACE(INDEX(GroupVertices[Group],MATCH(Edges[[#This Row],[Vertex 2]],GroupVertices[Vertex],0)),1,1,"")</f>
        <v>8</v>
      </c>
      <c r="S179" s="34"/>
      <c r="T179" s="34"/>
      <c r="U179" s="34"/>
      <c r="V179" s="34"/>
      <c r="W179" s="34"/>
      <c r="X179" s="34"/>
      <c r="Y179" s="34"/>
      <c r="Z179" s="34"/>
      <c r="AA179" s="34"/>
    </row>
    <row r="180" spans="1:27" ht="15">
      <c r="A180" s="66" t="s">
        <v>326</v>
      </c>
      <c r="B180" s="66" t="s">
        <v>411</v>
      </c>
      <c r="C180" s="67" t="s">
        <v>3495</v>
      </c>
      <c r="D180" s="68">
        <v>3</v>
      </c>
      <c r="E180" s="69"/>
      <c r="F180" s="70">
        <v>50</v>
      </c>
      <c r="G180" s="67"/>
      <c r="H180" s="71"/>
      <c r="I180" s="72"/>
      <c r="J180" s="72"/>
      <c r="K180" s="34" t="s">
        <v>65</v>
      </c>
      <c r="L180" s="79">
        <v>180</v>
      </c>
      <c r="M180" s="79"/>
      <c r="N180" s="74"/>
      <c r="O180" s="81" t="s">
        <v>653</v>
      </c>
      <c r="P180">
        <v>1</v>
      </c>
      <c r="Q180" s="80" t="str">
        <f>REPLACE(INDEX(GroupVertices[Group],MATCH(Edges[[#This Row],[Vertex 1]],GroupVertices[Vertex],0)),1,1,"")</f>
        <v>8</v>
      </c>
      <c r="R180" s="80" t="str">
        <f>REPLACE(INDEX(GroupVertices[Group],MATCH(Edges[[#This Row],[Vertex 2]],GroupVertices[Vertex],0)),1,1,"")</f>
        <v>8</v>
      </c>
      <c r="S180" s="34"/>
      <c r="T180" s="34"/>
      <c r="U180" s="34"/>
      <c r="V180" s="34"/>
      <c r="W180" s="34"/>
      <c r="X180" s="34"/>
      <c r="Y180" s="34"/>
      <c r="Z180" s="34"/>
      <c r="AA180" s="34"/>
    </row>
    <row r="181" spans="1:27" ht="15">
      <c r="A181" s="66" t="s">
        <v>325</v>
      </c>
      <c r="B181" s="66" t="s">
        <v>503</v>
      </c>
      <c r="C181" s="67" t="s">
        <v>3495</v>
      </c>
      <c r="D181" s="68">
        <v>3</v>
      </c>
      <c r="E181" s="69"/>
      <c r="F181" s="70">
        <v>50</v>
      </c>
      <c r="G181" s="67"/>
      <c r="H181" s="71"/>
      <c r="I181" s="72"/>
      <c r="J181" s="72"/>
      <c r="K181" s="34" t="s">
        <v>65</v>
      </c>
      <c r="L181" s="79">
        <v>181</v>
      </c>
      <c r="M181" s="79"/>
      <c r="N181" s="74"/>
      <c r="O181" s="81" t="s">
        <v>653</v>
      </c>
      <c r="P181">
        <v>1</v>
      </c>
      <c r="Q181" s="80" t="str">
        <f>REPLACE(INDEX(GroupVertices[Group],MATCH(Edges[[#This Row],[Vertex 1]],GroupVertices[Vertex],0)),1,1,"")</f>
        <v>1</v>
      </c>
      <c r="R181" s="80" t="str">
        <f>REPLACE(INDEX(GroupVertices[Group],MATCH(Edges[[#This Row],[Vertex 2]],GroupVertices[Vertex],0)),1,1,"")</f>
        <v>8</v>
      </c>
      <c r="S181" s="34"/>
      <c r="T181" s="34"/>
      <c r="U181" s="34"/>
      <c r="V181" s="34"/>
      <c r="W181" s="34"/>
      <c r="X181" s="34"/>
      <c r="Y181" s="34"/>
      <c r="Z181" s="34"/>
      <c r="AA181" s="34"/>
    </row>
    <row r="182" spans="1:27" ht="15">
      <c r="A182" s="66" t="s">
        <v>326</v>
      </c>
      <c r="B182" s="66" t="s">
        <v>503</v>
      </c>
      <c r="C182" s="67" t="s">
        <v>3495</v>
      </c>
      <c r="D182" s="68">
        <v>3</v>
      </c>
      <c r="E182" s="69"/>
      <c r="F182" s="70">
        <v>50</v>
      </c>
      <c r="G182" s="67"/>
      <c r="H182" s="71"/>
      <c r="I182" s="72"/>
      <c r="J182" s="72"/>
      <c r="K182" s="34" t="s">
        <v>65</v>
      </c>
      <c r="L182" s="79">
        <v>182</v>
      </c>
      <c r="M182" s="79"/>
      <c r="N182" s="74"/>
      <c r="O182" s="81" t="s">
        <v>653</v>
      </c>
      <c r="P182">
        <v>1</v>
      </c>
      <c r="Q182" s="80" t="str">
        <f>REPLACE(INDEX(GroupVertices[Group],MATCH(Edges[[#This Row],[Vertex 1]],GroupVertices[Vertex],0)),1,1,"")</f>
        <v>8</v>
      </c>
      <c r="R182" s="80" t="str">
        <f>REPLACE(INDEX(GroupVertices[Group],MATCH(Edges[[#This Row],[Vertex 2]],GroupVertices[Vertex],0)),1,1,"")</f>
        <v>8</v>
      </c>
      <c r="S182" s="34"/>
      <c r="T182" s="34"/>
      <c r="U182" s="34"/>
      <c r="V182" s="34"/>
      <c r="W182" s="34"/>
      <c r="X182" s="34"/>
      <c r="Y182" s="34"/>
      <c r="Z182" s="34"/>
      <c r="AA182" s="34"/>
    </row>
    <row r="183" spans="1:27" ht="15">
      <c r="A183" s="66" t="s">
        <v>326</v>
      </c>
      <c r="B183" s="66" t="s">
        <v>504</v>
      </c>
      <c r="C183" s="67" t="s">
        <v>3495</v>
      </c>
      <c r="D183" s="68">
        <v>3</v>
      </c>
      <c r="E183" s="69"/>
      <c r="F183" s="70">
        <v>50</v>
      </c>
      <c r="G183" s="67"/>
      <c r="H183" s="71"/>
      <c r="I183" s="72"/>
      <c r="J183" s="72"/>
      <c r="K183" s="34" t="s">
        <v>65</v>
      </c>
      <c r="L183" s="79">
        <v>183</v>
      </c>
      <c r="M183" s="79"/>
      <c r="N183" s="74"/>
      <c r="O183" s="81" t="s">
        <v>653</v>
      </c>
      <c r="P183">
        <v>1</v>
      </c>
      <c r="Q183" s="80" t="str">
        <f>REPLACE(INDEX(GroupVertices[Group],MATCH(Edges[[#This Row],[Vertex 1]],GroupVertices[Vertex],0)),1,1,"")</f>
        <v>8</v>
      </c>
      <c r="R183" s="80" t="str">
        <f>REPLACE(INDEX(GroupVertices[Group],MATCH(Edges[[#This Row],[Vertex 2]],GroupVertices[Vertex],0)),1,1,"")</f>
        <v>8</v>
      </c>
      <c r="S183" s="34"/>
      <c r="T183" s="34"/>
      <c r="U183" s="34"/>
      <c r="V183" s="34"/>
      <c r="W183" s="34"/>
      <c r="X183" s="34"/>
      <c r="Y183" s="34"/>
      <c r="Z183" s="34"/>
      <c r="AA183" s="34"/>
    </row>
    <row r="184" spans="1:27" ht="15">
      <c r="A184" s="66" t="s">
        <v>326</v>
      </c>
      <c r="B184" s="66" t="s">
        <v>414</v>
      </c>
      <c r="C184" s="67" t="s">
        <v>3495</v>
      </c>
      <c r="D184" s="68">
        <v>3</v>
      </c>
      <c r="E184" s="69"/>
      <c r="F184" s="70">
        <v>50</v>
      </c>
      <c r="G184" s="67"/>
      <c r="H184" s="71"/>
      <c r="I184" s="72"/>
      <c r="J184" s="72"/>
      <c r="K184" s="34" t="s">
        <v>65</v>
      </c>
      <c r="L184" s="79">
        <v>184</v>
      </c>
      <c r="M184" s="79"/>
      <c r="N184" s="74"/>
      <c r="O184" s="81" t="s">
        <v>653</v>
      </c>
      <c r="P184">
        <v>1</v>
      </c>
      <c r="Q184" s="80" t="str">
        <f>REPLACE(INDEX(GroupVertices[Group],MATCH(Edges[[#This Row],[Vertex 1]],GroupVertices[Vertex],0)),1,1,"")</f>
        <v>8</v>
      </c>
      <c r="R184" s="80" t="str">
        <f>REPLACE(INDEX(GroupVertices[Group],MATCH(Edges[[#This Row],[Vertex 2]],GroupVertices[Vertex],0)),1,1,"")</f>
        <v>8</v>
      </c>
      <c r="S184" s="34"/>
      <c r="T184" s="34"/>
      <c r="U184" s="34"/>
      <c r="V184" s="34"/>
      <c r="W184" s="34"/>
      <c r="X184" s="34"/>
      <c r="Y184" s="34"/>
      <c r="Z184" s="34"/>
      <c r="AA184" s="34"/>
    </row>
    <row r="185" spans="1:27" ht="15">
      <c r="A185" s="66" t="s">
        <v>326</v>
      </c>
      <c r="B185" s="66" t="s">
        <v>505</v>
      </c>
      <c r="C185" s="67" t="s">
        <v>3495</v>
      </c>
      <c r="D185" s="68">
        <v>3</v>
      </c>
      <c r="E185" s="69"/>
      <c r="F185" s="70">
        <v>50</v>
      </c>
      <c r="G185" s="67"/>
      <c r="H185" s="71"/>
      <c r="I185" s="72"/>
      <c r="J185" s="72"/>
      <c r="K185" s="34" t="s">
        <v>65</v>
      </c>
      <c r="L185" s="79">
        <v>185</v>
      </c>
      <c r="M185" s="79"/>
      <c r="N185" s="74"/>
      <c r="O185" s="81" t="s">
        <v>653</v>
      </c>
      <c r="P185">
        <v>1</v>
      </c>
      <c r="Q185" s="80" t="str">
        <f>REPLACE(INDEX(GroupVertices[Group],MATCH(Edges[[#This Row],[Vertex 1]],GroupVertices[Vertex],0)),1,1,"")</f>
        <v>8</v>
      </c>
      <c r="R185" s="80" t="str">
        <f>REPLACE(INDEX(GroupVertices[Group],MATCH(Edges[[#This Row],[Vertex 2]],GroupVertices[Vertex],0)),1,1,"")</f>
        <v>8</v>
      </c>
      <c r="S185" s="34"/>
      <c r="T185" s="34"/>
      <c r="U185" s="34"/>
      <c r="V185" s="34"/>
      <c r="W185" s="34"/>
      <c r="X185" s="34"/>
      <c r="Y185" s="34"/>
      <c r="Z185" s="34"/>
      <c r="AA185" s="34"/>
    </row>
    <row r="186" spans="1:27" ht="15">
      <c r="A186" s="66" t="s">
        <v>326</v>
      </c>
      <c r="B186" s="66" t="s">
        <v>506</v>
      </c>
      <c r="C186" s="67" t="s">
        <v>3495</v>
      </c>
      <c r="D186" s="68">
        <v>3</v>
      </c>
      <c r="E186" s="69"/>
      <c r="F186" s="70">
        <v>50</v>
      </c>
      <c r="G186" s="67"/>
      <c r="H186" s="71"/>
      <c r="I186" s="72"/>
      <c r="J186" s="72"/>
      <c r="K186" s="34" t="s">
        <v>65</v>
      </c>
      <c r="L186" s="79">
        <v>186</v>
      </c>
      <c r="M186" s="79"/>
      <c r="N186" s="74"/>
      <c r="O186" s="81" t="s">
        <v>653</v>
      </c>
      <c r="P186">
        <v>1</v>
      </c>
      <c r="Q186" s="80" t="str">
        <f>REPLACE(INDEX(GroupVertices[Group],MATCH(Edges[[#This Row],[Vertex 1]],GroupVertices[Vertex],0)),1,1,"")</f>
        <v>8</v>
      </c>
      <c r="R186" s="80" t="str">
        <f>REPLACE(INDEX(GroupVertices[Group],MATCH(Edges[[#This Row],[Vertex 2]],GroupVertices[Vertex],0)),1,1,"")</f>
        <v>8</v>
      </c>
      <c r="S186" s="34"/>
      <c r="T186" s="34"/>
      <c r="U186" s="34"/>
      <c r="V186" s="34"/>
      <c r="W186" s="34"/>
      <c r="X186" s="34"/>
      <c r="Y186" s="34"/>
      <c r="Z186" s="34"/>
      <c r="AA186" s="34"/>
    </row>
    <row r="187" spans="1:27" ht="15">
      <c r="A187" s="66" t="s">
        <v>326</v>
      </c>
      <c r="B187" s="66" t="s">
        <v>507</v>
      </c>
      <c r="C187" s="67" t="s">
        <v>3495</v>
      </c>
      <c r="D187" s="68">
        <v>3</v>
      </c>
      <c r="E187" s="69"/>
      <c r="F187" s="70">
        <v>50</v>
      </c>
      <c r="G187" s="67"/>
      <c r="H187" s="71"/>
      <c r="I187" s="72"/>
      <c r="J187" s="72"/>
      <c r="K187" s="34" t="s">
        <v>65</v>
      </c>
      <c r="L187" s="79">
        <v>187</v>
      </c>
      <c r="M187" s="79"/>
      <c r="N187" s="74"/>
      <c r="O187" s="81" t="s">
        <v>653</v>
      </c>
      <c r="P187">
        <v>1</v>
      </c>
      <c r="Q187" s="80" t="str">
        <f>REPLACE(INDEX(GroupVertices[Group],MATCH(Edges[[#This Row],[Vertex 1]],GroupVertices[Vertex],0)),1,1,"")</f>
        <v>8</v>
      </c>
      <c r="R187" s="80" t="str">
        <f>REPLACE(INDEX(GroupVertices[Group],MATCH(Edges[[#This Row],[Vertex 2]],GroupVertices[Vertex],0)),1,1,"")</f>
        <v>8</v>
      </c>
      <c r="S187" s="34"/>
      <c r="T187" s="34"/>
      <c r="U187" s="34"/>
      <c r="V187" s="34"/>
      <c r="W187" s="34"/>
      <c r="X187" s="34"/>
      <c r="Y187" s="34"/>
      <c r="Z187" s="34"/>
      <c r="AA187" s="34"/>
    </row>
    <row r="188" spans="1:27" ht="15">
      <c r="A188" s="66" t="s">
        <v>326</v>
      </c>
      <c r="B188" s="66" t="s">
        <v>508</v>
      </c>
      <c r="C188" s="67" t="s">
        <v>3495</v>
      </c>
      <c r="D188" s="68">
        <v>3</v>
      </c>
      <c r="E188" s="69"/>
      <c r="F188" s="70">
        <v>50</v>
      </c>
      <c r="G188" s="67"/>
      <c r="H188" s="71"/>
      <c r="I188" s="72"/>
      <c r="J188" s="72"/>
      <c r="K188" s="34" t="s">
        <v>65</v>
      </c>
      <c r="L188" s="79">
        <v>188</v>
      </c>
      <c r="M188" s="79"/>
      <c r="N188" s="74"/>
      <c r="O188" s="81" t="s">
        <v>653</v>
      </c>
      <c r="P188">
        <v>1</v>
      </c>
      <c r="Q188" s="80" t="str">
        <f>REPLACE(INDEX(GroupVertices[Group],MATCH(Edges[[#This Row],[Vertex 1]],GroupVertices[Vertex],0)),1,1,"")</f>
        <v>8</v>
      </c>
      <c r="R188" s="80" t="str">
        <f>REPLACE(INDEX(GroupVertices[Group],MATCH(Edges[[#This Row],[Vertex 2]],GroupVertices[Vertex],0)),1,1,"")</f>
        <v>8</v>
      </c>
      <c r="S188" s="34"/>
      <c r="T188" s="34"/>
      <c r="U188" s="34"/>
      <c r="V188" s="34"/>
      <c r="W188" s="34"/>
      <c r="X188" s="34"/>
      <c r="Y188" s="34"/>
      <c r="Z188" s="34"/>
      <c r="AA188" s="34"/>
    </row>
    <row r="189" spans="1:27" ht="15">
      <c r="A189" s="66" t="s">
        <v>325</v>
      </c>
      <c r="B189" s="66" t="s">
        <v>509</v>
      </c>
      <c r="C189" s="67" t="s">
        <v>3495</v>
      </c>
      <c r="D189" s="68">
        <v>3</v>
      </c>
      <c r="E189" s="69"/>
      <c r="F189" s="70">
        <v>50</v>
      </c>
      <c r="G189" s="67"/>
      <c r="H189" s="71"/>
      <c r="I189" s="72"/>
      <c r="J189" s="72"/>
      <c r="K189" s="34" t="s">
        <v>65</v>
      </c>
      <c r="L189" s="79">
        <v>189</v>
      </c>
      <c r="M189" s="79"/>
      <c r="N189" s="74"/>
      <c r="O189" s="81" t="s">
        <v>653</v>
      </c>
      <c r="P189">
        <v>1</v>
      </c>
      <c r="Q189" s="80" t="str">
        <f>REPLACE(INDEX(GroupVertices[Group],MATCH(Edges[[#This Row],[Vertex 1]],GroupVertices[Vertex],0)),1,1,"")</f>
        <v>1</v>
      </c>
      <c r="R189" s="80" t="str">
        <f>REPLACE(INDEX(GroupVertices[Group],MATCH(Edges[[#This Row],[Vertex 2]],GroupVertices[Vertex],0)),1,1,"")</f>
        <v>8</v>
      </c>
      <c r="S189" s="34"/>
      <c r="T189" s="34"/>
      <c r="U189" s="34"/>
      <c r="V189" s="34"/>
      <c r="W189" s="34"/>
      <c r="X189" s="34"/>
      <c r="Y189" s="34"/>
      <c r="Z189" s="34"/>
      <c r="AA189" s="34"/>
    </row>
    <row r="190" spans="1:27" ht="15">
      <c r="A190" s="66" t="s">
        <v>326</v>
      </c>
      <c r="B190" s="66" t="s">
        <v>509</v>
      </c>
      <c r="C190" s="67" t="s">
        <v>3495</v>
      </c>
      <c r="D190" s="68">
        <v>3</v>
      </c>
      <c r="E190" s="69"/>
      <c r="F190" s="70">
        <v>50</v>
      </c>
      <c r="G190" s="67"/>
      <c r="H190" s="71"/>
      <c r="I190" s="72"/>
      <c r="J190" s="72"/>
      <c r="K190" s="34" t="s">
        <v>65</v>
      </c>
      <c r="L190" s="79">
        <v>190</v>
      </c>
      <c r="M190" s="79"/>
      <c r="N190" s="74"/>
      <c r="O190" s="81" t="s">
        <v>653</v>
      </c>
      <c r="P190">
        <v>1</v>
      </c>
      <c r="Q190" s="80" t="str">
        <f>REPLACE(INDEX(GroupVertices[Group],MATCH(Edges[[#This Row],[Vertex 1]],GroupVertices[Vertex],0)),1,1,"")</f>
        <v>8</v>
      </c>
      <c r="R190" s="80" t="str">
        <f>REPLACE(INDEX(GroupVertices[Group],MATCH(Edges[[#This Row],[Vertex 2]],GroupVertices[Vertex],0)),1,1,"")</f>
        <v>8</v>
      </c>
      <c r="S190" s="34"/>
      <c r="T190" s="34"/>
      <c r="U190" s="34"/>
      <c r="V190" s="34"/>
      <c r="W190" s="34"/>
      <c r="X190" s="34"/>
      <c r="Y190" s="34"/>
      <c r="Z190" s="34"/>
      <c r="AA190" s="34"/>
    </row>
    <row r="191" spans="1:27" ht="15">
      <c r="A191" s="66" t="s">
        <v>326</v>
      </c>
      <c r="B191" s="66" t="s">
        <v>510</v>
      </c>
      <c r="C191" s="67" t="s">
        <v>3495</v>
      </c>
      <c r="D191" s="68">
        <v>3</v>
      </c>
      <c r="E191" s="69"/>
      <c r="F191" s="70">
        <v>50</v>
      </c>
      <c r="G191" s="67"/>
      <c r="H191" s="71"/>
      <c r="I191" s="72"/>
      <c r="J191" s="72"/>
      <c r="K191" s="34" t="s">
        <v>65</v>
      </c>
      <c r="L191" s="79">
        <v>191</v>
      </c>
      <c r="M191" s="79"/>
      <c r="N191" s="74"/>
      <c r="O191" s="81" t="s">
        <v>653</v>
      </c>
      <c r="P191">
        <v>1</v>
      </c>
      <c r="Q191" s="80" t="str">
        <f>REPLACE(INDEX(GroupVertices[Group],MATCH(Edges[[#This Row],[Vertex 1]],GroupVertices[Vertex],0)),1,1,"")</f>
        <v>8</v>
      </c>
      <c r="R191" s="80" t="str">
        <f>REPLACE(INDEX(GroupVertices[Group],MATCH(Edges[[#This Row],[Vertex 2]],GroupVertices[Vertex],0)),1,1,"")</f>
        <v>8</v>
      </c>
      <c r="S191" s="34"/>
      <c r="T191" s="34"/>
      <c r="U191" s="34"/>
      <c r="V191" s="34"/>
      <c r="W191" s="34"/>
      <c r="X191" s="34"/>
      <c r="Y191" s="34"/>
      <c r="Z191" s="34"/>
      <c r="AA191" s="34"/>
    </row>
    <row r="192" spans="1:27" ht="15">
      <c r="A192" s="66" t="s">
        <v>327</v>
      </c>
      <c r="B192" s="66" t="s">
        <v>511</v>
      </c>
      <c r="C192" s="67" t="s">
        <v>3495</v>
      </c>
      <c r="D192" s="68">
        <v>3</v>
      </c>
      <c r="E192" s="69"/>
      <c r="F192" s="70">
        <v>50</v>
      </c>
      <c r="G192" s="67"/>
      <c r="H192" s="71"/>
      <c r="I192" s="72"/>
      <c r="J192" s="72"/>
      <c r="K192" s="34" t="s">
        <v>65</v>
      </c>
      <c r="L192" s="79">
        <v>192</v>
      </c>
      <c r="M192" s="79"/>
      <c r="N192" s="74"/>
      <c r="O192" s="81" t="s">
        <v>653</v>
      </c>
      <c r="P192">
        <v>1</v>
      </c>
      <c r="Q192" s="80" t="str">
        <f>REPLACE(INDEX(GroupVertices[Group],MATCH(Edges[[#This Row],[Vertex 1]],GroupVertices[Vertex],0)),1,1,"")</f>
        <v>7</v>
      </c>
      <c r="R192" s="80" t="str">
        <f>REPLACE(INDEX(GroupVertices[Group],MATCH(Edges[[#This Row],[Vertex 2]],GroupVertices[Vertex],0)),1,1,"")</f>
        <v>7</v>
      </c>
      <c r="S192" s="34"/>
      <c r="T192" s="34"/>
      <c r="U192" s="34"/>
      <c r="V192" s="34"/>
      <c r="W192" s="34"/>
      <c r="X192" s="34"/>
      <c r="Y192" s="34"/>
      <c r="Z192" s="34"/>
      <c r="AA192" s="34"/>
    </row>
    <row r="193" spans="1:27" ht="15">
      <c r="A193" s="66" t="s">
        <v>327</v>
      </c>
      <c r="B193" s="66" t="s">
        <v>512</v>
      </c>
      <c r="C193" s="67" t="s">
        <v>3495</v>
      </c>
      <c r="D193" s="68">
        <v>3</v>
      </c>
      <c r="E193" s="69"/>
      <c r="F193" s="70">
        <v>50</v>
      </c>
      <c r="G193" s="67"/>
      <c r="H193" s="71"/>
      <c r="I193" s="72"/>
      <c r="J193" s="72"/>
      <c r="K193" s="34" t="s">
        <v>65</v>
      </c>
      <c r="L193" s="79">
        <v>193</v>
      </c>
      <c r="M193" s="79"/>
      <c r="N193" s="74"/>
      <c r="O193" s="81" t="s">
        <v>653</v>
      </c>
      <c r="P193">
        <v>1</v>
      </c>
      <c r="Q193" s="80" t="str">
        <f>REPLACE(INDEX(GroupVertices[Group],MATCH(Edges[[#This Row],[Vertex 1]],GroupVertices[Vertex],0)),1,1,"")</f>
        <v>7</v>
      </c>
      <c r="R193" s="80" t="str">
        <f>REPLACE(INDEX(GroupVertices[Group],MATCH(Edges[[#This Row],[Vertex 2]],GroupVertices[Vertex],0)),1,1,"")</f>
        <v>7</v>
      </c>
      <c r="S193" s="34"/>
      <c r="T193" s="34"/>
      <c r="U193" s="34"/>
      <c r="V193" s="34"/>
      <c r="W193" s="34"/>
      <c r="X193" s="34"/>
      <c r="Y193" s="34"/>
      <c r="Z193" s="34"/>
      <c r="AA193" s="34"/>
    </row>
    <row r="194" spans="1:27" ht="15">
      <c r="A194" s="66" t="s">
        <v>327</v>
      </c>
      <c r="B194" s="66" t="s">
        <v>513</v>
      </c>
      <c r="C194" s="67" t="s">
        <v>3495</v>
      </c>
      <c r="D194" s="68">
        <v>3</v>
      </c>
      <c r="E194" s="69"/>
      <c r="F194" s="70">
        <v>50</v>
      </c>
      <c r="G194" s="67"/>
      <c r="H194" s="71"/>
      <c r="I194" s="72"/>
      <c r="J194" s="72"/>
      <c r="K194" s="34" t="s">
        <v>65</v>
      </c>
      <c r="L194" s="79">
        <v>194</v>
      </c>
      <c r="M194" s="79"/>
      <c r="N194" s="74"/>
      <c r="O194" s="81" t="s">
        <v>653</v>
      </c>
      <c r="P194">
        <v>1</v>
      </c>
      <c r="Q194" s="80" t="str">
        <f>REPLACE(INDEX(GroupVertices[Group],MATCH(Edges[[#This Row],[Vertex 1]],GroupVertices[Vertex],0)),1,1,"")</f>
        <v>7</v>
      </c>
      <c r="R194" s="80" t="str">
        <f>REPLACE(INDEX(GroupVertices[Group],MATCH(Edges[[#This Row],[Vertex 2]],GroupVertices[Vertex],0)),1,1,"")</f>
        <v>7</v>
      </c>
      <c r="S194" s="34"/>
      <c r="T194" s="34"/>
      <c r="U194" s="34"/>
      <c r="V194" s="34"/>
      <c r="W194" s="34"/>
      <c r="X194" s="34"/>
      <c r="Y194" s="34"/>
      <c r="Z194" s="34"/>
      <c r="AA194" s="34"/>
    </row>
    <row r="195" spans="1:27" ht="15">
      <c r="A195" s="66" t="s">
        <v>327</v>
      </c>
      <c r="B195" s="66" t="s">
        <v>514</v>
      </c>
      <c r="C195" s="67" t="s">
        <v>3495</v>
      </c>
      <c r="D195" s="68">
        <v>3</v>
      </c>
      <c r="E195" s="69"/>
      <c r="F195" s="70">
        <v>50</v>
      </c>
      <c r="G195" s="67"/>
      <c r="H195" s="71"/>
      <c r="I195" s="72"/>
      <c r="J195" s="72"/>
      <c r="K195" s="34" t="s">
        <v>65</v>
      </c>
      <c r="L195" s="79">
        <v>195</v>
      </c>
      <c r="M195" s="79"/>
      <c r="N195" s="74"/>
      <c r="O195" s="81" t="s">
        <v>653</v>
      </c>
      <c r="P195">
        <v>1</v>
      </c>
      <c r="Q195" s="80" t="str">
        <f>REPLACE(INDEX(GroupVertices[Group],MATCH(Edges[[#This Row],[Vertex 1]],GroupVertices[Vertex],0)),1,1,"")</f>
        <v>7</v>
      </c>
      <c r="R195" s="80" t="str">
        <f>REPLACE(INDEX(GroupVertices[Group],MATCH(Edges[[#This Row],[Vertex 2]],GroupVertices[Vertex],0)),1,1,"")</f>
        <v>7</v>
      </c>
      <c r="S195" s="34"/>
      <c r="T195" s="34"/>
      <c r="U195" s="34"/>
      <c r="V195" s="34"/>
      <c r="W195" s="34"/>
      <c r="X195" s="34"/>
      <c r="Y195" s="34"/>
      <c r="Z195" s="34"/>
      <c r="AA195" s="34"/>
    </row>
    <row r="196" spans="1:27" ht="15">
      <c r="A196" s="66" t="s">
        <v>322</v>
      </c>
      <c r="B196" s="66" t="s">
        <v>515</v>
      </c>
      <c r="C196" s="67" t="s">
        <v>3495</v>
      </c>
      <c r="D196" s="68">
        <v>3</v>
      </c>
      <c r="E196" s="69"/>
      <c r="F196" s="70">
        <v>50</v>
      </c>
      <c r="G196" s="67"/>
      <c r="H196" s="71"/>
      <c r="I196" s="72"/>
      <c r="J196" s="72"/>
      <c r="K196" s="34" t="s">
        <v>65</v>
      </c>
      <c r="L196" s="79">
        <v>196</v>
      </c>
      <c r="M196" s="79"/>
      <c r="N196" s="74"/>
      <c r="O196" s="81" t="s">
        <v>653</v>
      </c>
      <c r="P196">
        <v>1</v>
      </c>
      <c r="Q196" s="80" t="str">
        <f>REPLACE(INDEX(GroupVertices[Group],MATCH(Edges[[#This Row],[Vertex 1]],GroupVertices[Vertex],0)),1,1,"")</f>
        <v>3</v>
      </c>
      <c r="R196" s="80" t="str">
        <f>REPLACE(INDEX(GroupVertices[Group],MATCH(Edges[[#This Row],[Vertex 2]],GroupVertices[Vertex],0)),1,1,"")</f>
        <v>7</v>
      </c>
      <c r="S196" s="34"/>
      <c r="T196" s="34"/>
      <c r="U196" s="34"/>
      <c r="V196" s="34"/>
      <c r="W196" s="34"/>
      <c r="X196" s="34"/>
      <c r="Y196" s="34"/>
      <c r="Z196" s="34"/>
      <c r="AA196" s="34"/>
    </row>
    <row r="197" spans="1:27" ht="15">
      <c r="A197" s="66" t="s">
        <v>327</v>
      </c>
      <c r="B197" s="66" t="s">
        <v>515</v>
      </c>
      <c r="C197" s="67" t="s">
        <v>3495</v>
      </c>
      <c r="D197" s="68">
        <v>3</v>
      </c>
      <c r="E197" s="69"/>
      <c r="F197" s="70">
        <v>50</v>
      </c>
      <c r="G197" s="67"/>
      <c r="H197" s="71"/>
      <c r="I197" s="72"/>
      <c r="J197" s="72"/>
      <c r="K197" s="34" t="s">
        <v>65</v>
      </c>
      <c r="L197" s="79">
        <v>197</v>
      </c>
      <c r="M197" s="79"/>
      <c r="N197" s="74"/>
      <c r="O197" s="81" t="s">
        <v>653</v>
      </c>
      <c r="P197">
        <v>1</v>
      </c>
      <c r="Q197" s="80" t="str">
        <f>REPLACE(INDEX(GroupVertices[Group],MATCH(Edges[[#This Row],[Vertex 1]],GroupVertices[Vertex],0)),1,1,"")</f>
        <v>7</v>
      </c>
      <c r="R197" s="80" t="str">
        <f>REPLACE(INDEX(GroupVertices[Group],MATCH(Edges[[#This Row],[Vertex 2]],GroupVertices[Vertex],0)),1,1,"")</f>
        <v>7</v>
      </c>
      <c r="S197" s="34"/>
      <c r="T197" s="34"/>
      <c r="U197" s="34"/>
      <c r="V197" s="34"/>
      <c r="W197" s="34"/>
      <c r="X197" s="34"/>
      <c r="Y197" s="34"/>
      <c r="Z197" s="34"/>
      <c r="AA197" s="34"/>
    </row>
    <row r="198" spans="1:27" ht="15">
      <c r="A198" s="66" t="s">
        <v>327</v>
      </c>
      <c r="B198" s="66" t="s">
        <v>516</v>
      </c>
      <c r="C198" s="67" t="s">
        <v>3495</v>
      </c>
      <c r="D198" s="68">
        <v>3</v>
      </c>
      <c r="E198" s="69"/>
      <c r="F198" s="70">
        <v>50</v>
      </c>
      <c r="G198" s="67"/>
      <c r="H198" s="71"/>
      <c r="I198" s="72"/>
      <c r="J198" s="72"/>
      <c r="K198" s="34" t="s">
        <v>65</v>
      </c>
      <c r="L198" s="79">
        <v>198</v>
      </c>
      <c r="M198" s="79"/>
      <c r="N198" s="74"/>
      <c r="O198" s="81" t="s">
        <v>653</v>
      </c>
      <c r="P198">
        <v>1</v>
      </c>
      <c r="Q198" s="80" t="str">
        <f>REPLACE(INDEX(GroupVertices[Group],MATCH(Edges[[#This Row],[Vertex 1]],GroupVertices[Vertex],0)),1,1,"")</f>
        <v>7</v>
      </c>
      <c r="R198" s="80" t="str">
        <f>REPLACE(INDEX(GroupVertices[Group],MATCH(Edges[[#This Row],[Vertex 2]],GroupVertices[Vertex],0)),1,1,"")</f>
        <v>7</v>
      </c>
      <c r="S198" s="34"/>
      <c r="T198" s="34"/>
      <c r="U198" s="34"/>
      <c r="V198" s="34"/>
      <c r="W198" s="34"/>
      <c r="X198" s="34"/>
      <c r="Y198" s="34"/>
      <c r="Z198" s="34"/>
      <c r="AA198" s="34"/>
    </row>
    <row r="199" spans="1:27" ht="15">
      <c r="A199" s="66" t="s">
        <v>327</v>
      </c>
      <c r="B199" s="66" t="s">
        <v>517</v>
      </c>
      <c r="C199" s="67" t="s">
        <v>3495</v>
      </c>
      <c r="D199" s="68">
        <v>3</v>
      </c>
      <c r="E199" s="69"/>
      <c r="F199" s="70">
        <v>50</v>
      </c>
      <c r="G199" s="67"/>
      <c r="H199" s="71"/>
      <c r="I199" s="72"/>
      <c r="J199" s="72"/>
      <c r="K199" s="34" t="s">
        <v>65</v>
      </c>
      <c r="L199" s="79">
        <v>199</v>
      </c>
      <c r="M199" s="79"/>
      <c r="N199" s="74"/>
      <c r="O199" s="81" t="s">
        <v>653</v>
      </c>
      <c r="P199">
        <v>1</v>
      </c>
      <c r="Q199" s="80" t="str">
        <f>REPLACE(INDEX(GroupVertices[Group],MATCH(Edges[[#This Row],[Vertex 1]],GroupVertices[Vertex],0)),1,1,"")</f>
        <v>7</v>
      </c>
      <c r="R199" s="80" t="str">
        <f>REPLACE(INDEX(GroupVertices[Group],MATCH(Edges[[#This Row],[Vertex 2]],GroupVertices[Vertex],0)),1,1,"")</f>
        <v>7</v>
      </c>
      <c r="S199" s="34"/>
      <c r="T199" s="34"/>
      <c r="U199" s="34"/>
      <c r="V199" s="34"/>
      <c r="W199" s="34"/>
      <c r="X199" s="34"/>
      <c r="Y199" s="34"/>
      <c r="Z199" s="34"/>
      <c r="AA199" s="34"/>
    </row>
    <row r="200" spans="1:27" ht="15">
      <c r="A200" s="66" t="s">
        <v>327</v>
      </c>
      <c r="B200" s="66" t="s">
        <v>518</v>
      </c>
      <c r="C200" s="67" t="s">
        <v>3495</v>
      </c>
      <c r="D200" s="68">
        <v>3</v>
      </c>
      <c r="E200" s="69"/>
      <c r="F200" s="70">
        <v>50</v>
      </c>
      <c r="G200" s="67"/>
      <c r="H200" s="71"/>
      <c r="I200" s="72"/>
      <c r="J200" s="72"/>
      <c r="K200" s="34" t="s">
        <v>65</v>
      </c>
      <c r="L200" s="79">
        <v>200</v>
      </c>
      <c r="M200" s="79"/>
      <c r="N200" s="74"/>
      <c r="O200" s="81" t="s">
        <v>653</v>
      </c>
      <c r="P200">
        <v>1</v>
      </c>
      <c r="Q200" s="80" t="str">
        <f>REPLACE(INDEX(GroupVertices[Group],MATCH(Edges[[#This Row],[Vertex 1]],GroupVertices[Vertex],0)),1,1,"")</f>
        <v>7</v>
      </c>
      <c r="R200" s="80" t="str">
        <f>REPLACE(INDEX(GroupVertices[Group],MATCH(Edges[[#This Row],[Vertex 2]],GroupVertices[Vertex],0)),1,1,"")</f>
        <v>7</v>
      </c>
      <c r="S200" s="34"/>
      <c r="T200" s="34"/>
      <c r="U200" s="34"/>
      <c r="V200" s="34"/>
      <c r="W200" s="34"/>
      <c r="X200" s="34"/>
      <c r="Y200" s="34"/>
      <c r="Z200" s="34"/>
      <c r="AA200" s="34"/>
    </row>
    <row r="201" spans="1:27" ht="15">
      <c r="A201" s="66" t="s">
        <v>327</v>
      </c>
      <c r="B201" s="66" t="s">
        <v>519</v>
      </c>
      <c r="C201" s="67" t="s">
        <v>3495</v>
      </c>
      <c r="D201" s="68">
        <v>3</v>
      </c>
      <c r="E201" s="69"/>
      <c r="F201" s="70">
        <v>50</v>
      </c>
      <c r="G201" s="67"/>
      <c r="H201" s="71"/>
      <c r="I201" s="72"/>
      <c r="J201" s="72"/>
      <c r="K201" s="34" t="s">
        <v>65</v>
      </c>
      <c r="L201" s="79">
        <v>201</v>
      </c>
      <c r="M201" s="79"/>
      <c r="N201" s="74"/>
      <c r="O201" s="81" t="s">
        <v>653</v>
      </c>
      <c r="P201">
        <v>1</v>
      </c>
      <c r="Q201" s="80" t="str">
        <f>REPLACE(INDEX(GroupVertices[Group],MATCH(Edges[[#This Row],[Vertex 1]],GroupVertices[Vertex],0)),1,1,"")</f>
        <v>7</v>
      </c>
      <c r="R201" s="80" t="str">
        <f>REPLACE(INDEX(GroupVertices[Group],MATCH(Edges[[#This Row],[Vertex 2]],GroupVertices[Vertex],0)),1,1,"")</f>
        <v>7</v>
      </c>
      <c r="S201" s="34"/>
      <c r="T201" s="34"/>
      <c r="U201" s="34"/>
      <c r="V201" s="34"/>
      <c r="W201" s="34"/>
      <c r="X201" s="34"/>
      <c r="Y201" s="34"/>
      <c r="Z201" s="34"/>
      <c r="AA201" s="34"/>
    </row>
    <row r="202" spans="1:27" ht="15">
      <c r="A202" s="66" t="s">
        <v>327</v>
      </c>
      <c r="B202" s="66" t="s">
        <v>520</v>
      </c>
      <c r="C202" s="67" t="s">
        <v>3495</v>
      </c>
      <c r="D202" s="68">
        <v>3</v>
      </c>
      <c r="E202" s="69"/>
      <c r="F202" s="70">
        <v>50</v>
      </c>
      <c r="G202" s="67"/>
      <c r="H202" s="71"/>
      <c r="I202" s="72"/>
      <c r="J202" s="72"/>
      <c r="K202" s="34" t="s">
        <v>65</v>
      </c>
      <c r="L202" s="79">
        <v>202</v>
      </c>
      <c r="M202" s="79"/>
      <c r="N202" s="74"/>
      <c r="O202" s="81" t="s">
        <v>653</v>
      </c>
      <c r="P202">
        <v>1</v>
      </c>
      <c r="Q202" s="80" t="str">
        <f>REPLACE(INDEX(GroupVertices[Group],MATCH(Edges[[#This Row],[Vertex 1]],GroupVertices[Vertex],0)),1,1,"")</f>
        <v>7</v>
      </c>
      <c r="R202" s="80" t="str">
        <f>REPLACE(INDEX(GroupVertices[Group],MATCH(Edges[[#This Row],[Vertex 2]],GroupVertices[Vertex],0)),1,1,"")</f>
        <v>7</v>
      </c>
      <c r="S202" s="34"/>
      <c r="T202" s="34"/>
      <c r="U202" s="34"/>
      <c r="V202" s="34"/>
      <c r="W202" s="34"/>
      <c r="X202" s="34"/>
      <c r="Y202" s="34"/>
      <c r="Z202" s="34"/>
      <c r="AA202" s="34"/>
    </row>
    <row r="203" spans="1:27" ht="15">
      <c r="A203" s="66" t="s">
        <v>327</v>
      </c>
      <c r="B203" s="66" t="s">
        <v>521</v>
      </c>
      <c r="C203" s="67" t="s">
        <v>3495</v>
      </c>
      <c r="D203" s="68">
        <v>3</v>
      </c>
      <c r="E203" s="69"/>
      <c r="F203" s="70">
        <v>50</v>
      </c>
      <c r="G203" s="67"/>
      <c r="H203" s="71"/>
      <c r="I203" s="72"/>
      <c r="J203" s="72"/>
      <c r="K203" s="34" t="s">
        <v>65</v>
      </c>
      <c r="L203" s="79">
        <v>203</v>
      </c>
      <c r="M203" s="79"/>
      <c r="N203" s="74"/>
      <c r="O203" s="81" t="s">
        <v>653</v>
      </c>
      <c r="P203">
        <v>1</v>
      </c>
      <c r="Q203" s="80" t="str">
        <f>REPLACE(INDEX(GroupVertices[Group],MATCH(Edges[[#This Row],[Vertex 1]],GroupVertices[Vertex],0)),1,1,"")</f>
        <v>7</v>
      </c>
      <c r="R203" s="80" t="str">
        <f>REPLACE(INDEX(GroupVertices[Group],MATCH(Edges[[#This Row],[Vertex 2]],GroupVertices[Vertex],0)),1,1,"")</f>
        <v>7</v>
      </c>
      <c r="S203" s="34"/>
      <c r="T203" s="34"/>
      <c r="U203" s="34"/>
      <c r="V203" s="34"/>
      <c r="W203" s="34"/>
      <c r="X203" s="34"/>
      <c r="Y203" s="34"/>
      <c r="Z203" s="34"/>
      <c r="AA203" s="34"/>
    </row>
    <row r="204" spans="1:27" ht="15">
      <c r="A204" s="66" t="s">
        <v>327</v>
      </c>
      <c r="B204" s="66" t="s">
        <v>522</v>
      </c>
      <c r="C204" s="67" t="s">
        <v>3495</v>
      </c>
      <c r="D204" s="68">
        <v>3</v>
      </c>
      <c r="E204" s="69"/>
      <c r="F204" s="70">
        <v>50</v>
      </c>
      <c r="G204" s="67"/>
      <c r="H204" s="71"/>
      <c r="I204" s="72"/>
      <c r="J204" s="72"/>
      <c r="K204" s="34" t="s">
        <v>65</v>
      </c>
      <c r="L204" s="79">
        <v>204</v>
      </c>
      <c r="M204" s="79"/>
      <c r="N204" s="74"/>
      <c r="O204" s="81" t="s">
        <v>653</v>
      </c>
      <c r="P204">
        <v>1</v>
      </c>
      <c r="Q204" s="80" t="str">
        <f>REPLACE(INDEX(GroupVertices[Group],MATCH(Edges[[#This Row],[Vertex 1]],GroupVertices[Vertex],0)),1,1,"")</f>
        <v>7</v>
      </c>
      <c r="R204" s="80" t="str">
        <f>REPLACE(INDEX(GroupVertices[Group],MATCH(Edges[[#This Row],[Vertex 2]],GroupVertices[Vertex],0)),1,1,"")</f>
        <v>7</v>
      </c>
      <c r="S204" s="34"/>
      <c r="T204" s="34"/>
      <c r="U204" s="34"/>
      <c r="V204" s="34"/>
      <c r="W204" s="34"/>
      <c r="X204" s="34"/>
      <c r="Y204" s="34"/>
      <c r="Z204" s="34"/>
      <c r="AA204" s="34"/>
    </row>
    <row r="205" spans="1:27" ht="15">
      <c r="A205" s="66" t="s">
        <v>327</v>
      </c>
      <c r="B205" s="66" t="s">
        <v>523</v>
      </c>
      <c r="C205" s="67" t="s">
        <v>3495</v>
      </c>
      <c r="D205" s="68">
        <v>3</v>
      </c>
      <c r="E205" s="69"/>
      <c r="F205" s="70">
        <v>50</v>
      </c>
      <c r="G205" s="67"/>
      <c r="H205" s="71"/>
      <c r="I205" s="72"/>
      <c r="J205" s="72"/>
      <c r="K205" s="34" t="s">
        <v>65</v>
      </c>
      <c r="L205" s="79">
        <v>205</v>
      </c>
      <c r="M205" s="79"/>
      <c r="N205" s="74"/>
      <c r="O205" s="81" t="s">
        <v>653</v>
      </c>
      <c r="P205">
        <v>1</v>
      </c>
      <c r="Q205" s="80" t="str">
        <f>REPLACE(INDEX(GroupVertices[Group],MATCH(Edges[[#This Row],[Vertex 1]],GroupVertices[Vertex],0)),1,1,"")</f>
        <v>7</v>
      </c>
      <c r="R205" s="80" t="str">
        <f>REPLACE(INDEX(GroupVertices[Group],MATCH(Edges[[#This Row],[Vertex 2]],GroupVertices[Vertex],0)),1,1,"")</f>
        <v>7</v>
      </c>
      <c r="S205" s="34"/>
      <c r="T205" s="34"/>
      <c r="U205" s="34"/>
      <c r="V205" s="34"/>
      <c r="W205" s="34"/>
      <c r="X205" s="34"/>
      <c r="Y205" s="34"/>
      <c r="Z205" s="34"/>
      <c r="AA205" s="34"/>
    </row>
    <row r="206" spans="1:27" ht="15">
      <c r="A206" s="66" t="s">
        <v>326</v>
      </c>
      <c r="B206" s="66" t="s">
        <v>524</v>
      </c>
      <c r="C206" s="67" t="s">
        <v>3495</v>
      </c>
      <c r="D206" s="68">
        <v>3</v>
      </c>
      <c r="E206" s="69"/>
      <c r="F206" s="70">
        <v>50</v>
      </c>
      <c r="G206" s="67"/>
      <c r="H206" s="71"/>
      <c r="I206" s="72"/>
      <c r="J206" s="72"/>
      <c r="K206" s="34" t="s">
        <v>65</v>
      </c>
      <c r="L206" s="79">
        <v>206</v>
      </c>
      <c r="M206" s="79"/>
      <c r="N206" s="74"/>
      <c r="O206" s="81" t="s">
        <v>653</v>
      </c>
      <c r="P206">
        <v>1</v>
      </c>
      <c r="Q206" s="80" t="str">
        <f>REPLACE(INDEX(GroupVertices[Group],MATCH(Edges[[#This Row],[Vertex 1]],GroupVertices[Vertex],0)),1,1,"")</f>
        <v>8</v>
      </c>
      <c r="R206" s="80" t="str">
        <f>REPLACE(INDEX(GroupVertices[Group],MATCH(Edges[[#This Row],[Vertex 2]],GroupVertices[Vertex],0)),1,1,"")</f>
        <v>7</v>
      </c>
      <c r="S206" s="34"/>
      <c r="T206" s="34"/>
      <c r="U206" s="34"/>
      <c r="V206" s="34"/>
      <c r="W206" s="34"/>
      <c r="X206" s="34"/>
      <c r="Y206" s="34"/>
      <c r="Z206" s="34"/>
      <c r="AA206" s="34"/>
    </row>
    <row r="207" spans="1:27" ht="15">
      <c r="A207" s="66" t="s">
        <v>326</v>
      </c>
      <c r="B207" s="66" t="s">
        <v>525</v>
      </c>
      <c r="C207" s="67" t="s">
        <v>3495</v>
      </c>
      <c r="D207" s="68">
        <v>3</v>
      </c>
      <c r="E207" s="69"/>
      <c r="F207" s="70">
        <v>50</v>
      </c>
      <c r="G207" s="67"/>
      <c r="H207" s="71"/>
      <c r="I207" s="72"/>
      <c r="J207" s="72"/>
      <c r="K207" s="34" t="s">
        <v>65</v>
      </c>
      <c r="L207" s="79">
        <v>207</v>
      </c>
      <c r="M207" s="79"/>
      <c r="N207" s="74"/>
      <c r="O207" s="81" t="s">
        <v>653</v>
      </c>
      <c r="P207">
        <v>1</v>
      </c>
      <c r="Q207" s="80" t="str">
        <f>REPLACE(INDEX(GroupVertices[Group],MATCH(Edges[[#This Row],[Vertex 1]],GroupVertices[Vertex],0)),1,1,"")</f>
        <v>8</v>
      </c>
      <c r="R207" s="80" t="str">
        <f>REPLACE(INDEX(GroupVertices[Group],MATCH(Edges[[#This Row],[Vertex 2]],GroupVertices[Vertex],0)),1,1,"")</f>
        <v>8</v>
      </c>
      <c r="S207" s="34"/>
      <c r="T207" s="34"/>
      <c r="U207" s="34"/>
      <c r="V207" s="34"/>
      <c r="W207" s="34"/>
      <c r="X207" s="34"/>
      <c r="Y207" s="34"/>
      <c r="Z207" s="34"/>
      <c r="AA207" s="34"/>
    </row>
    <row r="208" spans="1:27" ht="15">
      <c r="A208" s="66" t="s">
        <v>326</v>
      </c>
      <c r="B208" s="66" t="s">
        <v>526</v>
      </c>
      <c r="C208" s="67" t="s">
        <v>3495</v>
      </c>
      <c r="D208" s="68">
        <v>3</v>
      </c>
      <c r="E208" s="69"/>
      <c r="F208" s="70">
        <v>50</v>
      </c>
      <c r="G208" s="67"/>
      <c r="H208" s="71"/>
      <c r="I208" s="72"/>
      <c r="J208" s="72"/>
      <c r="K208" s="34" t="s">
        <v>65</v>
      </c>
      <c r="L208" s="79">
        <v>208</v>
      </c>
      <c r="M208" s="79"/>
      <c r="N208" s="74"/>
      <c r="O208" s="81" t="s">
        <v>653</v>
      </c>
      <c r="P208">
        <v>1</v>
      </c>
      <c r="Q208" s="80" t="str">
        <f>REPLACE(INDEX(GroupVertices[Group],MATCH(Edges[[#This Row],[Vertex 1]],GroupVertices[Vertex],0)),1,1,"")</f>
        <v>8</v>
      </c>
      <c r="R208" s="80" t="str">
        <f>REPLACE(INDEX(GroupVertices[Group],MATCH(Edges[[#This Row],[Vertex 2]],GroupVertices[Vertex],0)),1,1,"")</f>
        <v>1</v>
      </c>
      <c r="S208" s="34"/>
      <c r="T208" s="34"/>
      <c r="U208" s="34"/>
      <c r="V208" s="34"/>
      <c r="W208" s="34"/>
      <c r="X208" s="34"/>
      <c r="Y208" s="34"/>
      <c r="Z208" s="34"/>
      <c r="AA208" s="34"/>
    </row>
    <row r="209" spans="1:27" ht="15">
      <c r="A209" s="66" t="s">
        <v>326</v>
      </c>
      <c r="B209" s="66" t="s">
        <v>527</v>
      </c>
      <c r="C209" s="67" t="s">
        <v>3495</v>
      </c>
      <c r="D209" s="68">
        <v>3</v>
      </c>
      <c r="E209" s="69"/>
      <c r="F209" s="70">
        <v>50</v>
      </c>
      <c r="G209" s="67"/>
      <c r="H209" s="71"/>
      <c r="I209" s="72"/>
      <c r="J209" s="72"/>
      <c r="K209" s="34" t="s">
        <v>65</v>
      </c>
      <c r="L209" s="79">
        <v>209</v>
      </c>
      <c r="M209" s="79"/>
      <c r="N209" s="74"/>
      <c r="O209" s="81" t="s">
        <v>653</v>
      </c>
      <c r="P209">
        <v>1</v>
      </c>
      <c r="Q209" s="80" t="str">
        <f>REPLACE(INDEX(GroupVertices[Group],MATCH(Edges[[#This Row],[Vertex 1]],GroupVertices[Vertex],0)),1,1,"")</f>
        <v>8</v>
      </c>
      <c r="R209" s="80" t="str">
        <f>REPLACE(INDEX(GroupVertices[Group],MATCH(Edges[[#This Row],[Vertex 2]],GroupVertices[Vertex],0)),1,1,"")</f>
        <v>7</v>
      </c>
      <c r="S209" s="34"/>
      <c r="T209" s="34"/>
      <c r="U209" s="34"/>
      <c r="V209" s="34"/>
      <c r="W209" s="34"/>
      <c r="X209" s="34"/>
      <c r="Y209" s="34"/>
      <c r="Z209" s="34"/>
      <c r="AA209" s="34"/>
    </row>
    <row r="210" spans="1:27" ht="15">
      <c r="A210" s="66" t="s">
        <v>326</v>
      </c>
      <c r="B210" s="66" t="s">
        <v>329</v>
      </c>
      <c r="C210" s="67" t="s">
        <v>3495</v>
      </c>
      <c r="D210" s="68">
        <v>3</v>
      </c>
      <c r="E210" s="69"/>
      <c r="F210" s="70">
        <v>50</v>
      </c>
      <c r="G210" s="67"/>
      <c r="H210" s="71"/>
      <c r="I210" s="72"/>
      <c r="J210" s="72"/>
      <c r="K210" s="34" t="s">
        <v>65</v>
      </c>
      <c r="L210" s="79">
        <v>210</v>
      </c>
      <c r="M210" s="79"/>
      <c r="N210" s="74"/>
      <c r="O210" s="81" t="s">
        <v>653</v>
      </c>
      <c r="P210">
        <v>1</v>
      </c>
      <c r="Q210" s="80" t="str">
        <f>REPLACE(INDEX(GroupVertices[Group],MATCH(Edges[[#This Row],[Vertex 1]],GroupVertices[Vertex],0)),1,1,"")</f>
        <v>8</v>
      </c>
      <c r="R210" s="80" t="str">
        <f>REPLACE(INDEX(GroupVertices[Group],MATCH(Edges[[#This Row],[Vertex 2]],GroupVertices[Vertex],0)),1,1,"")</f>
        <v>1</v>
      </c>
      <c r="S210" s="34"/>
      <c r="T210" s="34"/>
      <c r="U210" s="34"/>
      <c r="V210" s="34"/>
      <c r="W210" s="34"/>
      <c r="X210" s="34"/>
      <c r="Y210" s="34"/>
      <c r="Z210" s="34"/>
      <c r="AA210" s="34"/>
    </row>
    <row r="211" spans="1:27" ht="15">
      <c r="A211" s="66" t="s">
        <v>326</v>
      </c>
      <c r="B211" s="66" t="s">
        <v>412</v>
      </c>
      <c r="C211" s="67" t="s">
        <v>3495</v>
      </c>
      <c r="D211" s="68">
        <v>3</v>
      </c>
      <c r="E211" s="69"/>
      <c r="F211" s="70">
        <v>50</v>
      </c>
      <c r="G211" s="67"/>
      <c r="H211" s="71"/>
      <c r="I211" s="72"/>
      <c r="J211" s="72"/>
      <c r="K211" s="34" t="s">
        <v>65</v>
      </c>
      <c r="L211" s="79">
        <v>211</v>
      </c>
      <c r="M211" s="79"/>
      <c r="N211" s="74"/>
      <c r="O211" s="81" t="s">
        <v>653</v>
      </c>
      <c r="P211">
        <v>1</v>
      </c>
      <c r="Q211" s="80" t="str">
        <f>REPLACE(INDEX(GroupVertices[Group],MATCH(Edges[[#This Row],[Vertex 1]],GroupVertices[Vertex],0)),1,1,"")</f>
        <v>8</v>
      </c>
      <c r="R211" s="80" t="str">
        <f>REPLACE(INDEX(GroupVertices[Group],MATCH(Edges[[#This Row],[Vertex 2]],GroupVertices[Vertex],0)),1,1,"")</f>
        <v>6</v>
      </c>
      <c r="S211" s="34"/>
      <c r="T211" s="34"/>
      <c r="U211" s="34"/>
      <c r="V211" s="34"/>
      <c r="W211" s="34"/>
      <c r="X211" s="34"/>
      <c r="Y211" s="34"/>
      <c r="Z211" s="34"/>
      <c r="AA211" s="34"/>
    </row>
    <row r="212" spans="1:27" ht="15">
      <c r="A212" s="66" t="s">
        <v>326</v>
      </c>
      <c r="B212" s="66" t="s">
        <v>415</v>
      </c>
      <c r="C212" s="67" t="s">
        <v>3495</v>
      </c>
      <c r="D212" s="68">
        <v>3</v>
      </c>
      <c r="E212" s="69"/>
      <c r="F212" s="70">
        <v>50</v>
      </c>
      <c r="G212" s="67"/>
      <c r="H212" s="71"/>
      <c r="I212" s="72"/>
      <c r="J212" s="72"/>
      <c r="K212" s="34" t="s">
        <v>65</v>
      </c>
      <c r="L212" s="79">
        <v>212</v>
      </c>
      <c r="M212" s="79"/>
      <c r="N212" s="74"/>
      <c r="O212" s="81" t="s">
        <v>653</v>
      </c>
      <c r="P212">
        <v>1</v>
      </c>
      <c r="Q212" s="80" t="str">
        <f>REPLACE(INDEX(GroupVertices[Group],MATCH(Edges[[#This Row],[Vertex 1]],GroupVertices[Vertex],0)),1,1,"")</f>
        <v>8</v>
      </c>
      <c r="R212" s="80" t="str">
        <f>REPLACE(INDEX(GroupVertices[Group],MATCH(Edges[[#This Row],[Vertex 2]],GroupVertices[Vertex],0)),1,1,"")</f>
        <v>1</v>
      </c>
      <c r="S212" s="34"/>
      <c r="T212" s="34"/>
      <c r="U212" s="34"/>
      <c r="V212" s="34"/>
      <c r="W212" s="34"/>
      <c r="X212" s="34"/>
      <c r="Y212" s="34"/>
      <c r="Z212" s="34"/>
      <c r="AA212" s="34"/>
    </row>
    <row r="213" spans="1:27" ht="15">
      <c r="A213" s="66" t="s">
        <v>326</v>
      </c>
      <c r="B213" s="66" t="s">
        <v>327</v>
      </c>
      <c r="C213" s="67" t="s">
        <v>3495</v>
      </c>
      <c r="D213" s="68">
        <v>3</v>
      </c>
      <c r="E213" s="69"/>
      <c r="F213" s="70">
        <v>50</v>
      </c>
      <c r="G213" s="67"/>
      <c r="H213" s="71"/>
      <c r="I213" s="72"/>
      <c r="J213" s="72"/>
      <c r="K213" s="34" t="s">
        <v>66</v>
      </c>
      <c r="L213" s="79">
        <v>213</v>
      </c>
      <c r="M213" s="79"/>
      <c r="N213" s="74"/>
      <c r="O213" s="81" t="s">
        <v>653</v>
      </c>
      <c r="P213">
        <v>1</v>
      </c>
      <c r="Q213" s="80" t="str">
        <f>REPLACE(INDEX(GroupVertices[Group],MATCH(Edges[[#This Row],[Vertex 1]],GroupVertices[Vertex],0)),1,1,"")</f>
        <v>8</v>
      </c>
      <c r="R213" s="80" t="str">
        <f>REPLACE(INDEX(GroupVertices[Group],MATCH(Edges[[#This Row],[Vertex 2]],GroupVertices[Vertex],0)),1,1,"")</f>
        <v>7</v>
      </c>
      <c r="S213" s="34"/>
      <c r="T213" s="34"/>
      <c r="U213" s="34"/>
      <c r="V213" s="34"/>
      <c r="W213" s="34"/>
      <c r="X213" s="34"/>
      <c r="Y213" s="34"/>
      <c r="Z213" s="34"/>
      <c r="AA213" s="34"/>
    </row>
    <row r="214" spans="1:27" ht="15">
      <c r="A214" s="66" t="s">
        <v>326</v>
      </c>
      <c r="B214" s="66" t="s">
        <v>322</v>
      </c>
      <c r="C214" s="67" t="s">
        <v>3495</v>
      </c>
      <c r="D214" s="68">
        <v>3</v>
      </c>
      <c r="E214" s="69"/>
      <c r="F214" s="70">
        <v>50</v>
      </c>
      <c r="G214" s="67"/>
      <c r="H214" s="71"/>
      <c r="I214" s="72"/>
      <c r="J214" s="72"/>
      <c r="K214" s="34" t="s">
        <v>65</v>
      </c>
      <c r="L214" s="79">
        <v>214</v>
      </c>
      <c r="M214" s="79"/>
      <c r="N214" s="74"/>
      <c r="O214" s="81" t="s">
        <v>653</v>
      </c>
      <c r="P214">
        <v>1</v>
      </c>
      <c r="Q214" s="80" t="str">
        <f>REPLACE(INDEX(GroupVertices[Group],MATCH(Edges[[#This Row],[Vertex 1]],GroupVertices[Vertex],0)),1,1,"")</f>
        <v>8</v>
      </c>
      <c r="R214" s="80" t="str">
        <f>REPLACE(INDEX(GroupVertices[Group],MATCH(Edges[[#This Row],[Vertex 2]],GroupVertices[Vertex],0)),1,1,"")</f>
        <v>3</v>
      </c>
      <c r="S214" s="34"/>
      <c r="T214" s="34"/>
      <c r="U214" s="34"/>
      <c r="V214" s="34"/>
      <c r="W214" s="34"/>
      <c r="X214" s="34"/>
      <c r="Y214" s="34"/>
      <c r="Z214" s="34"/>
      <c r="AA214" s="34"/>
    </row>
    <row r="215" spans="1:27" ht="15">
      <c r="A215" s="66" t="s">
        <v>326</v>
      </c>
      <c r="B215" s="66" t="s">
        <v>418</v>
      </c>
      <c r="C215" s="67" t="s">
        <v>3495</v>
      </c>
      <c r="D215" s="68">
        <v>3</v>
      </c>
      <c r="E215" s="69"/>
      <c r="F215" s="70">
        <v>50</v>
      </c>
      <c r="G215" s="67"/>
      <c r="H215" s="71"/>
      <c r="I215" s="72"/>
      <c r="J215" s="72"/>
      <c r="K215" s="34" t="s">
        <v>65</v>
      </c>
      <c r="L215" s="79">
        <v>215</v>
      </c>
      <c r="M215" s="79"/>
      <c r="N215" s="74"/>
      <c r="O215" s="81" t="s">
        <v>653</v>
      </c>
      <c r="P215">
        <v>1</v>
      </c>
      <c r="Q215" s="80" t="str">
        <f>REPLACE(INDEX(GroupVertices[Group],MATCH(Edges[[#This Row],[Vertex 1]],GroupVertices[Vertex],0)),1,1,"")</f>
        <v>8</v>
      </c>
      <c r="R215" s="80" t="str">
        <f>REPLACE(INDEX(GroupVertices[Group],MATCH(Edges[[#This Row],[Vertex 2]],GroupVertices[Vertex],0)),1,1,"")</f>
        <v>1</v>
      </c>
      <c r="S215" s="34"/>
      <c r="T215" s="34"/>
      <c r="U215" s="34"/>
      <c r="V215" s="34"/>
      <c r="W215" s="34"/>
      <c r="X215" s="34"/>
      <c r="Y215" s="34"/>
      <c r="Z215" s="34"/>
      <c r="AA215" s="34"/>
    </row>
    <row r="216" spans="1:27" ht="15">
      <c r="A216" s="66" t="s">
        <v>326</v>
      </c>
      <c r="B216" s="66" t="s">
        <v>410</v>
      </c>
      <c r="C216" s="67" t="s">
        <v>3495</v>
      </c>
      <c r="D216" s="68">
        <v>3</v>
      </c>
      <c r="E216" s="69"/>
      <c r="F216" s="70">
        <v>50</v>
      </c>
      <c r="G216" s="67"/>
      <c r="H216" s="71"/>
      <c r="I216" s="72"/>
      <c r="J216" s="72"/>
      <c r="K216" s="34" t="s">
        <v>65</v>
      </c>
      <c r="L216" s="79">
        <v>216</v>
      </c>
      <c r="M216" s="79"/>
      <c r="N216" s="74"/>
      <c r="O216" s="81" t="s">
        <v>653</v>
      </c>
      <c r="P216">
        <v>1</v>
      </c>
      <c r="Q216" s="80" t="str">
        <f>REPLACE(INDEX(GroupVertices[Group],MATCH(Edges[[#This Row],[Vertex 1]],GroupVertices[Vertex],0)),1,1,"")</f>
        <v>8</v>
      </c>
      <c r="R216" s="80" t="str">
        <f>REPLACE(INDEX(GroupVertices[Group],MATCH(Edges[[#This Row],[Vertex 2]],GroupVertices[Vertex],0)),1,1,"")</f>
        <v>8</v>
      </c>
      <c r="S216" s="34"/>
      <c r="T216" s="34"/>
      <c r="U216" s="34"/>
      <c r="V216" s="34"/>
      <c r="W216" s="34"/>
      <c r="X216" s="34"/>
      <c r="Y216" s="34"/>
      <c r="Z216" s="34"/>
      <c r="AA216" s="34"/>
    </row>
    <row r="217" spans="1:27" ht="15">
      <c r="A217" s="66" t="s">
        <v>326</v>
      </c>
      <c r="B217" s="66" t="s">
        <v>528</v>
      </c>
      <c r="C217" s="67" t="s">
        <v>3495</v>
      </c>
      <c r="D217" s="68">
        <v>3</v>
      </c>
      <c r="E217" s="69"/>
      <c r="F217" s="70">
        <v>50</v>
      </c>
      <c r="G217" s="67"/>
      <c r="H217" s="71"/>
      <c r="I217" s="72"/>
      <c r="J217" s="72"/>
      <c r="K217" s="34" t="s">
        <v>65</v>
      </c>
      <c r="L217" s="79">
        <v>217</v>
      </c>
      <c r="M217" s="79"/>
      <c r="N217" s="74"/>
      <c r="O217" s="81" t="s">
        <v>653</v>
      </c>
      <c r="P217">
        <v>1</v>
      </c>
      <c r="Q217" s="80" t="str">
        <f>REPLACE(INDEX(GroupVertices[Group],MATCH(Edges[[#This Row],[Vertex 1]],GroupVertices[Vertex],0)),1,1,"")</f>
        <v>8</v>
      </c>
      <c r="R217" s="80" t="str">
        <f>REPLACE(INDEX(GroupVertices[Group],MATCH(Edges[[#This Row],[Vertex 2]],GroupVertices[Vertex],0)),1,1,"")</f>
        <v>8</v>
      </c>
      <c r="S217" s="34"/>
      <c r="T217" s="34"/>
      <c r="U217" s="34"/>
      <c r="V217" s="34"/>
      <c r="W217" s="34"/>
      <c r="X217" s="34"/>
      <c r="Y217" s="34"/>
      <c r="Z217" s="34"/>
      <c r="AA217" s="34"/>
    </row>
    <row r="218" spans="1:27" ht="15">
      <c r="A218" s="66" t="s">
        <v>326</v>
      </c>
      <c r="B218" s="66" t="s">
        <v>328</v>
      </c>
      <c r="C218" s="67" t="s">
        <v>3495</v>
      </c>
      <c r="D218" s="68">
        <v>3</v>
      </c>
      <c r="E218" s="69"/>
      <c r="F218" s="70">
        <v>50</v>
      </c>
      <c r="G218" s="67"/>
      <c r="H218" s="71"/>
      <c r="I218" s="72"/>
      <c r="J218" s="72"/>
      <c r="K218" s="34" t="s">
        <v>65</v>
      </c>
      <c r="L218" s="79">
        <v>218</v>
      </c>
      <c r="M218" s="79"/>
      <c r="N218" s="74"/>
      <c r="O218" s="81" t="s">
        <v>653</v>
      </c>
      <c r="P218">
        <v>1</v>
      </c>
      <c r="Q218" s="80" t="str">
        <f>REPLACE(INDEX(GroupVertices[Group],MATCH(Edges[[#This Row],[Vertex 1]],GroupVertices[Vertex],0)),1,1,"")</f>
        <v>8</v>
      </c>
      <c r="R218" s="80" t="str">
        <f>REPLACE(INDEX(GroupVertices[Group],MATCH(Edges[[#This Row],[Vertex 2]],GroupVertices[Vertex],0)),1,1,"")</f>
        <v>5</v>
      </c>
      <c r="S218" s="34"/>
      <c r="T218" s="34"/>
      <c r="U218" s="34"/>
      <c r="V218" s="34"/>
      <c r="W218" s="34"/>
      <c r="X218" s="34"/>
      <c r="Y218" s="34"/>
      <c r="Z218" s="34"/>
      <c r="AA218" s="34"/>
    </row>
    <row r="219" spans="1:27" ht="15">
      <c r="A219" s="66" t="s">
        <v>326</v>
      </c>
      <c r="B219" s="66" t="s">
        <v>416</v>
      </c>
      <c r="C219" s="67" t="s">
        <v>3495</v>
      </c>
      <c r="D219" s="68">
        <v>3</v>
      </c>
      <c r="E219" s="69"/>
      <c r="F219" s="70">
        <v>50</v>
      </c>
      <c r="G219" s="67"/>
      <c r="H219" s="71"/>
      <c r="I219" s="72"/>
      <c r="J219" s="72"/>
      <c r="K219" s="34" t="s">
        <v>65</v>
      </c>
      <c r="L219" s="79">
        <v>219</v>
      </c>
      <c r="M219" s="79"/>
      <c r="N219" s="74"/>
      <c r="O219" s="81" t="s">
        <v>653</v>
      </c>
      <c r="P219">
        <v>1</v>
      </c>
      <c r="Q219" s="80" t="str">
        <f>REPLACE(INDEX(GroupVertices[Group],MATCH(Edges[[#This Row],[Vertex 1]],GroupVertices[Vertex],0)),1,1,"")</f>
        <v>8</v>
      </c>
      <c r="R219" s="80" t="str">
        <f>REPLACE(INDEX(GroupVertices[Group],MATCH(Edges[[#This Row],[Vertex 2]],GroupVertices[Vertex],0)),1,1,"")</f>
        <v>1</v>
      </c>
      <c r="S219" s="34"/>
      <c r="T219" s="34"/>
      <c r="U219" s="34"/>
      <c r="V219" s="34"/>
      <c r="W219" s="34"/>
      <c r="X219" s="34"/>
      <c r="Y219" s="34"/>
      <c r="Z219" s="34"/>
      <c r="AA219" s="34"/>
    </row>
    <row r="220" spans="1:27" ht="15">
      <c r="A220" s="66" t="s">
        <v>326</v>
      </c>
      <c r="B220" s="66" t="s">
        <v>529</v>
      </c>
      <c r="C220" s="67" t="s">
        <v>3495</v>
      </c>
      <c r="D220" s="68">
        <v>3</v>
      </c>
      <c r="E220" s="69"/>
      <c r="F220" s="70">
        <v>50</v>
      </c>
      <c r="G220" s="67"/>
      <c r="H220" s="71"/>
      <c r="I220" s="72"/>
      <c r="J220" s="72"/>
      <c r="K220" s="34" t="s">
        <v>65</v>
      </c>
      <c r="L220" s="79">
        <v>220</v>
      </c>
      <c r="M220" s="79"/>
      <c r="N220" s="74"/>
      <c r="O220" s="81" t="s">
        <v>653</v>
      </c>
      <c r="P220">
        <v>1</v>
      </c>
      <c r="Q220" s="80" t="str">
        <f>REPLACE(INDEX(GroupVertices[Group],MATCH(Edges[[#This Row],[Vertex 1]],GroupVertices[Vertex],0)),1,1,"")</f>
        <v>8</v>
      </c>
      <c r="R220" s="80" t="str">
        <f>REPLACE(INDEX(GroupVertices[Group],MATCH(Edges[[#This Row],[Vertex 2]],GroupVertices[Vertex],0)),1,1,"")</f>
        <v>1</v>
      </c>
      <c r="S220" s="34"/>
      <c r="T220" s="34"/>
      <c r="U220" s="34"/>
      <c r="V220" s="34"/>
      <c r="W220" s="34"/>
      <c r="X220" s="34"/>
      <c r="Y220" s="34"/>
      <c r="Z220" s="34"/>
      <c r="AA220" s="34"/>
    </row>
    <row r="221" spans="1:27" ht="15">
      <c r="A221" s="66" t="s">
        <v>326</v>
      </c>
      <c r="B221" s="66" t="s">
        <v>409</v>
      </c>
      <c r="C221" s="67" t="s">
        <v>3495</v>
      </c>
      <c r="D221" s="68">
        <v>3</v>
      </c>
      <c r="E221" s="69"/>
      <c r="F221" s="70">
        <v>50</v>
      </c>
      <c r="G221" s="67"/>
      <c r="H221" s="71"/>
      <c r="I221" s="72"/>
      <c r="J221" s="72"/>
      <c r="K221" s="34" t="s">
        <v>65</v>
      </c>
      <c r="L221" s="79">
        <v>221</v>
      </c>
      <c r="M221" s="79"/>
      <c r="N221" s="74"/>
      <c r="O221" s="81" t="s">
        <v>653</v>
      </c>
      <c r="P221">
        <v>1</v>
      </c>
      <c r="Q221" s="80" t="str">
        <f>REPLACE(INDEX(GroupVertices[Group],MATCH(Edges[[#This Row],[Vertex 1]],GroupVertices[Vertex],0)),1,1,"")</f>
        <v>8</v>
      </c>
      <c r="R221" s="80" t="str">
        <f>REPLACE(INDEX(GroupVertices[Group],MATCH(Edges[[#This Row],[Vertex 2]],GroupVertices[Vertex],0)),1,1,"")</f>
        <v>7</v>
      </c>
      <c r="S221" s="34"/>
      <c r="T221" s="34"/>
      <c r="U221" s="34"/>
      <c r="V221" s="34"/>
      <c r="W221" s="34"/>
      <c r="X221" s="34"/>
      <c r="Y221" s="34"/>
      <c r="Z221" s="34"/>
      <c r="AA221" s="34"/>
    </row>
    <row r="222" spans="1:27" ht="15">
      <c r="A222" s="66" t="s">
        <v>326</v>
      </c>
      <c r="B222" s="66" t="s">
        <v>325</v>
      </c>
      <c r="C222" s="67" t="s">
        <v>3495</v>
      </c>
      <c r="D222" s="68">
        <v>3</v>
      </c>
      <c r="E222" s="69"/>
      <c r="F222" s="70">
        <v>50</v>
      </c>
      <c r="G222" s="67"/>
      <c r="H222" s="71"/>
      <c r="I222" s="72"/>
      <c r="J222" s="72"/>
      <c r="K222" s="34" t="s">
        <v>65</v>
      </c>
      <c r="L222" s="79">
        <v>222</v>
      </c>
      <c r="M222" s="79"/>
      <c r="N222" s="74"/>
      <c r="O222" s="81" t="s">
        <v>653</v>
      </c>
      <c r="P222">
        <v>1</v>
      </c>
      <c r="Q222" s="80" t="str">
        <f>REPLACE(INDEX(GroupVertices[Group],MATCH(Edges[[#This Row],[Vertex 1]],GroupVertices[Vertex],0)),1,1,"")</f>
        <v>8</v>
      </c>
      <c r="R222" s="80" t="str">
        <f>REPLACE(INDEX(GroupVertices[Group],MATCH(Edges[[#This Row],[Vertex 2]],GroupVertices[Vertex],0)),1,1,"")</f>
        <v>1</v>
      </c>
      <c r="S222" s="34"/>
      <c r="T222" s="34"/>
      <c r="U222" s="34"/>
      <c r="V222" s="34"/>
      <c r="W222" s="34"/>
      <c r="X222" s="34"/>
      <c r="Y222" s="34"/>
      <c r="Z222" s="34"/>
      <c r="AA222" s="34"/>
    </row>
    <row r="223" spans="1:27" ht="15">
      <c r="A223" s="66" t="s">
        <v>326</v>
      </c>
      <c r="B223" s="66" t="s">
        <v>419</v>
      </c>
      <c r="C223" s="67" t="s">
        <v>3495</v>
      </c>
      <c r="D223" s="68">
        <v>3</v>
      </c>
      <c r="E223" s="69"/>
      <c r="F223" s="70">
        <v>50</v>
      </c>
      <c r="G223" s="67"/>
      <c r="H223" s="71"/>
      <c r="I223" s="72"/>
      <c r="J223" s="72"/>
      <c r="K223" s="34" t="s">
        <v>65</v>
      </c>
      <c r="L223" s="79">
        <v>223</v>
      </c>
      <c r="M223" s="79"/>
      <c r="N223" s="74"/>
      <c r="O223" s="81" t="s">
        <v>653</v>
      </c>
      <c r="P223">
        <v>1</v>
      </c>
      <c r="Q223" s="80" t="str">
        <f>REPLACE(INDEX(GroupVertices[Group],MATCH(Edges[[#This Row],[Vertex 1]],GroupVertices[Vertex],0)),1,1,"")</f>
        <v>8</v>
      </c>
      <c r="R223" s="80" t="str">
        <f>REPLACE(INDEX(GroupVertices[Group],MATCH(Edges[[#This Row],[Vertex 2]],GroupVertices[Vertex],0)),1,1,"")</f>
        <v>6</v>
      </c>
      <c r="S223" s="34"/>
      <c r="T223" s="34"/>
      <c r="U223" s="34"/>
      <c r="V223" s="34"/>
      <c r="W223" s="34"/>
      <c r="X223" s="34"/>
      <c r="Y223" s="34"/>
      <c r="Z223" s="34"/>
      <c r="AA223" s="34"/>
    </row>
    <row r="224" spans="1:27" ht="15">
      <c r="A224" s="66" t="s">
        <v>326</v>
      </c>
      <c r="B224" s="66" t="s">
        <v>530</v>
      </c>
      <c r="C224" s="67" t="s">
        <v>3495</v>
      </c>
      <c r="D224" s="68">
        <v>3</v>
      </c>
      <c r="E224" s="69"/>
      <c r="F224" s="70">
        <v>50</v>
      </c>
      <c r="G224" s="67"/>
      <c r="H224" s="71"/>
      <c r="I224" s="72"/>
      <c r="J224" s="72"/>
      <c r="K224" s="34" t="s">
        <v>65</v>
      </c>
      <c r="L224" s="79">
        <v>224</v>
      </c>
      <c r="M224" s="79"/>
      <c r="N224" s="74"/>
      <c r="O224" s="81" t="s">
        <v>653</v>
      </c>
      <c r="P224">
        <v>1</v>
      </c>
      <c r="Q224" s="80" t="str">
        <f>REPLACE(INDEX(GroupVertices[Group],MATCH(Edges[[#This Row],[Vertex 1]],GroupVertices[Vertex],0)),1,1,"")</f>
        <v>8</v>
      </c>
      <c r="R224" s="80" t="str">
        <f>REPLACE(INDEX(GroupVertices[Group],MATCH(Edges[[#This Row],[Vertex 2]],GroupVertices[Vertex],0)),1,1,"")</f>
        <v>8</v>
      </c>
      <c r="S224" s="34"/>
      <c r="T224" s="34"/>
      <c r="U224" s="34"/>
      <c r="V224" s="34"/>
      <c r="W224" s="34"/>
      <c r="X224" s="34"/>
      <c r="Y224" s="34"/>
      <c r="Z224" s="34"/>
      <c r="AA224" s="34"/>
    </row>
    <row r="225" spans="1:27" ht="15">
      <c r="A225" s="66" t="s">
        <v>326</v>
      </c>
      <c r="B225" s="66" t="s">
        <v>531</v>
      </c>
      <c r="C225" s="67" t="s">
        <v>3495</v>
      </c>
      <c r="D225" s="68">
        <v>3</v>
      </c>
      <c r="E225" s="69"/>
      <c r="F225" s="70">
        <v>50</v>
      </c>
      <c r="G225" s="67"/>
      <c r="H225" s="71"/>
      <c r="I225" s="72"/>
      <c r="J225" s="72"/>
      <c r="K225" s="34" t="s">
        <v>65</v>
      </c>
      <c r="L225" s="79">
        <v>225</v>
      </c>
      <c r="M225" s="79"/>
      <c r="N225" s="74"/>
      <c r="O225" s="81" t="s">
        <v>653</v>
      </c>
      <c r="P225">
        <v>1</v>
      </c>
      <c r="Q225" s="80" t="str">
        <f>REPLACE(INDEX(GroupVertices[Group],MATCH(Edges[[#This Row],[Vertex 1]],GroupVertices[Vertex],0)),1,1,"")</f>
        <v>8</v>
      </c>
      <c r="R225" s="80" t="str">
        <f>REPLACE(INDEX(GroupVertices[Group],MATCH(Edges[[#This Row],[Vertex 2]],GroupVertices[Vertex],0)),1,1,"")</f>
        <v>7</v>
      </c>
      <c r="S225" s="34"/>
      <c r="T225" s="34"/>
      <c r="U225" s="34"/>
      <c r="V225" s="34"/>
      <c r="W225" s="34"/>
      <c r="X225" s="34"/>
      <c r="Y225" s="34"/>
      <c r="Z225" s="34"/>
      <c r="AA225" s="34"/>
    </row>
    <row r="226" spans="1:27" ht="15">
      <c r="A226" s="66" t="s">
        <v>326</v>
      </c>
      <c r="B226" s="66" t="s">
        <v>532</v>
      </c>
      <c r="C226" s="67" t="s">
        <v>3495</v>
      </c>
      <c r="D226" s="68">
        <v>3</v>
      </c>
      <c r="E226" s="69"/>
      <c r="F226" s="70">
        <v>50</v>
      </c>
      <c r="G226" s="67"/>
      <c r="H226" s="71"/>
      <c r="I226" s="72"/>
      <c r="J226" s="72"/>
      <c r="K226" s="34" t="s">
        <v>65</v>
      </c>
      <c r="L226" s="79">
        <v>226</v>
      </c>
      <c r="M226" s="79"/>
      <c r="N226" s="74"/>
      <c r="O226" s="81" t="s">
        <v>653</v>
      </c>
      <c r="P226">
        <v>1</v>
      </c>
      <c r="Q226" s="80" t="str">
        <f>REPLACE(INDEX(GroupVertices[Group],MATCH(Edges[[#This Row],[Vertex 1]],GroupVertices[Vertex],0)),1,1,"")</f>
        <v>8</v>
      </c>
      <c r="R226" s="80" t="str">
        <f>REPLACE(INDEX(GroupVertices[Group],MATCH(Edges[[#This Row],[Vertex 2]],GroupVertices[Vertex],0)),1,1,"")</f>
        <v>8</v>
      </c>
      <c r="S226" s="34"/>
      <c r="T226" s="34"/>
      <c r="U226" s="34"/>
      <c r="V226" s="34"/>
      <c r="W226" s="34"/>
      <c r="X226" s="34"/>
      <c r="Y226" s="34"/>
      <c r="Z226" s="34"/>
      <c r="AA226" s="34"/>
    </row>
    <row r="227" spans="1:27" ht="15">
      <c r="A227" s="66" t="s">
        <v>326</v>
      </c>
      <c r="B227" s="66" t="s">
        <v>533</v>
      </c>
      <c r="C227" s="67" t="s">
        <v>3495</v>
      </c>
      <c r="D227" s="68">
        <v>3</v>
      </c>
      <c r="E227" s="69"/>
      <c r="F227" s="70">
        <v>50</v>
      </c>
      <c r="G227" s="67"/>
      <c r="H227" s="71"/>
      <c r="I227" s="72"/>
      <c r="J227" s="72"/>
      <c r="K227" s="34" t="s">
        <v>65</v>
      </c>
      <c r="L227" s="79">
        <v>227</v>
      </c>
      <c r="M227" s="79"/>
      <c r="N227" s="74"/>
      <c r="O227" s="81" t="s">
        <v>653</v>
      </c>
      <c r="P227">
        <v>1</v>
      </c>
      <c r="Q227" s="80" t="str">
        <f>REPLACE(INDEX(GroupVertices[Group],MATCH(Edges[[#This Row],[Vertex 1]],GroupVertices[Vertex],0)),1,1,"")</f>
        <v>8</v>
      </c>
      <c r="R227" s="80" t="str">
        <f>REPLACE(INDEX(GroupVertices[Group],MATCH(Edges[[#This Row],[Vertex 2]],GroupVertices[Vertex],0)),1,1,"")</f>
        <v>8</v>
      </c>
      <c r="S227" s="34"/>
      <c r="T227" s="34"/>
      <c r="U227" s="34"/>
      <c r="V227" s="34"/>
      <c r="W227" s="34"/>
      <c r="X227" s="34"/>
      <c r="Y227" s="34"/>
      <c r="Z227" s="34"/>
      <c r="AA227" s="34"/>
    </row>
    <row r="228" spans="1:27" ht="15">
      <c r="A228" s="66" t="s">
        <v>326</v>
      </c>
      <c r="B228" s="66" t="s">
        <v>534</v>
      </c>
      <c r="C228" s="67" t="s">
        <v>3495</v>
      </c>
      <c r="D228" s="68">
        <v>3</v>
      </c>
      <c r="E228" s="69"/>
      <c r="F228" s="70">
        <v>50</v>
      </c>
      <c r="G228" s="67"/>
      <c r="H228" s="71"/>
      <c r="I228" s="72"/>
      <c r="J228" s="72"/>
      <c r="K228" s="34" t="s">
        <v>65</v>
      </c>
      <c r="L228" s="79">
        <v>228</v>
      </c>
      <c r="M228" s="79"/>
      <c r="N228" s="74"/>
      <c r="O228" s="81" t="s">
        <v>653</v>
      </c>
      <c r="P228">
        <v>1</v>
      </c>
      <c r="Q228" s="80" t="str">
        <f>REPLACE(INDEX(GroupVertices[Group],MATCH(Edges[[#This Row],[Vertex 1]],GroupVertices[Vertex],0)),1,1,"")</f>
        <v>8</v>
      </c>
      <c r="R228" s="80" t="str">
        <f>REPLACE(INDEX(GroupVertices[Group],MATCH(Edges[[#This Row],[Vertex 2]],GroupVertices[Vertex],0)),1,1,"")</f>
        <v>1</v>
      </c>
      <c r="S228" s="34"/>
      <c r="T228" s="34"/>
      <c r="U228" s="34"/>
      <c r="V228" s="34"/>
      <c r="W228" s="34"/>
      <c r="X228" s="34"/>
      <c r="Y228" s="34"/>
      <c r="Z228" s="34"/>
      <c r="AA228" s="34"/>
    </row>
    <row r="229" spans="1:27" ht="15">
      <c r="A229" s="66" t="s">
        <v>326</v>
      </c>
      <c r="B229" s="66" t="s">
        <v>535</v>
      </c>
      <c r="C229" s="67" t="s">
        <v>3495</v>
      </c>
      <c r="D229" s="68">
        <v>3</v>
      </c>
      <c r="E229" s="69"/>
      <c r="F229" s="70">
        <v>50</v>
      </c>
      <c r="G229" s="67"/>
      <c r="H229" s="71"/>
      <c r="I229" s="72"/>
      <c r="J229" s="72"/>
      <c r="K229" s="34" t="s">
        <v>65</v>
      </c>
      <c r="L229" s="79">
        <v>229</v>
      </c>
      <c r="M229" s="79"/>
      <c r="N229" s="74"/>
      <c r="O229" s="81" t="s">
        <v>653</v>
      </c>
      <c r="P229">
        <v>1</v>
      </c>
      <c r="Q229" s="80" t="str">
        <f>REPLACE(INDEX(GroupVertices[Group],MATCH(Edges[[#This Row],[Vertex 1]],GroupVertices[Vertex],0)),1,1,"")</f>
        <v>8</v>
      </c>
      <c r="R229" s="80" t="str">
        <f>REPLACE(INDEX(GroupVertices[Group],MATCH(Edges[[#This Row],[Vertex 2]],GroupVertices[Vertex],0)),1,1,"")</f>
        <v>1</v>
      </c>
      <c r="S229" s="34"/>
      <c r="T229" s="34"/>
      <c r="U229" s="34"/>
      <c r="V229" s="34"/>
      <c r="W229" s="34"/>
      <c r="X229" s="34"/>
      <c r="Y229" s="34"/>
      <c r="Z229" s="34"/>
      <c r="AA229" s="34"/>
    </row>
    <row r="230" spans="1:27" ht="15">
      <c r="A230" s="66" t="s">
        <v>326</v>
      </c>
      <c r="B230" s="66" t="s">
        <v>330</v>
      </c>
      <c r="C230" s="67" t="s">
        <v>3495</v>
      </c>
      <c r="D230" s="68">
        <v>3</v>
      </c>
      <c r="E230" s="69"/>
      <c r="F230" s="70">
        <v>50</v>
      </c>
      <c r="G230" s="67"/>
      <c r="H230" s="71"/>
      <c r="I230" s="72"/>
      <c r="J230" s="72"/>
      <c r="K230" s="34" t="s">
        <v>65</v>
      </c>
      <c r="L230" s="79">
        <v>230</v>
      </c>
      <c r="M230" s="79"/>
      <c r="N230" s="74"/>
      <c r="O230" s="81" t="s">
        <v>653</v>
      </c>
      <c r="P230">
        <v>1</v>
      </c>
      <c r="Q230" s="80" t="str">
        <f>REPLACE(INDEX(GroupVertices[Group],MATCH(Edges[[#This Row],[Vertex 1]],GroupVertices[Vertex],0)),1,1,"")</f>
        <v>8</v>
      </c>
      <c r="R230" s="80" t="str">
        <f>REPLACE(INDEX(GroupVertices[Group],MATCH(Edges[[#This Row],[Vertex 2]],GroupVertices[Vertex],0)),1,1,"")</f>
        <v>4</v>
      </c>
      <c r="S230" s="34"/>
      <c r="T230" s="34"/>
      <c r="U230" s="34"/>
      <c r="V230" s="34"/>
      <c r="W230" s="34"/>
      <c r="X230" s="34"/>
      <c r="Y230" s="34"/>
      <c r="Z230" s="34"/>
      <c r="AA230" s="34"/>
    </row>
    <row r="231" spans="1:27" ht="15">
      <c r="A231" s="66" t="s">
        <v>326</v>
      </c>
      <c r="B231" s="66" t="s">
        <v>536</v>
      </c>
      <c r="C231" s="67" t="s">
        <v>3495</v>
      </c>
      <c r="D231" s="68">
        <v>3</v>
      </c>
      <c r="E231" s="69"/>
      <c r="F231" s="70">
        <v>50</v>
      </c>
      <c r="G231" s="67"/>
      <c r="H231" s="71"/>
      <c r="I231" s="72"/>
      <c r="J231" s="72"/>
      <c r="K231" s="34" t="s">
        <v>65</v>
      </c>
      <c r="L231" s="79">
        <v>231</v>
      </c>
      <c r="M231" s="79"/>
      <c r="N231" s="74"/>
      <c r="O231" s="81" t="s">
        <v>653</v>
      </c>
      <c r="P231">
        <v>1</v>
      </c>
      <c r="Q231" s="80" t="str">
        <f>REPLACE(INDEX(GroupVertices[Group],MATCH(Edges[[#This Row],[Vertex 1]],GroupVertices[Vertex],0)),1,1,"")</f>
        <v>8</v>
      </c>
      <c r="R231" s="80" t="str">
        <f>REPLACE(INDEX(GroupVertices[Group],MATCH(Edges[[#This Row],[Vertex 2]],GroupVertices[Vertex],0)),1,1,"")</f>
        <v>5</v>
      </c>
      <c r="S231" s="34"/>
      <c r="T231" s="34"/>
      <c r="U231" s="34"/>
      <c r="V231" s="34"/>
      <c r="W231" s="34"/>
      <c r="X231" s="34"/>
      <c r="Y231" s="34"/>
      <c r="Z231" s="34"/>
      <c r="AA231" s="34"/>
    </row>
    <row r="232" spans="1:27" ht="15">
      <c r="A232" s="66" t="s">
        <v>326</v>
      </c>
      <c r="B232" s="66" t="s">
        <v>537</v>
      </c>
      <c r="C232" s="67" t="s">
        <v>3495</v>
      </c>
      <c r="D232" s="68">
        <v>3</v>
      </c>
      <c r="E232" s="69"/>
      <c r="F232" s="70">
        <v>50</v>
      </c>
      <c r="G232" s="67"/>
      <c r="H232" s="71"/>
      <c r="I232" s="72"/>
      <c r="J232" s="72"/>
      <c r="K232" s="34" t="s">
        <v>65</v>
      </c>
      <c r="L232" s="79">
        <v>232</v>
      </c>
      <c r="M232" s="79"/>
      <c r="N232" s="74"/>
      <c r="O232" s="81" t="s">
        <v>653</v>
      </c>
      <c r="P232">
        <v>1</v>
      </c>
      <c r="Q232" s="80" t="str">
        <f>REPLACE(INDEX(GroupVertices[Group],MATCH(Edges[[#This Row],[Vertex 1]],GroupVertices[Vertex],0)),1,1,"")</f>
        <v>8</v>
      </c>
      <c r="R232" s="80" t="str">
        <f>REPLACE(INDEX(GroupVertices[Group],MATCH(Edges[[#This Row],[Vertex 2]],GroupVertices[Vertex],0)),1,1,"")</f>
        <v>1</v>
      </c>
      <c r="S232" s="34"/>
      <c r="T232" s="34"/>
      <c r="U232" s="34"/>
      <c r="V232" s="34"/>
      <c r="W232" s="34"/>
      <c r="X232" s="34"/>
      <c r="Y232" s="34"/>
      <c r="Z232" s="34"/>
      <c r="AA232" s="34"/>
    </row>
    <row r="233" spans="1:27" ht="15">
      <c r="A233" s="66" t="s">
        <v>326</v>
      </c>
      <c r="B233" s="66" t="s">
        <v>421</v>
      </c>
      <c r="C233" s="67" t="s">
        <v>3495</v>
      </c>
      <c r="D233" s="68">
        <v>3</v>
      </c>
      <c r="E233" s="69"/>
      <c r="F233" s="70">
        <v>50</v>
      </c>
      <c r="G233" s="67"/>
      <c r="H233" s="71"/>
      <c r="I233" s="72"/>
      <c r="J233" s="72"/>
      <c r="K233" s="34" t="s">
        <v>65</v>
      </c>
      <c r="L233" s="79">
        <v>233</v>
      </c>
      <c r="M233" s="79"/>
      <c r="N233" s="74"/>
      <c r="O233" s="81" t="s">
        <v>653</v>
      </c>
      <c r="P233">
        <v>1</v>
      </c>
      <c r="Q233" s="80" t="str">
        <f>REPLACE(INDEX(GroupVertices[Group],MATCH(Edges[[#This Row],[Vertex 1]],GroupVertices[Vertex],0)),1,1,"")</f>
        <v>8</v>
      </c>
      <c r="R233" s="80" t="str">
        <f>REPLACE(INDEX(GroupVertices[Group],MATCH(Edges[[#This Row],[Vertex 2]],GroupVertices[Vertex],0)),1,1,"")</f>
        <v>4</v>
      </c>
      <c r="S233" s="34"/>
      <c r="T233" s="34"/>
      <c r="U233" s="34"/>
      <c r="V233" s="34"/>
      <c r="W233" s="34"/>
      <c r="X233" s="34"/>
      <c r="Y233" s="34"/>
      <c r="Z233" s="34"/>
      <c r="AA233" s="34"/>
    </row>
    <row r="234" spans="1:27" ht="15">
      <c r="A234" s="66" t="s">
        <v>326</v>
      </c>
      <c r="B234" s="66" t="s">
        <v>422</v>
      </c>
      <c r="C234" s="67" t="s">
        <v>3495</v>
      </c>
      <c r="D234" s="68">
        <v>3</v>
      </c>
      <c r="E234" s="69"/>
      <c r="F234" s="70">
        <v>50</v>
      </c>
      <c r="G234" s="67"/>
      <c r="H234" s="71"/>
      <c r="I234" s="72"/>
      <c r="J234" s="72"/>
      <c r="K234" s="34" t="s">
        <v>65</v>
      </c>
      <c r="L234" s="79">
        <v>234</v>
      </c>
      <c r="M234" s="79"/>
      <c r="N234" s="74"/>
      <c r="O234" s="81" t="s">
        <v>653</v>
      </c>
      <c r="P234">
        <v>1</v>
      </c>
      <c r="Q234" s="80" t="str">
        <f>REPLACE(INDEX(GroupVertices[Group],MATCH(Edges[[#This Row],[Vertex 1]],GroupVertices[Vertex],0)),1,1,"")</f>
        <v>8</v>
      </c>
      <c r="R234" s="80" t="str">
        <f>REPLACE(INDEX(GroupVertices[Group],MATCH(Edges[[#This Row],[Vertex 2]],GroupVertices[Vertex],0)),1,1,"")</f>
        <v>1</v>
      </c>
      <c r="S234" s="34"/>
      <c r="T234" s="34"/>
      <c r="U234" s="34"/>
      <c r="V234" s="34"/>
      <c r="W234" s="34"/>
      <c r="X234" s="34"/>
      <c r="Y234" s="34"/>
      <c r="Z234" s="34"/>
      <c r="AA234" s="34"/>
    </row>
    <row r="235" spans="1:27" ht="15">
      <c r="A235" s="66" t="s">
        <v>326</v>
      </c>
      <c r="B235" s="66" t="s">
        <v>538</v>
      </c>
      <c r="C235" s="67" t="s">
        <v>3495</v>
      </c>
      <c r="D235" s="68">
        <v>3</v>
      </c>
      <c r="E235" s="69"/>
      <c r="F235" s="70">
        <v>50</v>
      </c>
      <c r="G235" s="67"/>
      <c r="H235" s="71"/>
      <c r="I235" s="72"/>
      <c r="J235" s="72"/>
      <c r="K235" s="34" t="s">
        <v>65</v>
      </c>
      <c r="L235" s="79">
        <v>235</v>
      </c>
      <c r="M235" s="79"/>
      <c r="N235" s="74"/>
      <c r="O235" s="81" t="s">
        <v>653</v>
      </c>
      <c r="P235">
        <v>1</v>
      </c>
      <c r="Q235" s="80" t="str">
        <f>REPLACE(INDEX(GroupVertices[Group],MATCH(Edges[[#This Row],[Vertex 1]],GroupVertices[Vertex],0)),1,1,"")</f>
        <v>8</v>
      </c>
      <c r="R235" s="80" t="str">
        <f>REPLACE(INDEX(GroupVertices[Group],MATCH(Edges[[#This Row],[Vertex 2]],GroupVertices[Vertex],0)),1,1,"")</f>
        <v>1</v>
      </c>
      <c r="S235" s="34"/>
      <c r="T235" s="34"/>
      <c r="U235" s="34"/>
      <c r="V235" s="34"/>
      <c r="W235" s="34"/>
      <c r="X235" s="34"/>
      <c r="Y235" s="34"/>
      <c r="Z235" s="34"/>
      <c r="AA235" s="34"/>
    </row>
    <row r="236" spans="1:27" ht="15">
      <c r="A236" s="66" t="s">
        <v>327</v>
      </c>
      <c r="B236" s="66" t="s">
        <v>326</v>
      </c>
      <c r="C236" s="67" t="s">
        <v>3495</v>
      </c>
      <c r="D236" s="68">
        <v>3</v>
      </c>
      <c r="E236" s="69"/>
      <c r="F236" s="70">
        <v>50</v>
      </c>
      <c r="G236" s="67"/>
      <c r="H236" s="71"/>
      <c r="I236" s="72"/>
      <c r="J236" s="72"/>
      <c r="K236" s="34" t="s">
        <v>66</v>
      </c>
      <c r="L236" s="79">
        <v>236</v>
      </c>
      <c r="M236" s="79"/>
      <c r="N236" s="74"/>
      <c r="O236" s="81" t="s">
        <v>653</v>
      </c>
      <c r="P236">
        <v>1</v>
      </c>
      <c r="Q236" s="80" t="str">
        <f>REPLACE(INDEX(GroupVertices[Group],MATCH(Edges[[#This Row],[Vertex 1]],GroupVertices[Vertex],0)),1,1,"")</f>
        <v>7</v>
      </c>
      <c r="R236" s="80" t="str">
        <f>REPLACE(INDEX(GroupVertices[Group],MATCH(Edges[[#This Row],[Vertex 2]],GroupVertices[Vertex],0)),1,1,"")</f>
        <v>8</v>
      </c>
      <c r="S236" s="34"/>
      <c r="T236" s="34"/>
      <c r="U236" s="34"/>
      <c r="V236" s="34"/>
      <c r="W236" s="34"/>
      <c r="X236" s="34"/>
      <c r="Y236" s="34"/>
      <c r="Z236" s="34"/>
      <c r="AA236" s="34"/>
    </row>
    <row r="237" spans="1:27" ht="15">
      <c r="A237" s="66" t="s">
        <v>327</v>
      </c>
      <c r="B237" s="66" t="s">
        <v>539</v>
      </c>
      <c r="C237" s="67" t="s">
        <v>3495</v>
      </c>
      <c r="D237" s="68">
        <v>3</v>
      </c>
      <c r="E237" s="69"/>
      <c r="F237" s="70">
        <v>50</v>
      </c>
      <c r="G237" s="67"/>
      <c r="H237" s="71"/>
      <c r="I237" s="72"/>
      <c r="J237" s="72"/>
      <c r="K237" s="34" t="s">
        <v>65</v>
      </c>
      <c r="L237" s="79">
        <v>237</v>
      </c>
      <c r="M237" s="79"/>
      <c r="N237" s="74"/>
      <c r="O237" s="81" t="s">
        <v>653</v>
      </c>
      <c r="P237">
        <v>1</v>
      </c>
      <c r="Q237" s="80" t="str">
        <f>REPLACE(INDEX(GroupVertices[Group],MATCH(Edges[[#This Row],[Vertex 1]],GroupVertices[Vertex],0)),1,1,"")</f>
        <v>7</v>
      </c>
      <c r="R237" s="80" t="str">
        <f>REPLACE(INDEX(GroupVertices[Group],MATCH(Edges[[#This Row],[Vertex 2]],GroupVertices[Vertex],0)),1,1,"")</f>
        <v>7</v>
      </c>
      <c r="S237" s="34"/>
      <c r="T237" s="34"/>
      <c r="U237" s="34"/>
      <c r="V237" s="34"/>
      <c r="W237" s="34"/>
      <c r="X237" s="34"/>
      <c r="Y237" s="34"/>
      <c r="Z237" s="34"/>
      <c r="AA237" s="34"/>
    </row>
    <row r="238" spans="1:27" ht="15">
      <c r="A238" s="66" t="s">
        <v>327</v>
      </c>
      <c r="B238" s="66" t="s">
        <v>540</v>
      </c>
      <c r="C238" s="67" t="s">
        <v>3495</v>
      </c>
      <c r="D238" s="68">
        <v>3</v>
      </c>
      <c r="E238" s="69"/>
      <c r="F238" s="70">
        <v>50</v>
      </c>
      <c r="G238" s="67"/>
      <c r="H238" s="71"/>
      <c r="I238" s="72"/>
      <c r="J238" s="72"/>
      <c r="K238" s="34" t="s">
        <v>65</v>
      </c>
      <c r="L238" s="79">
        <v>238</v>
      </c>
      <c r="M238" s="79"/>
      <c r="N238" s="74"/>
      <c r="O238" s="81" t="s">
        <v>653</v>
      </c>
      <c r="P238">
        <v>1</v>
      </c>
      <c r="Q238" s="80" t="str">
        <f>REPLACE(INDEX(GroupVertices[Group],MATCH(Edges[[#This Row],[Vertex 1]],GroupVertices[Vertex],0)),1,1,"")</f>
        <v>7</v>
      </c>
      <c r="R238" s="80" t="str">
        <f>REPLACE(INDEX(GroupVertices[Group],MATCH(Edges[[#This Row],[Vertex 2]],GroupVertices[Vertex],0)),1,1,"")</f>
        <v>7</v>
      </c>
      <c r="S238" s="34"/>
      <c r="T238" s="34"/>
      <c r="U238" s="34"/>
      <c r="V238" s="34"/>
      <c r="W238" s="34"/>
      <c r="X238" s="34"/>
      <c r="Y238" s="34"/>
      <c r="Z238" s="34"/>
      <c r="AA238" s="34"/>
    </row>
    <row r="239" spans="1:27" ht="15">
      <c r="A239" s="66" t="s">
        <v>327</v>
      </c>
      <c r="B239" s="66" t="s">
        <v>541</v>
      </c>
      <c r="C239" s="67" t="s">
        <v>3495</v>
      </c>
      <c r="D239" s="68">
        <v>3</v>
      </c>
      <c r="E239" s="69"/>
      <c r="F239" s="70">
        <v>50</v>
      </c>
      <c r="G239" s="67"/>
      <c r="H239" s="71"/>
      <c r="I239" s="72"/>
      <c r="J239" s="72"/>
      <c r="K239" s="34" t="s">
        <v>65</v>
      </c>
      <c r="L239" s="79">
        <v>239</v>
      </c>
      <c r="M239" s="79"/>
      <c r="N239" s="74"/>
      <c r="O239" s="81" t="s">
        <v>653</v>
      </c>
      <c r="P239">
        <v>1</v>
      </c>
      <c r="Q239" s="80" t="str">
        <f>REPLACE(INDEX(GroupVertices[Group],MATCH(Edges[[#This Row],[Vertex 1]],GroupVertices[Vertex],0)),1,1,"")</f>
        <v>7</v>
      </c>
      <c r="R239" s="80" t="str">
        <f>REPLACE(INDEX(GroupVertices[Group],MATCH(Edges[[#This Row],[Vertex 2]],GroupVertices[Vertex],0)),1,1,"")</f>
        <v>7</v>
      </c>
      <c r="S239" s="34"/>
      <c r="T239" s="34"/>
      <c r="U239" s="34"/>
      <c r="V239" s="34"/>
      <c r="W239" s="34"/>
      <c r="X239" s="34"/>
      <c r="Y239" s="34"/>
      <c r="Z239" s="34"/>
      <c r="AA239" s="34"/>
    </row>
    <row r="240" spans="1:27" ht="15">
      <c r="A240" s="66" t="s">
        <v>325</v>
      </c>
      <c r="B240" s="66" t="s">
        <v>409</v>
      </c>
      <c r="C240" s="67" t="s">
        <v>3495</v>
      </c>
      <c r="D240" s="68">
        <v>3</v>
      </c>
      <c r="E240" s="69"/>
      <c r="F240" s="70">
        <v>50</v>
      </c>
      <c r="G240" s="67"/>
      <c r="H240" s="71"/>
      <c r="I240" s="72"/>
      <c r="J240" s="72"/>
      <c r="K240" s="34" t="s">
        <v>65</v>
      </c>
      <c r="L240" s="79">
        <v>240</v>
      </c>
      <c r="M240" s="79"/>
      <c r="N240" s="74"/>
      <c r="O240" s="81" t="s">
        <v>653</v>
      </c>
      <c r="P240">
        <v>1</v>
      </c>
      <c r="Q240" s="80" t="str">
        <f>REPLACE(INDEX(GroupVertices[Group],MATCH(Edges[[#This Row],[Vertex 1]],GroupVertices[Vertex],0)),1,1,"")</f>
        <v>1</v>
      </c>
      <c r="R240" s="80" t="str">
        <f>REPLACE(INDEX(GroupVertices[Group],MATCH(Edges[[#This Row],[Vertex 2]],GroupVertices[Vertex],0)),1,1,"")</f>
        <v>7</v>
      </c>
      <c r="S240" s="34"/>
      <c r="T240" s="34"/>
      <c r="U240" s="34"/>
      <c r="V240" s="34"/>
      <c r="W240" s="34"/>
      <c r="X240" s="34"/>
      <c r="Y240" s="34"/>
      <c r="Z240" s="34"/>
      <c r="AA240" s="34"/>
    </row>
    <row r="241" spans="1:27" ht="15">
      <c r="A241" s="66" t="s">
        <v>327</v>
      </c>
      <c r="B241" s="66" t="s">
        <v>409</v>
      </c>
      <c r="C241" s="67" t="s">
        <v>3495</v>
      </c>
      <c r="D241" s="68">
        <v>3</v>
      </c>
      <c r="E241" s="69"/>
      <c r="F241" s="70">
        <v>50</v>
      </c>
      <c r="G241" s="67"/>
      <c r="H241" s="71"/>
      <c r="I241" s="72"/>
      <c r="J241" s="72"/>
      <c r="K241" s="34" t="s">
        <v>65</v>
      </c>
      <c r="L241" s="79">
        <v>241</v>
      </c>
      <c r="M241" s="79"/>
      <c r="N241" s="74"/>
      <c r="O241" s="81" t="s">
        <v>653</v>
      </c>
      <c r="P241">
        <v>1</v>
      </c>
      <c r="Q241" s="80" t="str">
        <f>REPLACE(INDEX(GroupVertices[Group],MATCH(Edges[[#This Row],[Vertex 1]],GroupVertices[Vertex],0)),1,1,"")</f>
        <v>7</v>
      </c>
      <c r="R241" s="80" t="str">
        <f>REPLACE(INDEX(GroupVertices[Group],MATCH(Edges[[#This Row],[Vertex 2]],GroupVertices[Vertex],0)),1,1,"")</f>
        <v>7</v>
      </c>
      <c r="S241" s="34"/>
      <c r="T241" s="34"/>
      <c r="U241" s="34"/>
      <c r="V241" s="34"/>
      <c r="W241" s="34"/>
      <c r="X241" s="34"/>
      <c r="Y241" s="34"/>
      <c r="Z241" s="34"/>
      <c r="AA241" s="34"/>
    </row>
    <row r="242" spans="1:27" ht="15">
      <c r="A242" s="66" t="s">
        <v>325</v>
      </c>
      <c r="B242" s="66" t="s">
        <v>532</v>
      </c>
      <c r="C242" s="67" t="s">
        <v>3495</v>
      </c>
      <c r="D242" s="68">
        <v>3</v>
      </c>
      <c r="E242" s="69"/>
      <c r="F242" s="70">
        <v>50</v>
      </c>
      <c r="G242" s="67"/>
      <c r="H242" s="71"/>
      <c r="I242" s="72"/>
      <c r="J242" s="72"/>
      <c r="K242" s="34" t="s">
        <v>65</v>
      </c>
      <c r="L242" s="79">
        <v>242</v>
      </c>
      <c r="M242" s="79"/>
      <c r="N242" s="74"/>
      <c r="O242" s="81" t="s">
        <v>653</v>
      </c>
      <c r="P242">
        <v>1</v>
      </c>
      <c r="Q242" s="80" t="str">
        <f>REPLACE(INDEX(GroupVertices[Group],MATCH(Edges[[#This Row],[Vertex 1]],GroupVertices[Vertex],0)),1,1,"")</f>
        <v>1</v>
      </c>
      <c r="R242" s="80" t="str">
        <f>REPLACE(INDEX(GroupVertices[Group],MATCH(Edges[[#This Row],[Vertex 2]],GroupVertices[Vertex],0)),1,1,"")</f>
        <v>8</v>
      </c>
      <c r="S242" s="34"/>
      <c r="T242" s="34"/>
      <c r="U242" s="34"/>
      <c r="V242" s="34"/>
      <c r="W242" s="34"/>
      <c r="X242" s="34"/>
      <c r="Y242" s="34"/>
      <c r="Z242" s="34"/>
      <c r="AA242" s="34"/>
    </row>
    <row r="243" spans="1:27" ht="15">
      <c r="A243" s="66" t="s">
        <v>327</v>
      </c>
      <c r="B243" s="66" t="s">
        <v>532</v>
      </c>
      <c r="C243" s="67" t="s">
        <v>3495</v>
      </c>
      <c r="D243" s="68">
        <v>3</v>
      </c>
      <c r="E243" s="69"/>
      <c r="F243" s="70">
        <v>50</v>
      </c>
      <c r="G243" s="67"/>
      <c r="H243" s="71"/>
      <c r="I243" s="72"/>
      <c r="J243" s="72"/>
      <c r="K243" s="34" t="s">
        <v>65</v>
      </c>
      <c r="L243" s="79">
        <v>243</v>
      </c>
      <c r="M243" s="79"/>
      <c r="N243" s="74"/>
      <c r="O243" s="81" t="s">
        <v>653</v>
      </c>
      <c r="P243">
        <v>1</v>
      </c>
      <c r="Q243" s="80" t="str">
        <f>REPLACE(INDEX(GroupVertices[Group],MATCH(Edges[[#This Row],[Vertex 1]],GroupVertices[Vertex],0)),1,1,"")</f>
        <v>7</v>
      </c>
      <c r="R243" s="80" t="str">
        <f>REPLACE(INDEX(GroupVertices[Group],MATCH(Edges[[#This Row],[Vertex 2]],GroupVertices[Vertex],0)),1,1,"")</f>
        <v>8</v>
      </c>
      <c r="S243" s="34"/>
      <c r="T243" s="34"/>
      <c r="U243" s="34"/>
      <c r="V243" s="34"/>
      <c r="W243" s="34"/>
      <c r="X243" s="34"/>
      <c r="Y243" s="34"/>
      <c r="Z243" s="34"/>
      <c r="AA243" s="34"/>
    </row>
    <row r="244" spans="1:27" ht="15">
      <c r="A244" s="66" t="s">
        <v>327</v>
      </c>
      <c r="B244" s="66" t="s">
        <v>542</v>
      </c>
      <c r="C244" s="67" t="s">
        <v>3495</v>
      </c>
      <c r="D244" s="68">
        <v>3</v>
      </c>
      <c r="E244" s="69"/>
      <c r="F244" s="70">
        <v>50</v>
      </c>
      <c r="G244" s="67"/>
      <c r="H244" s="71"/>
      <c r="I244" s="72"/>
      <c r="J244" s="72"/>
      <c r="K244" s="34" t="s">
        <v>65</v>
      </c>
      <c r="L244" s="79">
        <v>244</v>
      </c>
      <c r="M244" s="79"/>
      <c r="N244" s="74"/>
      <c r="O244" s="81" t="s">
        <v>653</v>
      </c>
      <c r="P244">
        <v>1</v>
      </c>
      <c r="Q244" s="80" t="str">
        <f>REPLACE(INDEX(GroupVertices[Group],MATCH(Edges[[#This Row],[Vertex 1]],GroupVertices[Vertex],0)),1,1,"")</f>
        <v>7</v>
      </c>
      <c r="R244" s="80" t="str">
        <f>REPLACE(INDEX(GroupVertices[Group],MATCH(Edges[[#This Row],[Vertex 2]],GroupVertices[Vertex],0)),1,1,"")</f>
        <v>7</v>
      </c>
      <c r="S244" s="34"/>
      <c r="T244" s="34"/>
      <c r="U244" s="34"/>
      <c r="V244" s="34"/>
      <c r="W244" s="34"/>
      <c r="X244" s="34"/>
      <c r="Y244" s="34"/>
      <c r="Z244" s="34"/>
      <c r="AA244" s="34"/>
    </row>
    <row r="245" spans="1:27" ht="15">
      <c r="A245" s="66" t="s">
        <v>327</v>
      </c>
      <c r="B245" s="66" t="s">
        <v>524</v>
      </c>
      <c r="C245" s="67" t="s">
        <v>3495</v>
      </c>
      <c r="D245" s="68">
        <v>3</v>
      </c>
      <c r="E245" s="69"/>
      <c r="F245" s="70">
        <v>50</v>
      </c>
      <c r="G245" s="67"/>
      <c r="H245" s="71"/>
      <c r="I245" s="72"/>
      <c r="J245" s="72"/>
      <c r="K245" s="34" t="s">
        <v>65</v>
      </c>
      <c r="L245" s="79">
        <v>245</v>
      </c>
      <c r="M245" s="79"/>
      <c r="N245" s="74"/>
      <c r="O245" s="81" t="s">
        <v>653</v>
      </c>
      <c r="P245">
        <v>1</v>
      </c>
      <c r="Q245" s="80" t="str">
        <f>REPLACE(INDEX(GroupVertices[Group],MATCH(Edges[[#This Row],[Vertex 1]],GroupVertices[Vertex],0)),1,1,"")</f>
        <v>7</v>
      </c>
      <c r="R245" s="80" t="str">
        <f>REPLACE(INDEX(GroupVertices[Group],MATCH(Edges[[#This Row],[Vertex 2]],GroupVertices[Vertex],0)),1,1,"")</f>
        <v>7</v>
      </c>
      <c r="S245" s="34"/>
      <c r="T245" s="34"/>
      <c r="U245" s="34"/>
      <c r="V245" s="34"/>
      <c r="W245" s="34"/>
      <c r="X245" s="34"/>
      <c r="Y245" s="34"/>
      <c r="Z245" s="34"/>
      <c r="AA245" s="34"/>
    </row>
    <row r="246" spans="1:27" ht="15">
      <c r="A246" s="66" t="s">
        <v>325</v>
      </c>
      <c r="B246" s="66" t="s">
        <v>412</v>
      </c>
      <c r="C246" s="67" t="s">
        <v>3495</v>
      </c>
      <c r="D246" s="68">
        <v>3</v>
      </c>
      <c r="E246" s="69"/>
      <c r="F246" s="70">
        <v>50</v>
      </c>
      <c r="G246" s="67"/>
      <c r="H246" s="71"/>
      <c r="I246" s="72"/>
      <c r="J246" s="72"/>
      <c r="K246" s="34" t="s">
        <v>65</v>
      </c>
      <c r="L246" s="79">
        <v>246</v>
      </c>
      <c r="M246" s="79"/>
      <c r="N246" s="74"/>
      <c r="O246" s="81" t="s">
        <v>653</v>
      </c>
      <c r="P246">
        <v>1</v>
      </c>
      <c r="Q246" s="80" t="str">
        <f>REPLACE(INDEX(GroupVertices[Group],MATCH(Edges[[#This Row],[Vertex 1]],GroupVertices[Vertex],0)),1,1,"")</f>
        <v>1</v>
      </c>
      <c r="R246" s="80" t="str">
        <f>REPLACE(INDEX(GroupVertices[Group],MATCH(Edges[[#This Row],[Vertex 2]],GroupVertices[Vertex],0)),1,1,"")</f>
        <v>6</v>
      </c>
      <c r="S246" s="34"/>
      <c r="T246" s="34"/>
      <c r="U246" s="34"/>
      <c r="V246" s="34"/>
      <c r="W246" s="34"/>
      <c r="X246" s="34"/>
      <c r="Y246" s="34"/>
      <c r="Z246" s="34"/>
      <c r="AA246" s="34"/>
    </row>
    <row r="247" spans="1:27" ht="15">
      <c r="A247" s="66" t="s">
        <v>327</v>
      </c>
      <c r="B247" s="66" t="s">
        <v>412</v>
      </c>
      <c r="C247" s="67" t="s">
        <v>3495</v>
      </c>
      <c r="D247" s="68">
        <v>3</v>
      </c>
      <c r="E247" s="69"/>
      <c r="F247" s="70">
        <v>50</v>
      </c>
      <c r="G247" s="67"/>
      <c r="H247" s="71"/>
      <c r="I247" s="72"/>
      <c r="J247" s="72"/>
      <c r="K247" s="34" t="s">
        <v>65</v>
      </c>
      <c r="L247" s="79">
        <v>247</v>
      </c>
      <c r="M247" s="79"/>
      <c r="N247" s="74"/>
      <c r="O247" s="81" t="s">
        <v>653</v>
      </c>
      <c r="P247">
        <v>1</v>
      </c>
      <c r="Q247" s="80" t="str">
        <f>REPLACE(INDEX(GroupVertices[Group],MATCH(Edges[[#This Row],[Vertex 1]],GroupVertices[Vertex],0)),1,1,"")</f>
        <v>7</v>
      </c>
      <c r="R247" s="80" t="str">
        <f>REPLACE(INDEX(GroupVertices[Group],MATCH(Edges[[#This Row],[Vertex 2]],GroupVertices[Vertex],0)),1,1,"")</f>
        <v>6</v>
      </c>
      <c r="S247" s="34"/>
      <c r="T247" s="34"/>
      <c r="U247" s="34"/>
      <c r="V247" s="34"/>
      <c r="W247" s="34"/>
      <c r="X247" s="34"/>
      <c r="Y247" s="34"/>
      <c r="Z247" s="34"/>
      <c r="AA247" s="34"/>
    </row>
    <row r="248" spans="1:27" ht="15">
      <c r="A248" s="66" t="s">
        <v>327</v>
      </c>
      <c r="B248" s="66" t="s">
        <v>531</v>
      </c>
      <c r="C248" s="67" t="s">
        <v>3495</v>
      </c>
      <c r="D248" s="68">
        <v>3</v>
      </c>
      <c r="E248" s="69"/>
      <c r="F248" s="70">
        <v>50</v>
      </c>
      <c r="G248" s="67"/>
      <c r="H248" s="71"/>
      <c r="I248" s="72"/>
      <c r="J248" s="72"/>
      <c r="K248" s="34" t="s">
        <v>65</v>
      </c>
      <c r="L248" s="79">
        <v>248</v>
      </c>
      <c r="M248" s="79"/>
      <c r="N248" s="74"/>
      <c r="O248" s="81" t="s">
        <v>653</v>
      </c>
      <c r="P248">
        <v>1</v>
      </c>
      <c r="Q248" s="80" t="str">
        <f>REPLACE(INDEX(GroupVertices[Group],MATCH(Edges[[#This Row],[Vertex 1]],GroupVertices[Vertex],0)),1,1,"")</f>
        <v>7</v>
      </c>
      <c r="R248" s="80" t="str">
        <f>REPLACE(INDEX(GroupVertices[Group],MATCH(Edges[[#This Row],[Vertex 2]],GroupVertices[Vertex],0)),1,1,"")</f>
        <v>7</v>
      </c>
      <c r="S248" s="34"/>
      <c r="T248" s="34"/>
      <c r="U248" s="34"/>
      <c r="V248" s="34"/>
      <c r="W248" s="34"/>
      <c r="X248" s="34"/>
      <c r="Y248" s="34"/>
      <c r="Z248" s="34"/>
      <c r="AA248" s="34"/>
    </row>
    <row r="249" spans="1:27" ht="15">
      <c r="A249" s="66" t="s">
        <v>327</v>
      </c>
      <c r="B249" s="66" t="s">
        <v>543</v>
      </c>
      <c r="C249" s="67" t="s">
        <v>3495</v>
      </c>
      <c r="D249" s="68">
        <v>3</v>
      </c>
      <c r="E249" s="69"/>
      <c r="F249" s="70">
        <v>50</v>
      </c>
      <c r="G249" s="67"/>
      <c r="H249" s="71"/>
      <c r="I249" s="72"/>
      <c r="J249" s="72"/>
      <c r="K249" s="34" t="s">
        <v>65</v>
      </c>
      <c r="L249" s="79">
        <v>249</v>
      </c>
      <c r="M249" s="79"/>
      <c r="N249" s="74"/>
      <c r="O249" s="81" t="s">
        <v>653</v>
      </c>
      <c r="P249">
        <v>1</v>
      </c>
      <c r="Q249" s="80" t="str">
        <f>REPLACE(INDEX(GroupVertices[Group],MATCH(Edges[[#This Row],[Vertex 1]],GroupVertices[Vertex],0)),1,1,"")</f>
        <v>7</v>
      </c>
      <c r="R249" s="80" t="str">
        <f>REPLACE(INDEX(GroupVertices[Group],MATCH(Edges[[#This Row],[Vertex 2]],GroupVertices[Vertex],0)),1,1,"")</f>
        <v>7</v>
      </c>
      <c r="S249" s="34"/>
      <c r="T249" s="34"/>
      <c r="U249" s="34"/>
      <c r="V249" s="34"/>
      <c r="W249" s="34"/>
      <c r="X249" s="34"/>
      <c r="Y249" s="34"/>
      <c r="Z249" s="34"/>
      <c r="AA249" s="34"/>
    </row>
    <row r="250" spans="1:27" ht="15">
      <c r="A250" s="66" t="s">
        <v>327</v>
      </c>
      <c r="B250" s="66" t="s">
        <v>410</v>
      </c>
      <c r="C250" s="67" t="s">
        <v>3495</v>
      </c>
      <c r="D250" s="68">
        <v>3</v>
      </c>
      <c r="E250" s="69"/>
      <c r="F250" s="70">
        <v>50</v>
      </c>
      <c r="G250" s="67"/>
      <c r="H250" s="71"/>
      <c r="I250" s="72"/>
      <c r="J250" s="72"/>
      <c r="K250" s="34" t="s">
        <v>65</v>
      </c>
      <c r="L250" s="79">
        <v>250</v>
      </c>
      <c r="M250" s="79"/>
      <c r="N250" s="74"/>
      <c r="O250" s="81" t="s">
        <v>653</v>
      </c>
      <c r="P250">
        <v>1</v>
      </c>
      <c r="Q250" s="80" t="str">
        <f>REPLACE(INDEX(GroupVertices[Group],MATCH(Edges[[#This Row],[Vertex 1]],GroupVertices[Vertex],0)),1,1,"")</f>
        <v>7</v>
      </c>
      <c r="R250" s="80" t="str">
        <f>REPLACE(INDEX(GroupVertices[Group],MATCH(Edges[[#This Row],[Vertex 2]],GroupVertices[Vertex],0)),1,1,"")</f>
        <v>8</v>
      </c>
      <c r="S250" s="34"/>
      <c r="T250" s="34"/>
      <c r="U250" s="34"/>
      <c r="V250" s="34"/>
      <c r="W250" s="34"/>
      <c r="X250" s="34"/>
      <c r="Y250" s="34"/>
      <c r="Z250" s="34"/>
      <c r="AA250" s="34"/>
    </row>
    <row r="251" spans="1:27" ht="15">
      <c r="A251" s="66" t="s">
        <v>327</v>
      </c>
      <c r="B251" s="66" t="s">
        <v>544</v>
      </c>
      <c r="C251" s="67" t="s">
        <v>3495</v>
      </c>
      <c r="D251" s="68">
        <v>3</v>
      </c>
      <c r="E251" s="69"/>
      <c r="F251" s="70">
        <v>50</v>
      </c>
      <c r="G251" s="67"/>
      <c r="H251" s="71"/>
      <c r="I251" s="72"/>
      <c r="J251" s="72"/>
      <c r="K251" s="34" t="s">
        <v>65</v>
      </c>
      <c r="L251" s="79">
        <v>251</v>
      </c>
      <c r="M251" s="79"/>
      <c r="N251" s="74"/>
      <c r="O251" s="81" t="s">
        <v>653</v>
      </c>
      <c r="P251">
        <v>1</v>
      </c>
      <c r="Q251" s="80" t="str">
        <f>REPLACE(INDEX(GroupVertices[Group],MATCH(Edges[[#This Row],[Vertex 1]],GroupVertices[Vertex],0)),1,1,"")</f>
        <v>7</v>
      </c>
      <c r="R251" s="80" t="str">
        <f>REPLACE(INDEX(GroupVertices[Group],MATCH(Edges[[#This Row],[Vertex 2]],GroupVertices[Vertex],0)),1,1,"")</f>
        <v>7</v>
      </c>
      <c r="S251" s="34"/>
      <c r="T251" s="34"/>
      <c r="U251" s="34"/>
      <c r="V251" s="34"/>
      <c r="W251" s="34"/>
      <c r="X251" s="34"/>
      <c r="Y251" s="34"/>
      <c r="Z251" s="34"/>
      <c r="AA251" s="34"/>
    </row>
    <row r="252" spans="1:27" ht="15">
      <c r="A252" s="66" t="s">
        <v>327</v>
      </c>
      <c r="B252" s="66" t="s">
        <v>545</v>
      </c>
      <c r="C252" s="67" t="s">
        <v>3495</v>
      </c>
      <c r="D252" s="68">
        <v>3</v>
      </c>
      <c r="E252" s="69"/>
      <c r="F252" s="70">
        <v>50</v>
      </c>
      <c r="G252" s="67"/>
      <c r="H252" s="71"/>
      <c r="I252" s="72"/>
      <c r="J252" s="72"/>
      <c r="K252" s="34" t="s">
        <v>65</v>
      </c>
      <c r="L252" s="79">
        <v>252</v>
      </c>
      <c r="M252" s="79"/>
      <c r="N252" s="74"/>
      <c r="O252" s="81" t="s">
        <v>653</v>
      </c>
      <c r="P252">
        <v>1</v>
      </c>
      <c r="Q252" s="80" t="str">
        <f>REPLACE(INDEX(GroupVertices[Group],MATCH(Edges[[#This Row],[Vertex 1]],GroupVertices[Vertex],0)),1,1,"")</f>
        <v>7</v>
      </c>
      <c r="R252" s="80" t="str">
        <f>REPLACE(INDEX(GroupVertices[Group],MATCH(Edges[[#This Row],[Vertex 2]],GroupVertices[Vertex],0)),1,1,"")</f>
        <v>7</v>
      </c>
      <c r="S252" s="34"/>
      <c r="T252" s="34"/>
      <c r="U252" s="34"/>
      <c r="V252" s="34"/>
      <c r="W252" s="34"/>
      <c r="X252" s="34"/>
      <c r="Y252" s="34"/>
      <c r="Z252" s="34"/>
      <c r="AA252" s="34"/>
    </row>
    <row r="253" spans="1:27" ht="15">
      <c r="A253" s="66" t="s">
        <v>327</v>
      </c>
      <c r="B253" s="66" t="s">
        <v>415</v>
      </c>
      <c r="C253" s="67" t="s">
        <v>3495</v>
      </c>
      <c r="D253" s="68">
        <v>3</v>
      </c>
      <c r="E253" s="69"/>
      <c r="F253" s="70">
        <v>50</v>
      </c>
      <c r="G253" s="67"/>
      <c r="H253" s="71"/>
      <c r="I253" s="72"/>
      <c r="J253" s="72"/>
      <c r="K253" s="34" t="s">
        <v>65</v>
      </c>
      <c r="L253" s="79">
        <v>253</v>
      </c>
      <c r="M253" s="79"/>
      <c r="N253" s="74"/>
      <c r="O253" s="81" t="s">
        <v>653</v>
      </c>
      <c r="P253">
        <v>1</v>
      </c>
      <c r="Q253" s="80" t="str">
        <f>REPLACE(INDEX(GroupVertices[Group],MATCH(Edges[[#This Row],[Vertex 1]],GroupVertices[Vertex],0)),1,1,"")</f>
        <v>7</v>
      </c>
      <c r="R253" s="80" t="str">
        <f>REPLACE(INDEX(GroupVertices[Group],MATCH(Edges[[#This Row],[Vertex 2]],GroupVertices[Vertex],0)),1,1,"")</f>
        <v>1</v>
      </c>
      <c r="S253" s="34"/>
      <c r="T253" s="34"/>
      <c r="U253" s="34"/>
      <c r="V253" s="34"/>
      <c r="W253" s="34"/>
      <c r="X253" s="34"/>
      <c r="Y253" s="34"/>
      <c r="Z253" s="34"/>
      <c r="AA253" s="34"/>
    </row>
    <row r="254" spans="1:27" ht="15">
      <c r="A254" s="66" t="s">
        <v>327</v>
      </c>
      <c r="B254" s="66" t="s">
        <v>418</v>
      </c>
      <c r="C254" s="67" t="s">
        <v>3495</v>
      </c>
      <c r="D254" s="68">
        <v>3</v>
      </c>
      <c r="E254" s="69"/>
      <c r="F254" s="70">
        <v>50</v>
      </c>
      <c r="G254" s="67"/>
      <c r="H254" s="71"/>
      <c r="I254" s="72"/>
      <c r="J254" s="72"/>
      <c r="K254" s="34" t="s">
        <v>65</v>
      </c>
      <c r="L254" s="79">
        <v>254</v>
      </c>
      <c r="M254" s="79"/>
      <c r="N254" s="74"/>
      <c r="O254" s="81" t="s">
        <v>653</v>
      </c>
      <c r="P254">
        <v>1</v>
      </c>
      <c r="Q254" s="80" t="str">
        <f>REPLACE(INDEX(GroupVertices[Group],MATCH(Edges[[#This Row],[Vertex 1]],GroupVertices[Vertex],0)),1,1,"")</f>
        <v>7</v>
      </c>
      <c r="R254" s="80" t="str">
        <f>REPLACE(INDEX(GroupVertices[Group],MATCH(Edges[[#This Row],[Vertex 2]],GroupVertices[Vertex],0)),1,1,"")</f>
        <v>1</v>
      </c>
      <c r="S254" s="34"/>
      <c r="T254" s="34"/>
      <c r="U254" s="34"/>
      <c r="V254" s="34"/>
      <c r="W254" s="34"/>
      <c r="X254" s="34"/>
      <c r="Y254" s="34"/>
      <c r="Z254" s="34"/>
      <c r="AA254" s="34"/>
    </row>
    <row r="255" spans="1:27" ht="15">
      <c r="A255" s="66" t="s">
        <v>327</v>
      </c>
      <c r="B255" s="66" t="s">
        <v>525</v>
      </c>
      <c r="C255" s="67" t="s">
        <v>3495</v>
      </c>
      <c r="D255" s="68">
        <v>3</v>
      </c>
      <c r="E255" s="69"/>
      <c r="F255" s="70">
        <v>50</v>
      </c>
      <c r="G255" s="67"/>
      <c r="H255" s="71"/>
      <c r="I255" s="72"/>
      <c r="J255" s="72"/>
      <c r="K255" s="34" t="s">
        <v>65</v>
      </c>
      <c r="L255" s="79">
        <v>255</v>
      </c>
      <c r="M255" s="79"/>
      <c r="N255" s="74"/>
      <c r="O255" s="81" t="s">
        <v>653</v>
      </c>
      <c r="P255">
        <v>1</v>
      </c>
      <c r="Q255" s="80" t="str">
        <f>REPLACE(INDEX(GroupVertices[Group],MATCH(Edges[[#This Row],[Vertex 1]],GroupVertices[Vertex],0)),1,1,"")</f>
        <v>7</v>
      </c>
      <c r="R255" s="80" t="str">
        <f>REPLACE(INDEX(GroupVertices[Group],MATCH(Edges[[#This Row],[Vertex 2]],GroupVertices[Vertex],0)),1,1,"")</f>
        <v>8</v>
      </c>
      <c r="S255" s="34"/>
      <c r="T255" s="34"/>
      <c r="U255" s="34"/>
      <c r="V255" s="34"/>
      <c r="W255" s="34"/>
      <c r="X255" s="34"/>
      <c r="Y255" s="34"/>
      <c r="Z255" s="34"/>
      <c r="AA255" s="34"/>
    </row>
    <row r="256" spans="1:27" ht="15">
      <c r="A256" s="66" t="s">
        <v>327</v>
      </c>
      <c r="B256" s="66" t="s">
        <v>546</v>
      </c>
      <c r="C256" s="67" t="s">
        <v>3495</v>
      </c>
      <c r="D256" s="68">
        <v>3</v>
      </c>
      <c r="E256" s="69"/>
      <c r="F256" s="70">
        <v>50</v>
      </c>
      <c r="G256" s="67"/>
      <c r="H256" s="71"/>
      <c r="I256" s="72"/>
      <c r="J256" s="72"/>
      <c r="K256" s="34" t="s">
        <v>65</v>
      </c>
      <c r="L256" s="79">
        <v>256</v>
      </c>
      <c r="M256" s="79"/>
      <c r="N256" s="74"/>
      <c r="O256" s="81" t="s">
        <v>653</v>
      </c>
      <c r="P256">
        <v>1</v>
      </c>
      <c r="Q256" s="80" t="str">
        <f>REPLACE(INDEX(GroupVertices[Group],MATCH(Edges[[#This Row],[Vertex 1]],GroupVertices[Vertex],0)),1,1,"")</f>
        <v>7</v>
      </c>
      <c r="R256" s="80" t="str">
        <f>REPLACE(INDEX(GroupVertices[Group],MATCH(Edges[[#This Row],[Vertex 2]],GroupVertices[Vertex],0)),1,1,"")</f>
        <v>7</v>
      </c>
      <c r="S256" s="34"/>
      <c r="T256" s="34"/>
      <c r="U256" s="34"/>
      <c r="V256" s="34"/>
      <c r="W256" s="34"/>
      <c r="X256" s="34"/>
      <c r="Y256" s="34"/>
      <c r="Z256" s="34"/>
      <c r="AA256" s="34"/>
    </row>
    <row r="257" spans="1:27" ht="15">
      <c r="A257" s="66" t="s">
        <v>327</v>
      </c>
      <c r="B257" s="66" t="s">
        <v>322</v>
      </c>
      <c r="C257" s="67" t="s">
        <v>3495</v>
      </c>
      <c r="D257" s="68">
        <v>3</v>
      </c>
      <c r="E257" s="69"/>
      <c r="F257" s="70">
        <v>50</v>
      </c>
      <c r="G257" s="67"/>
      <c r="H257" s="71"/>
      <c r="I257" s="72"/>
      <c r="J257" s="72"/>
      <c r="K257" s="34" t="s">
        <v>65</v>
      </c>
      <c r="L257" s="79">
        <v>257</v>
      </c>
      <c r="M257" s="79"/>
      <c r="N257" s="74"/>
      <c r="O257" s="81" t="s">
        <v>653</v>
      </c>
      <c r="P257">
        <v>1</v>
      </c>
      <c r="Q257" s="80" t="str">
        <f>REPLACE(INDEX(GroupVertices[Group],MATCH(Edges[[#This Row],[Vertex 1]],GroupVertices[Vertex],0)),1,1,"")</f>
        <v>7</v>
      </c>
      <c r="R257" s="80" t="str">
        <f>REPLACE(INDEX(GroupVertices[Group],MATCH(Edges[[#This Row],[Vertex 2]],GroupVertices[Vertex],0)),1,1,"")</f>
        <v>3</v>
      </c>
      <c r="S257" s="34"/>
      <c r="T257" s="34"/>
      <c r="U257" s="34"/>
      <c r="V257" s="34"/>
      <c r="W257" s="34"/>
      <c r="X257" s="34"/>
      <c r="Y257" s="34"/>
      <c r="Z257" s="34"/>
      <c r="AA257" s="34"/>
    </row>
    <row r="258" spans="1:27" ht="15">
      <c r="A258" s="66" t="s">
        <v>327</v>
      </c>
      <c r="B258" s="66" t="s">
        <v>417</v>
      </c>
      <c r="C258" s="67" t="s">
        <v>3495</v>
      </c>
      <c r="D258" s="68">
        <v>3</v>
      </c>
      <c r="E258" s="69"/>
      <c r="F258" s="70">
        <v>50</v>
      </c>
      <c r="G258" s="67"/>
      <c r="H258" s="71"/>
      <c r="I258" s="72"/>
      <c r="J258" s="72"/>
      <c r="K258" s="34" t="s">
        <v>65</v>
      </c>
      <c r="L258" s="79">
        <v>258</v>
      </c>
      <c r="M258" s="79"/>
      <c r="N258" s="74"/>
      <c r="O258" s="81" t="s">
        <v>653</v>
      </c>
      <c r="P258">
        <v>1</v>
      </c>
      <c r="Q258" s="80" t="str">
        <f>REPLACE(INDEX(GroupVertices[Group],MATCH(Edges[[#This Row],[Vertex 1]],GroupVertices[Vertex],0)),1,1,"")</f>
        <v>7</v>
      </c>
      <c r="R258" s="80" t="str">
        <f>REPLACE(INDEX(GroupVertices[Group],MATCH(Edges[[#This Row],[Vertex 2]],GroupVertices[Vertex],0)),1,1,"")</f>
        <v>6</v>
      </c>
      <c r="S258" s="34"/>
      <c r="T258" s="34"/>
      <c r="U258" s="34"/>
      <c r="V258" s="34"/>
      <c r="W258" s="34"/>
      <c r="X258" s="34"/>
      <c r="Y258" s="34"/>
      <c r="Z258" s="34"/>
      <c r="AA258" s="34"/>
    </row>
    <row r="259" spans="1:27" ht="15">
      <c r="A259" s="66" t="s">
        <v>327</v>
      </c>
      <c r="B259" s="66" t="s">
        <v>527</v>
      </c>
      <c r="C259" s="67" t="s">
        <v>3495</v>
      </c>
      <c r="D259" s="68">
        <v>3</v>
      </c>
      <c r="E259" s="69"/>
      <c r="F259" s="70">
        <v>50</v>
      </c>
      <c r="G259" s="67"/>
      <c r="H259" s="71"/>
      <c r="I259" s="72"/>
      <c r="J259" s="72"/>
      <c r="K259" s="34" t="s">
        <v>65</v>
      </c>
      <c r="L259" s="79">
        <v>259</v>
      </c>
      <c r="M259" s="79"/>
      <c r="N259" s="74"/>
      <c r="O259" s="81" t="s">
        <v>653</v>
      </c>
      <c r="P259">
        <v>1</v>
      </c>
      <c r="Q259" s="80" t="str">
        <f>REPLACE(INDEX(GroupVertices[Group],MATCH(Edges[[#This Row],[Vertex 1]],GroupVertices[Vertex],0)),1,1,"")</f>
        <v>7</v>
      </c>
      <c r="R259" s="80" t="str">
        <f>REPLACE(INDEX(GroupVertices[Group],MATCH(Edges[[#This Row],[Vertex 2]],GroupVertices[Vertex],0)),1,1,"")</f>
        <v>7</v>
      </c>
      <c r="S259" s="34"/>
      <c r="T259" s="34"/>
      <c r="U259" s="34"/>
      <c r="V259" s="34"/>
      <c r="W259" s="34"/>
      <c r="X259" s="34"/>
      <c r="Y259" s="34"/>
      <c r="Z259" s="34"/>
      <c r="AA259" s="34"/>
    </row>
    <row r="260" spans="1:27" ht="15">
      <c r="A260" s="66" t="s">
        <v>327</v>
      </c>
      <c r="B260" s="66" t="s">
        <v>329</v>
      </c>
      <c r="C260" s="67" t="s">
        <v>3495</v>
      </c>
      <c r="D260" s="68">
        <v>3</v>
      </c>
      <c r="E260" s="69"/>
      <c r="F260" s="70">
        <v>50</v>
      </c>
      <c r="G260" s="67"/>
      <c r="H260" s="71"/>
      <c r="I260" s="72"/>
      <c r="J260" s="72"/>
      <c r="K260" s="34" t="s">
        <v>65</v>
      </c>
      <c r="L260" s="79">
        <v>260</v>
      </c>
      <c r="M260" s="79"/>
      <c r="N260" s="74"/>
      <c r="O260" s="81" t="s">
        <v>653</v>
      </c>
      <c r="P260">
        <v>1</v>
      </c>
      <c r="Q260" s="80" t="str">
        <f>REPLACE(INDEX(GroupVertices[Group],MATCH(Edges[[#This Row],[Vertex 1]],GroupVertices[Vertex],0)),1,1,"")</f>
        <v>7</v>
      </c>
      <c r="R260" s="80" t="str">
        <f>REPLACE(INDEX(GroupVertices[Group],MATCH(Edges[[#This Row],[Vertex 2]],GroupVertices[Vertex],0)),1,1,"")</f>
        <v>1</v>
      </c>
      <c r="S260" s="34"/>
      <c r="T260" s="34"/>
      <c r="U260" s="34"/>
      <c r="V260" s="34"/>
      <c r="W260" s="34"/>
      <c r="X260" s="34"/>
      <c r="Y260" s="34"/>
      <c r="Z260" s="34"/>
      <c r="AA260" s="34"/>
    </row>
    <row r="261" spans="1:27" ht="15">
      <c r="A261" s="66" t="s">
        <v>327</v>
      </c>
      <c r="B261" s="66" t="s">
        <v>530</v>
      </c>
      <c r="C261" s="67" t="s">
        <v>3495</v>
      </c>
      <c r="D261" s="68">
        <v>3</v>
      </c>
      <c r="E261" s="69"/>
      <c r="F261" s="70">
        <v>50</v>
      </c>
      <c r="G261" s="67"/>
      <c r="H261" s="71"/>
      <c r="I261" s="72"/>
      <c r="J261" s="72"/>
      <c r="K261" s="34" t="s">
        <v>65</v>
      </c>
      <c r="L261" s="79">
        <v>261</v>
      </c>
      <c r="M261" s="79"/>
      <c r="N261" s="74"/>
      <c r="O261" s="81" t="s">
        <v>653</v>
      </c>
      <c r="P261">
        <v>1</v>
      </c>
      <c r="Q261" s="80" t="str">
        <f>REPLACE(INDEX(GroupVertices[Group],MATCH(Edges[[#This Row],[Vertex 1]],GroupVertices[Vertex],0)),1,1,"")</f>
        <v>7</v>
      </c>
      <c r="R261" s="80" t="str">
        <f>REPLACE(INDEX(GroupVertices[Group],MATCH(Edges[[#This Row],[Vertex 2]],GroupVertices[Vertex],0)),1,1,"")</f>
        <v>8</v>
      </c>
      <c r="S261" s="34"/>
      <c r="T261" s="34"/>
      <c r="U261" s="34"/>
      <c r="V261" s="34"/>
      <c r="W261" s="34"/>
      <c r="X261" s="34"/>
      <c r="Y261" s="34"/>
      <c r="Z261" s="34"/>
      <c r="AA261" s="34"/>
    </row>
    <row r="262" spans="1:27" ht="15">
      <c r="A262" s="66" t="s">
        <v>327</v>
      </c>
      <c r="B262" s="66" t="s">
        <v>547</v>
      </c>
      <c r="C262" s="67" t="s">
        <v>3495</v>
      </c>
      <c r="D262" s="68">
        <v>3</v>
      </c>
      <c r="E262" s="69"/>
      <c r="F262" s="70">
        <v>50</v>
      </c>
      <c r="G262" s="67"/>
      <c r="H262" s="71"/>
      <c r="I262" s="72"/>
      <c r="J262" s="72"/>
      <c r="K262" s="34" t="s">
        <v>65</v>
      </c>
      <c r="L262" s="79">
        <v>262</v>
      </c>
      <c r="M262" s="79"/>
      <c r="N262" s="74"/>
      <c r="O262" s="81" t="s">
        <v>653</v>
      </c>
      <c r="P262">
        <v>1</v>
      </c>
      <c r="Q262" s="80" t="str">
        <f>REPLACE(INDEX(GroupVertices[Group],MATCH(Edges[[#This Row],[Vertex 1]],GroupVertices[Vertex],0)),1,1,"")</f>
        <v>7</v>
      </c>
      <c r="R262" s="80" t="str">
        <f>REPLACE(INDEX(GroupVertices[Group],MATCH(Edges[[#This Row],[Vertex 2]],GroupVertices[Vertex],0)),1,1,"")</f>
        <v>7</v>
      </c>
      <c r="S262" s="34"/>
      <c r="T262" s="34"/>
      <c r="U262" s="34"/>
      <c r="V262" s="34"/>
      <c r="W262" s="34"/>
      <c r="X262" s="34"/>
      <c r="Y262" s="34"/>
      <c r="Z262" s="34"/>
      <c r="AA262" s="34"/>
    </row>
    <row r="263" spans="1:27" ht="15">
      <c r="A263" s="66" t="s">
        <v>327</v>
      </c>
      <c r="B263" s="66" t="s">
        <v>325</v>
      </c>
      <c r="C263" s="67" t="s">
        <v>3495</v>
      </c>
      <c r="D263" s="68">
        <v>3</v>
      </c>
      <c r="E263" s="69"/>
      <c r="F263" s="70">
        <v>50</v>
      </c>
      <c r="G263" s="67"/>
      <c r="H263" s="71"/>
      <c r="I263" s="72"/>
      <c r="J263" s="72"/>
      <c r="K263" s="34" t="s">
        <v>65</v>
      </c>
      <c r="L263" s="79">
        <v>263</v>
      </c>
      <c r="M263" s="79"/>
      <c r="N263" s="74"/>
      <c r="O263" s="81" t="s">
        <v>653</v>
      </c>
      <c r="P263">
        <v>1</v>
      </c>
      <c r="Q263" s="80" t="str">
        <f>REPLACE(INDEX(GroupVertices[Group],MATCH(Edges[[#This Row],[Vertex 1]],GroupVertices[Vertex],0)),1,1,"")</f>
        <v>7</v>
      </c>
      <c r="R263" s="80" t="str">
        <f>REPLACE(INDEX(GroupVertices[Group],MATCH(Edges[[#This Row],[Vertex 2]],GroupVertices[Vertex],0)),1,1,"")</f>
        <v>1</v>
      </c>
      <c r="S263" s="34"/>
      <c r="T263" s="34"/>
      <c r="U263" s="34"/>
      <c r="V263" s="34"/>
      <c r="W263" s="34"/>
      <c r="X263" s="34"/>
      <c r="Y263" s="34"/>
      <c r="Z263" s="34"/>
      <c r="AA263" s="34"/>
    </row>
    <row r="264" spans="1:27" ht="15">
      <c r="A264" s="66" t="s">
        <v>327</v>
      </c>
      <c r="B264" s="66" t="s">
        <v>416</v>
      </c>
      <c r="C264" s="67" t="s">
        <v>3495</v>
      </c>
      <c r="D264" s="68">
        <v>3</v>
      </c>
      <c r="E264" s="69"/>
      <c r="F264" s="70">
        <v>50</v>
      </c>
      <c r="G264" s="67"/>
      <c r="H264" s="71"/>
      <c r="I264" s="72"/>
      <c r="J264" s="72"/>
      <c r="K264" s="34" t="s">
        <v>65</v>
      </c>
      <c r="L264" s="79">
        <v>264</v>
      </c>
      <c r="M264" s="79"/>
      <c r="N264" s="74"/>
      <c r="O264" s="81" t="s">
        <v>653</v>
      </c>
      <c r="P264">
        <v>1</v>
      </c>
      <c r="Q264" s="80" t="str">
        <f>REPLACE(INDEX(GroupVertices[Group],MATCH(Edges[[#This Row],[Vertex 1]],GroupVertices[Vertex],0)),1,1,"")</f>
        <v>7</v>
      </c>
      <c r="R264" s="80" t="str">
        <f>REPLACE(INDEX(GroupVertices[Group],MATCH(Edges[[#This Row],[Vertex 2]],GroupVertices[Vertex],0)),1,1,"")</f>
        <v>1</v>
      </c>
      <c r="S264" s="34"/>
      <c r="T264" s="34"/>
      <c r="U264" s="34"/>
      <c r="V264" s="34"/>
      <c r="W264" s="34"/>
      <c r="X264" s="34"/>
      <c r="Y264" s="34"/>
      <c r="Z264" s="34"/>
      <c r="AA264" s="34"/>
    </row>
    <row r="265" spans="1:27" ht="15">
      <c r="A265" s="66" t="s">
        <v>327</v>
      </c>
      <c r="B265" s="66" t="s">
        <v>534</v>
      </c>
      <c r="C265" s="67" t="s">
        <v>3495</v>
      </c>
      <c r="D265" s="68">
        <v>3</v>
      </c>
      <c r="E265" s="69"/>
      <c r="F265" s="70">
        <v>50</v>
      </c>
      <c r="G265" s="67"/>
      <c r="H265" s="71"/>
      <c r="I265" s="72"/>
      <c r="J265" s="72"/>
      <c r="K265" s="34" t="s">
        <v>65</v>
      </c>
      <c r="L265" s="79">
        <v>265</v>
      </c>
      <c r="M265" s="79"/>
      <c r="N265" s="74"/>
      <c r="O265" s="81" t="s">
        <v>653</v>
      </c>
      <c r="P265">
        <v>1</v>
      </c>
      <c r="Q265" s="80" t="str">
        <f>REPLACE(INDEX(GroupVertices[Group],MATCH(Edges[[#This Row],[Vertex 1]],GroupVertices[Vertex],0)),1,1,"")</f>
        <v>7</v>
      </c>
      <c r="R265" s="80" t="str">
        <f>REPLACE(INDEX(GroupVertices[Group],MATCH(Edges[[#This Row],[Vertex 2]],GroupVertices[Vertex],0)),1,1,"")</f>
        <v>1</v>
      </c>
      <c r="S265" s="34"/>
      <c r="T265" s="34"/>
      <c r="U265" s="34"/>
      <c r="V265" s="34"/>
      <c r="W265" s="34"/>
      <c r="X265" s="34"/>
      <c r="Y265" s="34"/>
      <c r="Z265" s="34"/>
      <c r="AA265" s="34"/>
    </row>
    <row r="266" spans="1:27" ht="15">
      <c r="A266" s="66" t="s">
        <v>327</v>
      </c>
      <c r="B266" s="66" t="s">
        <v>330</v>
      </c>
      <c r="C266" s="67" t="s">
        <v>3495</v>
      </c>
      <c r="D266" s="68">
        <v>3</v>
      </c>
      <c r="E266" s="69"/>
      <c r="F266" s="70">
        <v>50</v>
      </c>
      <c r="G266" s="67"/>
      <c r="H266" s="71"/>
      <c r="I266" s="72"/>
      <c r="J266" s="72"/>
      <c r="K266" s="34" t="s">
        <v>65</v>
      </c>
      <c r="L266" s="79">
        <v>266</v>
      </c>
      <c r="M266" s="79"/>
      <c r="N266" s="74"/>
      <c r="O266" s="81" t="s">
        <v>653</v>
      </c>
      <c r="P266">
        <v>1</v>
      </c>
      <c r="Q266" s="80" t="str">
        <f>REPLACE(INDEX(GroupVertices[Group],MATCH(Edges[[#This Row],[Vertex 1]],GroupVertices[Vertex],0)),1,1,"")</f>
        <v>7</v>
      </c>
      <c r="R266" s="80" t="str">
        <f>REPLACE(INDEX(GroupVertices[Group],MATCH(Edges[[#This Row],[Vertex 2]],GroupVertices[Vertex],0)),1,1,"")</f>
        <v>4</v>
      </c>
      <c r="S266" s="34"/>
      <c r="T266" s="34"/>
      <c r="U266" s="34"/>
      <c r="V266" s="34"/>
      <c r="W266" s="34"/>
      <c r="X266" s="34"/>
      <c r="Y266" s="34"/>
      <c r="Z266" s="34"/>
      <c r="AA266" s="34"/>
    </row>
    <row r="267" spans="1:27" ht="15">
      <c r="A267" s="66" t="s">
        <v>327</v>
      </c>
      <c r="B267" s="66" t="s">
        <v>419</v>
      </c>
      <c r="C267" s="67" t="s">
        <v>3495</v>
      </c>
      <c r="D267" s="68">
        <v>3</v>
      </c>
      <c r="E267" s="69"/>
      <c r="F267" s="70">
        <v>50</v>
      </c>
      <c r="G267" s="67"/>
      <c r="H267" s="71"/>
      <c r="I267" s="72"/>
      <c r="J267" s="72"/>
      <c r="K267" s="34" t="s">
        <v>65</v>
      </c>
      <c r="L267" s="79">
        <v>267</v>
      </c>
      <c r="M267" s="79"/>
      <c r="N267" s="74"/>
      <c r="O267" s="81" t="s">
        <v>653</v>
      </c>
      <c r="P267">
        <v>1</v>
      </c>
      <c r="Q267" s="80" t="str">
        <f>REPLACE(INDEX(GroupVertices[Group],MATCH(Edges[[#This Row],[Vertex 1]],GroupVertices[Vertex],0)),1,1,"")</f>
        <v>7</v>
      </c>
      <c r="R267" s="80" t="str">
        <f>REPLACE(INDEX(GroupVertices[Group],MATCH(Edges[[#This Row],[Vertex 2]],GroupVertices[Vertex],0)),1,1,"")</f>
        <v>6</v>
      </c>
      <c r="S267" s="34"/>
      <c r="T267" s="34"/>
      <c r="U267" s="34"/>
      <c r="V267" s="34"/>
      <c r="W267" s="34"/>
      <c r="X267" s="34"/>
      <c r="Y267" s="34"/>
      <c r="Z267" s="34"/>
      <c r="AA267" s="34"/>
    </row>
    <row r="268" spans="1:27" ht="15">
      <c r="A268" s="66" t="s">
        <v>327</v>
      </c>
      <c r="B268" s="66" t="s">
        <v>328</v>
      </c>
      <c r="C268" s="67" t="s">
        <v>3495</v>
      </c>
      <c r="D268" s="68">
        <v>3</v>
      </c>
      <c r="E268" s="69"/>
      <c r="F268" s="70">
        <v>50</v>
      </c>
      <c r="G268" s="67"/>
      <c r="H268" s="71"/>
      <c r="I268" s="72"/>
      <c r="J268" s="72"/>
      <c r="K268" s="34" t="s">
        <v>65</v>
      </c>
      <c r="L268" s="79">
        <v>268</v>
      </c>
      <c r="M268" s="79"/>
      <c r="N268" s="74"/>
      <c r="O268" s="81" t="s">
        <v>653</v>
      </c>
      <c r="P268">
        <v>1</v>
      </c>
      <c r="Q268" s="80" t="str">
        <f>REPLACE(INDEX(GroupVertices[Group],MATCH(Edges[[#This Row],[Vertex 1]],GroupVertices[Vertex],0)),1,1,"")</f>
        <v>7</v>
      </c>
      <c r="R268" s="80" t="str">
        <f>REPLACE(INDEX(GroupVertices[Group],MATCH(Edges[[#This Row],[Vertex 2]],GroupVertices[Vertex],0)),1,1,"")</f>
        <v>5</v>
      </c>
      <c r="S268" s="34"/>
      <c r="T268" s="34"/>
      <c r="U268" s="34"/>
      <c r="V268" s="34"/>
      <c r="W268" s="34"/>
      <c r="X268" s="34"/>
      <c r="Y268" s="34"/>
      <c r="Z268" s="34"/>
      <c r="AA268" s="34"/>
    </row>
    <row r="269" spans="1:27" ht="15">
      <c r="A269" s="66" t="s">
        <v>327</v>
      </c>
      <c r="B269" s="66" t="s">
        <v>420</v>
      </c>
      <c r="C269" s="67" t="s">
        <v>3495</v>
      </c>
      <c r="D269" s="68">
        <v>3</v>
      </c>
      <c r="E269" s="69"/>
      <c r="F269" s="70">
        <v>50</v>
      </c>
      <c r="G269" s="67"/>
      <c r="H269" s="71"/>
      <c r="I269" s="72"/>
      <c r="J269" s="72"/>
      <c r="K269" s="34" t="s">
        <v>65</v>
      </c>
      <c r="L269" s="79">
        <v>269</v>
      </c>
      <c r="M269" s="79"/>
      <c r="N269" s="74"/>
      <c r="O269" s="81" t="s">
        <v>653</v>
      </c>
      <c r="P269">
        <v>1</v>
      </c>
      <c r="Q269" s="80" t="str">
        <f>REPLACE(INDEX(GroupVertices[Group],MATCH(Edges[[#This Row],[Vertex 1]],GroupVertices[Vertex],0)),1,1,"")</f>
        <v>7</v>
      </c>
      <c r="R269" s="80" t="str">
        <f>REPLACE(INDEX(GroupVertices[Group],MATCH(Edges[[#This Row],[Vertex 2]],GroupVertices[Vertex],0)),1,1,"")</f>
        <v>7</v>
      </c>
      <c r="S269" s="34"/>
      <c r="T269" s="34"/>
      <c r="U269" s="34"/>
      <c r="V269" s="34"/>
      <c r="W269" s="34"/>
      <c r="X269" s="34"/>
      <c r="Y269" s="34"/>
      <c r="Z269" s="34"/>
      <c r="AA269" s="34"/>
    </row>
    <row r="270" spans="1:27" ht="15">
      <c r="A270" s="66" t="s">
        <v>327</v>
      </c>
      <c r="B270" s="66" t="s">
        <v>526</v>
      </c>
      <c r="C270" s="67" t="s">
        <v>3495</v>
      </c>
      <c r="D270" s="68">
        <v>3</v>
      </c>
      <c r="E270" s="69"/>
      <c r="F270" s="70">
        <v>50</v>
      </c>
      <c r="G270" s="67"/>
      <c r="H270" s="71"/>
      <c r="I270" s="72"/>
      <c r="J270" s="72"/>
      <c r="K270" s="34" t="s">
        <v>65</v>
      </c>
      <c r="L270" s="79">
        <v>270</v>
      </c>
      <c r="M270" s="79"/>
      <c r="N270" s="74"/>
      <c r="O270" s="81" t="s">
        <v>653</v>
      </c>
      <c r="P270">
        <v>1</v>
      </c>
      <c r="Q270" s="80" t="str">
        <f>REPLACE(INDEX(GroupVertices[Group],MATCH(Edges[[#This Row],[Vertex 1]],GroupVertices[Vertex],0)),1,1,"")</f>
        <v>7</v>
      </c>
      <c r="R270" s="80" t="str">
        <f>REPLACE(INDEX(GroupVertices[Group],MATCH(Edges[[#This Row],[Vertex 2]],GroupVertices[Vertex],0)),1,1,"")</f>
        <v>1</v>
      </c>
      <c r="S270" s="34"/>
      <c r="T270" s="34"/>
      <c r="U270" s="34"/>
      <c r="V270" s="34"/>
      <c r="W270" s="34"/>
      <c r="X270" s="34"/>
      <c r="Y270" s="34"/>
      <c r="Z270" s="34"/>
      <c r="AA270" s="34"/>
    </row>
    <row r="271" spans="1:27" ht="15">
      <c r="A271" s="66" t="s">
        <v>327</v>
      </c>
      <c r="B271" s="66" t="s">
        <v>536</v>
      </c>
      <c r="C271" s="67" t="s">
        <v>3495</v>
      </c>
      <c r="D271" s="68">
        <v>3</v>
      </c>
      <c r="E271" s="69"/>
      <c r="F271" s="70">
        <v>50</v>
      </c>
      <c r="G271" s="67"/>
      <c r="H271" s="71"/>
      <c r="I271" s="72"/>
      <c r="J271" s="72"/>
      <c r="K271" s="34" t="s">
        <v>65</v>
      </c>
      <c r="L271" s="79">
        <v>271</v>
      </c>
      <c r="M271" s="79"/>
      <c r="N271" s="74"/>
      <c r="O271" s="81" t="s">
        <v>653</v>
      </c>
      <c r="P271">
        <v>1</v>
      </c>
      <c r="Q271" s="80" t="str">
        <f>REPLACE(INDEX(GroupVertices[Group],MATCH(Edges[[#This Row],[Vertex 1]],GroupVertices[Vertex],0)),1,1,"")</f>
        <v>7</v>
      </c>
      <c r="R271" s="80" t="str">
        <f>REPLACE(INDEX(GroupVertices[Group],MATCH(Edges[[#This Row],[Vertex 2]],GroupVertices[Vertex],0)),1,1,"")</f>
        <v>5</v>
      </c>
      <c r="S271" s="34"/>
      <c r="T271" s="34"/>
      <c r="U271" s="34"/>
      <c r="V271" s="34"/>
      <c r="W271" s="34"/>
      <c r="X271" s="34"/>
      <c r="Y271" s="34"/>
      <c r="Z271" s="34"/>
      <c r="AA271" s="34"/>
    </row>
    <row r="272" spans="1:27" ht="15">
      <c r="A272" s="66" t="s">
        <v>327</v>
      </c>
      <c r="B272" s="66" t="s">
        <v>548</v>
      </c>
      <c r="C272" s="67" t="s">
        <v>3495</v>
      </c>
      <c r="D272" s="68">
        <v>3</v>
      </c>
      <c r="E272" s="69"/>
      <c r="F272" s="70">
        <v>50</v>
      </c>
      <c r="G272" s="67"/>
      <c r="H272" s="71"/>
      <c r="I272" s="72"/>
      <c r="J272" s="72"/>
      <c r="K272" s="34" t="s">
        <v>65</v>
      </c>
      <c r="L272" s="79">
        <v>272</v>
      </c>
      <c r="M272" s="79"/>
      <c r="N272" s="74"/>
      <c r="O272" s="81" t="s">
        <v>653</v>
      </c>
      <c r="P272">
        <v>1</v>
      </c>
      <c r="Q272" s="80" t="str">
        <f>REPLACE(INDEX(GroupVertices[Group],MATCH(Edges[[#This Row],[Vertex 1]],GroupVertices[Vertex],0)),1,1,"")</f>
        <v>7</v>
      </c>
      <c r="R272" s="80" t="str">
        <f>REPLACE(INDEX(GroupVertices[Group],MATCH(Edges[[#This Row],[Vertex 2]],GroupVertices[Vertex],0)),1,1,"")</f>
        <v>7</v>
      </c>
      <c r="S272" s="34"/>
      <c r="T272" s="34"/>
      <c r="U272" s="34"/>
      <c r="V272" s="34"/>
      <c r="W272" s="34"/>
      <c r="X272" s="34"/>
      <c r="Y272" s="34"/>
      <c r="Z272" s="34"/>
      <c r="AA272" s="34"/>
    </row>
    <row r="273" spans="1:27" ht="15">
      <c r="A273" s="66" t="s">
        <v>327</v>
      </c>
      <c r="B273" s="66" t="s">
        <v>421</v>
      </c>
      <c r="C273" s="67" t="s">
        <v>3495</v>
      </c>
      <c r="D273" s="68">
        <v>3</v>
      </c>
      <c r="E273" s="69"/>
      <c r="F273" s="70">
        <v>50</v>
      </c>
      <c r="G273" s="67"/>
      <c r="H273" s="71"/>
      <c r="I273" s="72"/>
      <c r="J273" s="72"/>
      <c r="K273" s="34" t="s">
        <v>65</v>
      </c>
      <c r="L273" s="79">
        <v>273</v>
      </c>
      <c r="M273" s="79"/>
      <c r="N273" s="74"/>
      <c r="O273" s="81" t="s">
        <v>653</v>
      </c>
      <c r="P273">
        <v>1</v>
      </c>
      <c r="Q273" s="80" t="str">
        <f>REPLACE(INDEX(GroupVertices[Group],MATCH(Edges[[#This Row],[Vertex 1]],GroupVertices[Vertex],0)),1,1,"")</f>
        <v>7</v>
      </c>
      <c r="R273" s="80" t="str">
        <f>REPLACE(INDEX(GroupVertices[Group],MATCH(Edges[[#This Row],[Vertex 2]],GroupVertices[Vertex],0)),1,1,"")</f>
        <v>4</v>
      </c>
      <c r="S273" s="34"/>
      <c r="T273" s="34"/>
      <c r="U273" s="34"/>
      <c r="V273" s="34"/>
      <c r="W273" s="34"/>
      <c r="X273" s="34"/>
      <c r="Y273" s="34"/>
      <c r="Z273" s="34"/>
      <c r="AA273" s="34"/>
    </row>
    <row r="274" spans="1:27" ht="15">
      <c r="A274" s="66" t="s">
        <v>327</v>
      </c>
      <c r="B274" s="66" t="s">
        <v>537</v>
      </c>
      <c r="C274" s="67" t="s">
        <v>3495</v>
      </c>
      <c r="D274" s="68">
        <v>3</v>
      </c>
      <c r="E274" s="69"/>
      <c r="F274" s="70">
        <v>50</v>
      </c>
      <c r="G274" s="67"/>
      <c r="H274" s="71"/>
      <c r="I274" s="72"/>
      <c r="J274" s="72"/>
      <c r="K274" s="34" t="s">
        <v>65</v>
      </c>
      <c r="L274" s="79">
        <v>274</v>
      </c>
      <c r="M274" s="79"/>
      <c r="N274" s="74"/>
      <c r="O274" s="81" t="s">
        <v>653</v>
      </c>
      <c r="P274">
        <v>1</v>
      </c>
      <c r="Q274" s="80" t="str">
        <f>REPLACE(INDEX(GroupVertices[Group],MATCH(Edges[[#This Row],[Vertex 1]],GroupVertices[Vertex],0)),1,1,"")</f>
        <v>7</v>
      </c>
      <c r="R274" s="80" t="str">
        <f>REPLACE(INDEX(GroupVertices[Group],MATCH(Edges[[#This Row],[Vertex 2]],GroupVertices[Vertex],0)),1,1,"")</f>
        <v>1</v>
      </c>
      <c r="S274" s="34"/>
      <c r="T274" s="34"/>
      <c r="U274" s="34"/>
      <c r="V274" s="34"/>
      <c r="W274" s="34"/>
      <c r="X274" s="34"/>
      <c r="Y274" s="34"/>
      <c r="Z274" s="34"/>
      <c r="AA274" s="34"/>
    </row>
    <row r="275" spans="1:27" ht="15">
      <c r="A275" s="66" t="s">
        <v>327</v>
      </c>
      <c r="B275" s="66" t="s">
        <v>422</v>
      </c>
      <c r="C275" s="67" t="s">
        <v>3495</v>
      </c>
      <c r="D275" s="68">
        <v>3</v>
      </c>
      <c r="E275" s="69"/>
      <c r="F275" s="70">
        <v>50</v>
      </c>
      <c r="G275" s="67"/>
      <c r="H275" s="71"/>
      <c r="I275" s="72"/>
      <c r="J275" s="72"/>
      <c r="K275" s="34" t="s">
        <v>65</v>
      </c>
      <c r="L275" s="79">
        <v>275</v>
      </c>
      <c r="M275" s="79"/>
      <c r="N275" s="74"/>
      <c r="O275" s="81" t="s">
        <v>653</v>
      </c>
      <c r="P275">
        <v>1</v>
      </c>
      <c r="Q275" s="80" t="str">
        <f>REPLACE(INDEX(GroupVertices[Group],MATCH(Edges[[#This Row],[Vertex 1]],GroupVertices[Vertex],0)),1,1,"")</f>
        <v>7</v>
      </c>
      <c r="R275" s="80" t="str">
        <f>REPLACE(INDEX(GroupVertices[Group],MATCH(Edges[[#This Row],[Vertex 2]],GroupVertices[Vertex],0)),1,1,"")</f>
        <v>1</v>
      </c>
      <c r="S275" s="34"/>
      <c r="T275" s="34"/>
      <c r="U275" s="34"/>
      <c r="V275" s="34"/>
      <c r="W275" s="34"/>
      <c r="X275" s="34"/>
      <c r="Y275" s="34"/>
      <c r="Z275" s="34"/>
      <c r="AA275" s="34"/>
    </row>
    <row r="276" spans="1:27" ht="15">
      <c r="A276" s="66" t="s">
        <v>328</v>
      </c>
      <c r="B276" s="66" t="s">
        <v>549</v>
      </c>
      <c r="C276" s="67" t="s">
        <v>3495</v>
      </c>
      <c r="D276" s="68">
        <v>3</v>
      </c>
      <c r="E276" s="69"/>
      <c r="F276" s="70">
        <v>50</v>
      </c>
      <c r="G276" s="67"/>
      <c r="H276" s="71"/>
      <c r="I276" s="72"/>
      <c r="J276" s="72"/>
      <c r="K276" s="34" t="s">
        <v>65</v>
      </c>
      <c r="L276" s="79">
        <v>276</v>
      </c>
      <c r="M276" s="79"/>
      <c r="N276" s="74"/>
      <c r="O276" s="81" t="s">
        <v>653</v>
      </c>
      <c r="P276">
        <v>1</v>
      </c>
      <c r="Q276" s="80" t="str">
        <f>REPLACE(INDEX(GroupVertices[Group],MATCH(Edges[[#This Row],[Vertex 1]],GroupVertices[Vertex],0)),1,1,"")</f>
        <v>5</v>
      </c>
      <c r="R276" s="80" t="str">
        <f>REPLACE(INDEX(GroupVertices[Group],MATCH(Edges[[#This Row],[Vertex 2]],GroupVertices[Vertex],0)),1,1,"")</f>
        <v>5</v>
      </c>
      <c r="S276" s="34"/>
      <c r="T276" s="34"/>
      <c r="U276" s="34"/>
      <c r="V276" s="34"/>
      <c r="W276" s="34"/>
      <c r="X276" s="34"/>
      <c r="Y276" s="34"/>
      <c r="Z276" s="34"/>
      <c r="AA276" s="34"/>
    </row>
    <row r="277" spans="1:27" ht="15">
      <c r="A277" s="66" t="s">
        <v>328</v>
      </c>
      <c r="B277" s="66" t="s">
        <v>550</v>
      </c>
      <c r="C277" s="67" t="s">
        <v>3495</v>
      </c>
      <c r="D277" s="68">
        <v>3</v>
      </c>
      <c r="E277" s="69"/>
      <c r="F277" s="70">
        <v>50</v>
      </c>
      <c r="G277" s="67"/>
      <c r="H277" s="71"/>
      <c r="I277" s="72"/>
      <c r="J277" s="72"/>
      <c r="K277" s="34" t="s">
        <v>65</v>
      </c>
      <c r="L277" s="79">
        <v>277</v>
      </c>
      <c r="M277" s="79"/>
      <c r="N277" s="74"/>
      <c r="O277" s="81" t="s">
        <v>653</v>
      </c>
      <c r="P277">
        <v>1</v>
      </c>
      <c r="Q277" s="80" t="str">
        <f>REPLACE(INDEX(GroupVertices[Group],MATCH(Edges[[#This Row],[Vertex 1]],GroupVertices[Vertex],0)),1,1,"")</f>
        <v>5</v>
      </c>
      <c r="R277" s="80" t="str">
        <f>REPLACE(INDEX(GroupVertices[Group],MATCH(Edges[[#This Row],[Vertex 2]],GroupVertices[Vertex],0)),1,1,"")</f>
        <v>5</v>
      </c>
      <c r="S277" s="34"/>
      <c r="T277" s="34"/>
      <c r="U277" s="34"/>
      <c r="V277" s="34"/>
      <c r="W277" s="34"/>
      <c r="X277" s="34"/>
      <c r="Y277" s="34"/>
      <c r="Z277" s="34"/>
      <c r="AA277" s="34"/>
    </row>
    <row r="278" spans="1:27" ht="15">
      <c r="A278" s="66" t="s">
        <v>328</v>
      </c>
      <c r="B278" s="66" t="s">
        <v>551</v>
      </c>
      <c r="C278" s="67" t="s">
        <v>3495</v>
      </c>
      <c r="D278" s="68">
        <v>3</v>
      </c>
      <c r="E278" s="69"/>
      <c r="F278" s="70">
        <v>50</v>
      </c>
      <c r="G278" s="67"/>
      <c r="H278" s="71"/>
      <c r="I278" s="72"/>
      <c r="J278" s="72"/>
      <c r="K278" s="34" t="s">
        <v>65</v>
      </c>
      <c r="L278" s="79">
        <v>278</v>
      </c>
      <c r="M278" s="79"/>
      <c r="N278" s="74"/>
      <c r="O278" s="81" t="s">
        <v>653</v>
      </c>
      <c r="P278">
        <v>1</v>
      </c>
      <c r="Q278" s="80" t="str">
        <f>REPLACE(INDEX(GroupVertices[Group],MATCH(Edges[[#This Row],[Vertex 1]],GroupVertices[Vertex],0)),1,1,"")</f>
        <v>5</v>
      </c>
      <c r="R278" s="80" t="str">
        <f>REPLACE(INDEX(GroupVertices[Group],MATCH(Edges[[#This Row],[Vertex 2]],GroupVertices[Vertex],0)),1,1,"")</f>
        <v>5</v>
      </c>
      <c r="S278" s="34"/>
      <c r="T278" s="34"/>
      <c r="U278" s="34"/>
      <c r="V278" s="34"/>
      <c r="W278" s="34"/>
      <c r="X278" s="34"/>
      <c r="Y278" s="34"/>
      <c r="Z278" s="34"/>
      <c r="AA278" s="34"/>
    </row>
    <row r="279" spans="1:27" ht="15">
      <c r="A279" s="66" t="s">
        <v>328</v>
      </c>
      <c r="B279" s="66" t="s">
        <v>552</v>
      </c>
      <c r="C279" s="67" t="s">
        <v>3495</v>
      </c>
      <c r="D279" s="68">
        <v>3</v>
      </c>
      <c r="E279" s="69"/>
      <c r="F279" s="70">
        <v>50</v>
      </c>
      <c r="G279" s="67"/>
      <c r="H279" s="71"/>
      <c r="I279" s="72"/>
      <c r="J279" s="72"/>
      <c r="K279" s="34" t="s">
        <v>65</v>
      </c>
      <c r="L279" s="79">
        <v>279</v>
      </c>
      <c r="M279" s="79"/>
      <c r="N279" s="74"/>
      <c r="O279" s="81" t="s">
        <v>653</v>
      </c>
      <c r="P279">
        <v>1</v>
      </c>
      <c r="Q279" s="80" t="str">
        <f>REPLACE(INDEX(GroupVertices[Group],MATCH(Edges[[#This Row],[Vertex 1]],GroupVertices[Vertex],0)),1,1,"")</f>
        <v>5</v>
      </c>
      <c r="R279" s="80" t="str">
        <f>REPLACE(INDEX(GroupVertices[Group],MATCH(Edges[[#This Row],[Vertex 2]],GroupVertices[Vertex],0)),1,1,"")</f>
        <v>5</v>
      </c>
      <c r="S279" s="34"/>
      <c r="T279" s="34"/>
      <c r="U279" s="34"/>
      <c r="V279" s="34"/>
      <c r="W279" s="34"/>
      <c r="X279" s="34"/>
      <c r="Y279" s="34"/>
      <c r="Z279" s="34"/>
      <c r="AA279" s="34"/>
    </row>
    <row r="280" spans="1:27" ht="15">
      <c r="A280" s="66" t="s">
        <v>328</v>
      </c>
      <c r="B280" s="66" t="s">
        <v>553</v>
      </c>
      <c r="C280" s="67" t="s">
        <v>3495</v>
      </c>
      <c r="D280" s="68">
        <v>3</v>
      </c>
      <c r="E280" s="69"/>
      <c r="F280" s="70">
        <v>50</v>
      </c>
      <c r="G280" s="67"/>
      <c r="H280" s="71"/>
      <c r="I280" s="72"/>
      <c r="J280" s="72"/>
      <c r="K280" s="34" t="s">
        <v>65</v>
      </c>
      <c r="L280" s="79">
        <v>280</v>
      </c>
      <c r="M280" s="79"/>
      <c r="N280" s="74"/>
      <c r="O280" s="81" t="s">
        <v>653</v>
      </c>
      <c r="P280">
        <v>1</v>
      </c>
      <c r="Q280" s="80" t="str">
        <f>REPLACE(INDEX(GroupVertices[Group],MATCH(Edges[[#This Row],[Vertex 1]],GroupVertices[Vertex],0)),1,1,"")</f>
        <v>5</v>
      </c>
      <c r="R280" s="80" t="str">
        <f>REPLACE(INDEX(GroupVertices[Group],MATCH(Edges[[#This Row],[Vertex 2]],GroupVertices[Vertex],0)),1,1,"")</f>
        <v>5</v>
      </c>
      <c r="S280" s="34"/>
      <c r="T280" s="34"/>
      <c r="U280" s="34"/>
      <c r="V280" s="34"/>
      <c r="W280" s="34"/>
      <c r="X280" s="34"/>
      <c r="Y280" s="34"/>
      <c r="Z280" s="34"/>
      <c r="AA280" s="34"/>
    </row>
    <row r="281" spans="1:27" ht="15">
      <c r="A281" s="66" t="s">
        <v>328</v>
      </c>
      <c r="B281" s="66" t="s">
        <v>554</v>
      </c>
      <c r="C281" s="67" t="s">
        <v>3495</v>
      </c>
      <c r="D281" s="68">
        <v>3</v>
      </c>
      <c r="E281" s="69"/>
      <c r="F281" s="70">
        <v>50</v>
      </c>
      <c r="G281" s="67"/>
      <c r="H281" s="71"/>
      <c r="I281" s="72"/>
      <c r="J281" s="72"/>
      <c r="K281" s="34" t="s">
        <v>65</v>
      </c>
      <c r="L281" s="79">
        <v>281</v>
      </c>
      <c r="M281" s="79"/>
      <c r="N281" s="74"/>
      <c r="O281" s="81" t="s">
        <v>653</v>
      </c>
      <c r="P281">
        <v>1</v>
      </c>
      <c r="Q281" s="80" t="str">
        <f>REPLACE(INDEX(GroupVertices[Group],MATCH(Edges[[#This Row],[Vertex 1]],GroupVertices[Vertex],0)),1,1,"")</f>
        <v>5</v>
      </c>
      <c r="R281" s="80" t="str">
        <f>REPLACE(INDEX(GroupVertices[Group],MATCH(Edges[[#This Row],[Vertex 2]],GroupVertices[Vertex],0)),1,1,"")</f>
        <v>5</v>
      </c>
      <c r="S281" s="34"/>
      <c r="T281" s="34"/>
      <c r="U281" s="34"/>
      <c r="V281" s="34"/>
      <c r="W281" s="34"/>
      <c r="X281" s="34"/>
      <c r="Y281" s="34"/>
      <c r="Z281" s="34"/>
      <c r="AA281" s="34"/>
    </row>
    <row r="282" spans="1:27" ht="15">
      <c r="A282" s="66" t="s">
        <v>328</v>
      </c>
      <c r="B282" s="66" t="s">
        <v>555</v>
      </c>
      <c r="C282" s="67" t="s">
        <v>3495</v>
      </c>
      <c r="D282" s="68">
        <v>3</v>
      </c>
      <c r="E282" s="69"/>
      <c r="F282" s="70">
        <v>50</v>
      </c>
      <c r="G282" s="67"/>
      <c r="H282" s="71"/>
      <c r="I282" s="72"/>
      <c r="J282" s="72"/>
      <c r="K282" s="34" t="s">
        <v>65</v>
      </c>
      <c r="L282" s="79">
        <v>282</v>
      </c>
      <c r="M282" s="79"/>
      <c r="N282" s="74"/>
      <c r="O282" s="81" t="s">
        <v>653</v>
      </c>
      <c r="P282">
        <v>1</v>
      </c>
      <c r="Q282" s="80" t="str">
        <f>REPLACE(INDEX(GroupVertices[Group],MATCH(Edges[[#This Row],[Vertex 1]],GroupVertices[Vertex],0)),1,1,"")</f>
        <v>5</v>
      </c>
      <c r="R282" s="80" t="str">
        <f>REPLACE(INDEX(GroupVertices[Group],MATCH(Edges[[#This Row],[Vertex 2]],GroupVertices[Vertex],0)),1,1,"")</f>
        <v>5</v>
      </c>
      <c r="S282" s="34"/>
      <c r="T282" s="34"/>
      <c r="U282" s="34"/>
      <c r="V282" s="34"/>
      <c r="W282" s="34"/>
      <c r="X282" s="34"/>
      <c r="Y282" s="34"/>
      <c r="Z282" s="34"/>
      <c r="AA282" s="34"/>
    </row>
    <row r="283" spans="1:27" ht="15">
      <c r="A283" s="66" t="s">
        <v>328</v>
      </c>
      <c r="B283" s="66" t="s">
        <v>556</v>
      </c>
      <c r="C283" s="67" t="s">
        <v>3495</v>
      </c>
      <c r="D283" s="68">
        <v>3</v>
      </c>
      <c r="E283" s="69"/>
      <c r="F283" s="70">
        <v>50</v>
      </c>
      <c r="G283" s="67"/>
      <c r="H283" s="71"/>
      <c r="I283" s="72"/>
      <c r="J283" s="72"/>
      <c r="K283" s="34" t="s">
        <v>65</v>
      </c>
      <c r="L283" s="79">
        <v>283</v>
      </c>
      <c r="M283" s="79"/>
      <c r="N283" s="74"/>
      <c r="O283" s="81" t="s">
        <v>653</v>
      </c>
      <c r="P283">
        <v>1</v>
      </c>
      <c r="Q283" s="80" t="str">
        <f>REPLACE(INDEX(GroupVertices[Group],MATCH(Edges[[#This Row],[Vertex 1]],GroupVertices[Vertex],0)),1,1,"")</f>
        <v>5</v>
      </c>
      <c r="R283" s="80" t="str">
        <f>REPLACE(INDEX(GroupVertices[Group],MATCH(Edges[[#This Row],[Vertex 2]],GroupVertices[Vertex],0)),1,1,"")</f>
        <v>5</v>
      </c>
      <c r="S283" s="34"/>
      <c r="T283" s="34"/>
      <c r="U283" s="34"/>
      <c r="V283" s="34"/>
      <c r="W283" s="34"/>
      <c r="X283" s="34"/>
      <c r="Y283" s="34"/>
      <c r="Z283" s="34"/>
      <c r="AA283" s="34"/>
    </row>
    <row r="284" spans="1:27" ht="15">
      <c r="A284" s="66" t="s">
        <v>328</v>
      </c>
      <c r="B284" s="66" t="s">
        <v>557</v>
      </c>
      <c r="C284" s="67" t="s">
        <v>3495</v>
      </c>
      <c r="D284" s="68">
        <v>3</v>
      </c>
      <c r="E284" s="69"/>
      <c r="F284" s="70">
        <v>50</v>
      </c>
      <c r="G284" s="67"/>
      <c r="H284" s="71"/>
      <c r="I284" s="72"/>
      <c r="J284" s="72"/>
      <c r="K284" s="34" t="s">
        <v>65</v>
      </c>
      <c r="L284" s="79">
        <v>284</v>
      </c>
      <c r="M284" s="79"/>
      <c r="N284" s="74"/>
      <c r="O284" s="81" t="s">
        <v>653</v>
      </c>
      <c r="P284">
        <v>1</v>
      </c>
      <c r="Q284" s="80" t="str">
        <f>REPLACE(INDEX(GroupVertices[Group],MATCH(Edges[[#This Row],[Vertex 1]],GroupVertices[Vertex],0)),1,1,"")</f>
        <v>5</v>
      </c>
      <c r="R284" s="80" t="str">
        <f>REPLACE(INDEX(GroupVertices[Group],MATCH(Edges[[#This Row],[Vertex 2]],GroupVertices[Vertex],0)),1,1,"")</f>
        <v>5</v>
      </c>
      <c r="S284" s="34"/>
      <c r="T284" s="34"/>
      <c r="U284" s="34"/>
      <c r="V284" s="34"/>
      <c r="W284" s="34"/>
      <c r="X284" s="34"/>
      <c r="Y284" s="34"/>
      <c r="Z284" s="34"/>
      <c r="AA284" s="34"/>
    </row>
    <row r="285" spans="1:27" ht="15">
      <c r="A285" s="66" t="s">
        <v>328</v>
      </c>
      <c r="B285" s="66" t="s">
        <v>558</v>
      </c>
      <c r="C285" s="67" t="s">
        <v>3495</v>
      </c>
      <c r="D285" s="68">
        <v>3</v>
      </c>
      <c r="E285" s="69"/>
      <c r="F285" s="70">
        <v>50</v>
      </c>
      <c r="G285" s="67"/>
      <c r="H285" s="71"/>
      <c r="I285" s="72"/>
      <c r="J285" s="72"/>
      <c r="K285" s="34" t="s">
        <v>65</v>
      </c>
      <c r="L285" s="79">
        <v>285</v>
      </c>
      <c r="M285" s="79"/>
      <c r="N285" s="74"/>
      <c r="O285" s="81" t="s">
        <v>653</v>
      </c>
      <c r="P285">
        <v>1</v>
      </c>
      <c r="Q285" s="80" t="str">
        <f>REPLACE(INDEX(GroupVertices[Group],MATCH(Edges[[#This Row],[Vertex 1]],GroupVertices[Vertex],0)),1,1,"")</f>
        <v>5</v>
      </c>
      <c r="R285" s="80" t="str">
        <f>REPLACE(INDEX(GroupVertices[Group],MATCH(Edges[[#This Row],[Vertex 2]],GroupVertices[Vertex],0)),1,1,"")</f>
        <v>5</v>
      </c>
      <c r="S285" s="34"/>
      <c r="T285" s="34"/>
      <c r="U285" s="34"/>
      <c r="V285" s="34"/>
      <c r="W285" s="34"/>
      <c r="X285" s="34"/>
      <c r="Y285" s="34"/>
      <c r="Z285" s="34"/>
      <c r="AA285" s="34"/>
    </row>
    <row r="286" spans="1:27" ht="15">
      <c r="A286" s="66" t="s">
        <v>328</v>
      </c>
      <c r="B286" s="66" t="s">
        <v>559</v>
      </c>
      <c r="C286" s="67" t="s">
        <v>3495</v>
      </c>
      <c r="D286" s="68">
        <v>3</v>
      </c>
      <c r="E286" s="69"/>
      <c r="F286" s="70">
        <v>50</v>
      </c>
      <c r="G286" s="67"/>
      <c r="H286" s="71"/>
      <c r="I286" s="72"/>
      <c r="J286" s="72"/>
      <c r="K286" s="34" t="s">
        <v>65</v>
      </c>
      <c r="L286" s="79">
        <v>286</v>
      </c>
      <c r="M286" s="79"/>
      <c r="N286" s="74"/>
      <c r="O286" s="81" t="s">
        <v>653</v>
      </c>
      <c r="P286">
        <v>1</v>
      </c>
      <c r="Q286" s="80" t="str">
        <f>REPLACE(INDEX(GroupVertices[Group],MATCH(Edges[[#This Row],[Vertex 1]],GroupVertices[Vertex],0)),1,1,"")</f>
        <v>5</v>
      </c>
      <c r="R286" s="80" t="str">
        <f>REPLACE(INDEX(GroupVertices[Group],MATCH(Edges[[#This Row],[Vertex 2]],GroupVertices[Vertex],0)),1,1,"")</f>
        <v>5</v>
      </c>
      <c r="S286" s="34"/>
      <c r="T286" s="34"/>
      <c r="U286" s="34"/>
      <c r="V286" s="34"/>
      <c r="W286" s="34"/>
      <c r="X286" s="34"/>
      <c r="Y286" s="34"/>
      <c r="Z286" s="34"/>
      <c r="AA286" s="34"/>
    </row>
    <row r="287" spans="1:27" ht="15">
      <c r="A287" s="66" t="s">
        <v>328</v>
      </c>
      <c r="B287" s="66" t="s">
        <v>560</v>
      </c>
      <c r="C287" s="67" t="s">
        <v>3495</v>
      </c>
      <c r="D287" s="68">
        <v>3</v>
      </c>
      <c r="E287" s="69"/>
      <c r="F287" s="70">
        <v>50</v>
      </c>
      <c r="G287" s="67"/>
      <c r="H287" s="71"/>
      <c r="I287" s="72"/>
      <c r="J287" s="72"/>
      <c r="K287" s="34" t="s">
        <v>65</v>
      </c>
      <c r="L287" s="79">
        <v>287</v>
      </c>
      <c r="M287" s="79"/>
      <c r="N287" s="74"/>
      <c r="O287" s="81" t="s">
        <v>653</v>
      </c>
      <c r="P287">
        <v>1</v>
      </c>
      <c r="Q287" s="80" t="str">
        <f>REPLACE(INDEX(GroupVertices[Group],MATCH(Edges[[#This Row],[Vertex 1]],GroupVertices[Vertex],0)),1,1,"")</f>
        <v>5</v>
      </c>
      <c r="R287" s="80" t="str">
        <f>REPLACE(INDEX(GroupVertices[Group],MATCH(Edges[[#This Row],[Vertex 2]],GroupVertices[Vertex],0)),1,1,"")</f>
        <v>5</v>
      </c>
      <c r="S287" s="34"/>
      <c r="T287" s="34"/>
      <c r="U287" s="34"/>
      <c r="V287" s="34"/>
      <c r="W287" s="34"/>
      <c r="X287" s="34"/>
      <c r="Y287" s="34"/>
      <c r="Z287" s="34"/>
      <c r="AA287" s="34"/>
    </row>
    <row r="288" spans="1:27" ht="15">
      <c r="A288" s="66" t="s">
        <v>328</v>
      </c>
      <c r="B288" s="66" t="s">
        <v>561</v>
      </c>
      <c r="C288" s="67" t="s">
        <v>3495</v>
      </c>
      <c r="D288" s="68">
        <v>3</v>
      </c>
      <c r="E288" s="69"/>
      <c r="F288" s="70">
        <v>50</v>
      </c>
      <c r="G288" s="67"/>
      <c r="H288" s="71"/>
      <c r="I288" s="72"/>
      <c r="J288" s="72"/>
      <c r="K288" s="34" t="s">
        <v>65</v>
      </c>
      <c r="L288" s="79">
        <v>288</v>
      </c>
      <c r="M288" s="79"/>
      <c r="N288" s="74"/>
      <c r="O288" s="81" t="s">
        <v>653</v>
      </c>
      <c r="P288">
        <v>1</v>
      </c>
      <c r="Q288" s="80" t="str">
        <f>REPLACE(INDEX(GroupVertices[Group],MATCH(Edges[[#This Row],[Vertex 1]],GroupVertices[Vertex],0)),1,1,"")</f>
        <v>5</v>
      </c>
      <c r="R288" s="80" t="str">
        <f>REPLACE(INDEX(GroupVertices[Group],MATCH(Edges[[#This Row],[Vertex 2]],GroupVertices[Vertex],0)),1,1,"")</f>
        <v>5</v>
      </c>
      <c r="S288" s="34"/>
      <c r="T288" s="34"/>
      <c r="U288" s="34"/>
      <c r="V288" s="34"/>
      <c r="W288" s="34"/>
      <c r="X288" s="34"/>
      <c r="Y288" s="34"/>
      <c r="Z288" s="34"/>
      <c r="AA288" s="34"/>
    </row>
    <row r="289" spans="1:27" ht="15">
      <c r="A289" s="66" t="s">
        <v>328</v>
      </c>
      <c r="B289" s="66" t="s">
        <v>562</v>
      </c>
      <c r="C289" s="67" t="s">
        <v>3495</v>
      </c>
      <c r="D289" s="68">
        <v>3</v>
      </c>
      <c r="E289" s="69"/>
      <c r="F289" s="70">
        <v>50</v>
      </c>
      <c r="G289" s="67"/>
      <c r="H289" s="71"/>
      <c r="I289" s="72"/>
      <c r="J289" s="72"/>
      <c r="K289" s="34" t="s">
        <v>65</v>
      </c>
      <c r="L289" s="79">
        <v>289</v>
      </c>
      <c r="M289" s="79"/>
      <c r="N289" s="74"/>
      <c r="O289" s="81" t="s">
        <v>653</v>
      </c>
      <c r="P289">
        <v>1</v>
      </c>
      <c r="Q289" s="80" t="str">
        <f>REPLACE(INDEX(GroupVertices[Group],MATCH(Edges[[#This Row],[Vertex 1]],GroupVertices[Vertex],0)),1,1,"")</f>
        <v>5</v>
      </c>
      <c r="R289" s="80" t="str">
        <f>REPLACE(INDEX(GroupVertices[Group],MATCH(Edges[[#This Row],[Vertex 2]],GroupVertices[Vertex],0)),1,1,"")</f>
        <v>5</v>
      </c>
      <c r="S289" s="34"/>
      <c r="T289" s="34"/>
      <c r="U289" s="34"/>
      <c r="V289" s="34"/>
      <c r="W289" s="34"/>
      <c r="X289" s="34"/>
      <c r="Y289" s="34"/>
      <c r="Z289" s="34"/>
      <c r="AA289" s="34"/>
    </row>
    <row r="290" spans="1:27" ht="15">
      <c r="A290" s="66" t="s">
        <v>328</v>
      </c>
      <c r="B290" s="66" t="s">
        <v>563</v>
      </c>
      <c r="C290" s="67" t="s">
        <v>3495</v>
      </c>
      <c r="D290" s="68">
        <v>3</v>
      </c>
      <c r="E290" s="69"/>
      <c r="F290" s="70">
        <v>50</v>
      </c>
      <c r="G290" s="67"/>
      <c r="H290" s="71"/>
      <c r="I290" s="72"/>
      <c r="J290" s="72"/>
      <c r="K290" s="34" t="s">
        <v>65</v>
      </c>
      <c r="L290" s="79">
        <v>290</v>
      </c>
      <c r="M290" s="79"/>
      <c r="N290" s="74"/>
      <c r="O290" s="81" t="s">
        <v>653</v>
      </c>
      <c r="P290">
        <v>1</v>
      </c>
      <c r="Q290" s="80" t="str">
        <f>REPLACE(INDEX(GroupVertices[Group],MATCH(Edges[[#This Row],[Vertex 1]],GroupVertices[Vertex],0)),1,1,"")</f>
        <v>5</v>
      </c>
      <c r="R290" s="80" t="str">
        <f>REPLACE(INDEX(GroupVertices[Group],MATCH(Edges[[#This Row],[Vertex 2]],GroupVertices[Vertex],0)),1,1,"")</f>
        <v>5</v>
      </c>
      <c r="S290" s="34"/>
      <c r="T290" s="34"/>
      <c r="U290" s="34"/>
      <c r="V290" s="34"/>
      <c r="W290" s="34"/>
      <c r="X290" s="34"/>
      <c r="Y290" s="34"/>
      <c r="Z290" s="34"/>
      <c r="AA290" s="34"/>
    </row>
    <row r="291" spans="1:27" ht="15">
      <c r="A291" s="66" t="s">
        <v>328</v>
      </c>
      <c r="B291" s="66" t="s">
        <v>564</v>
      </c>
      <c r="C291" s="67" t="s">
        <v>3495</v>
      </c>
      <c r="D291" s="68">
        <v>3</v>
      </c>
      <c r="E291" s="69"/>
      <c r="F291" s="70">
        <v>50</v>
      </c>
      <c r="G291" s="67"/>
      <c r="H291" s="71"/>
      <c r="I291" s="72"/>
      <c r="J291" s="72"/>
      <c r="K291" s="34" t="s">
        <v>65</v>
      </c>
      <c r="L291" s="79">
        <v>291</v>
      </c>
      <c r="M291" s="79"/>
      <c r="N291" s="74"/>
      <c r="O291" s="81" t="s">
        <v>653</v>
      </c>
      <c r="P291">
        <v>1</v>
      </c>
      <c r="Q291" s="80" t="str">
        <f>REPLACE(INDEX(GroupVertices[Group],MATCH(Edges[[#This Row],[Vertex 1]],GroupVertices[Vertex],0)),1,1,"")</f>
        <v>5</v>
      </c>
      <c r="R291" s="80" t="str">
        <f>REPLACE(INDEX(GroupVertices[Group],MATCH(Edges[[#This Row],[Vertex 2]],GroupVertices[Vertex],0)),1,1,"")</f>
        <v>5</v>
      </c>
      <c r="S291" s="34"/>
      <c r="T291" s="34"/>
      <c r="U291" s="34"/>
      <c r="V291" s="34"/>
      <c r="W291" s="34"/>
      <c r="X291" s="34"/>
      <c r="Y291" s="34"/>
      <c r="Z291" s="34"/>
      <c r="AA291" s="34"/>
    </row>
    <row r="292" spans="1:27" ht="15">
      <c r="A292" s="66" t="s">
        <v>328</v>
      </c>
      <c r="B292" s="66" t="s">
        <v>527</v>
      </c>
      <c r="C292" s="67" t="s">
        <v>3495</v>
      </c>
      <c r="D292" s="68">
        <v>3</v>
      </c>
      <c r="E292" s="69"/>
      <c r="F292" s="70">
        <v>50</v>
      </c>
      <c r="G292" s="67"/>
      <c r="H292" s="71"/>
      <c r="I292" s="72"/>
      <c r="J292" s="72"/>
      <c r="K292" s="34" t="s">
        <v>65</v>
      </c>
      <c r="L292" s="79">
        <v>292</v>
      </c>
      <c r="M292" s="79"/>
      <c r="N292" s="74"/>
      <c r="O292" s="81" t="s">
        <v>653</v>
      </c>
      <c r="P292">
        <v>1</v>
      </c>
      <c r="Q292" s="80" t="str">
        <f>REPLACE(INDEX(GroupVertices[Group],MATCH(Edges[[#This Row],[Vertex 1]],GroupVertices[Vertex],0)),1,1,"")</f>
        <v>5</v>
      </c>
      <c r="R292" s="80" t="str">
        <f>REPLACE(INDEX(GroupVertices[Group],MATCH(Edges[[#This Row],[Vertex 2]],GroupVertices[Vertex],0)),1,1,"")</f>
        <v>7</v>
      </c>
      <c r="S292" s="34"/>
      <c r="T292" s="34"/>
      <c r="U292" s="34"/>
      <c r="V292" s="34"/>
      <c r="W292" s="34"/>
      <c r="X292" s="34"/>
      <c r="Y292" s="34"/>
      <c r="Z292" s="34"/>
      <c r="AA292" s="34"/>
    </row>
    <row r="293" spans="1:27" ht="15">
      <c r="A293" s="66" t="s">
        <v>328</v>
      </c>
      <c r="B293" s="66" t="s">
        <v>565</v>
      </c>
      <c r="C293" s="67" t="s">
        <v>3495</v>
      </c>
      <c r="D293" s="68">
        <v>3</v>
      </c>
      <c r="E293" s="69"/>
      <c r="F293" s="70">
        <v>50</v>
      </c>
      <c r="G293" s="67"/>
      <c r="H293" s="71"/>
      <c r="I293" s="72"/>
      <c r="J293" s="72"/>
      <c r="K293" s="34" t="s">
        <v>65</v>
      </c>
      <c r="L293" s="79">
        <v>293</v>
      </c>
      <c r="M293" s="79"/>
      <c r="N293" s="74"/>
      <c r="O293" s="81" t="s">
        <v>653</v>
      </c>
      <c r="P293">
        <v>1</v>
      </c>
      <c r="Q293" s="80" t="str">
        <f>REPLACE(INDEX(GroupVertices[Group],MATCH(Edges[[#This Row],[Vertex 1]],GroupVertices[Vertex],0)),1,1,"")</f>
        <v>5</v>
      </c>
      <c r="R293" s="80" t="str">
        <f>REPLACE(INDEX(GroupVertices[Group],MATCH(Edges[[#This Row],[Vertex 2]],GroupVertices[Vertex],0)),1,1,"")</f>
        <v>5</v>
      </c>
      <c r="S293" s="34"/>
      <c r="T293" s="34"/>
      <c r="U293" s="34"/>
      <c r="V293" s="34"/>
      <c r="W293" s="34"/>
      <c r="X293" s="34"/>
      <c r="Y293" s="34"/>
      <c r="Z293" s="34"/>
      <c r="AA293" s="34"/>
    </row>
    <row r="294" spans="1:27" ht="15">
      <c r="A294" s="66" t="s">
        <v>328</v>
      </c>
      <c r="B294" s="66" t="s">
        <v>566</v>
      </c>
      <c r="C294" s="67" t="s">
        <v>3495</v>
      </c>
      <c r="D294" s="68">
        <v>3</v>
      </c>
      <c r="E294" s="69"/>
      <c r="F294" s="70">
        <v>50</v>
      </c>
      <c r="G294" s="67"/>
      <c r="H294" s="71"/>
      <c r="I294" s="72"/>
      <c r="J294" s="72"/>
      <c r="K294" s="34" t="s">
        <v>65</v>
      </c>
      <c r="L294" s="79">
        <v>294</v>
      </c>
      <c r="M294" s="79"/>
      <c r="N294" s="74"/>
      <c r="O294" s="81" t="s">
        <v>653</v>
      </c>
      <c r="P294">
        <v>1</v>
      </c>
      <c r="Q294" s="80" t="str">
        <f>REPLACE(INDEX(GroupVertices[Group],MATCH(Edges[[#This Row],[Vertex 1]],GroupVertices[Vertex],0)),1,1,"")</f>
        <v>5</v>
      </c>
      <c r="R294" s="80" t="str">
        <f>REPLACE(INDEX(GroupVertices[Group],MATCH(Edges[[#This Row],[Vertex 2]],GroupVertices[Vertex],0)),1,1,"")</f>
        <v>5</v>
      </c>
      <c r="S294" s="34"/>
      <c r="T294" s="34"/>
      <c r="U294" s="34"/>
      <c r="V294" s="34"/>
      <c r="W294" s="34"/>
      <c r="X294" s="34"/>
      <c r="Y294" s="34"/>
      <c r="Z294" s="34"/>
      <c r="AA294" s="34"/>
    </row>
    <row r="295" spans="1:27" ht="15">
      <c r="A295" s="66" t="s">
        <v>328</v>
      </c>
      <c r="B295" s="66" t="s">
        <v>567</v>
      </c>
      <c r="C295" s="67" t="s">
        <v>3495</v>
      </c>
      <c r="D295" s="68">
        <v>3</v>
      </c>
      <c r="E295" s="69"/>
      <c r="F295" s="70">
        <v>50</v>
      </c>
      <c r="G295" s="67"/>
      <c r="H295" s="71"/>
      <c r="I295" s="72"/>
      <c r="J295" s="72"/>
      <c r="K295" s="34" t="s">
        <v>65</v>
      </c>
      <c r="L295" s="79">
        <v>295</v>
      </c>
      <c r="M295" s="79"/>
      <c r="N295" s="74"/>
      <c r="O295" s="81" t="s">
        <v>653</v>
      </c>
      <c r="P295">
        <v>1</v>
      </c>
      <c r="Q295" s="80" t="str">
        <f>REPLACE(INDEX(GroupVertices[Group],MATCH(Edges[[#This Row],[Vertex 1]],GroupVertices[Vertex],0)),1,1,"")</f>
        <v>5</v>
      </c>
      <c r="R295" s="80" t="str">
        <f>REPLACE(INDEX(GroupVertices[Group],MATCH(Edges[[#This Row],[Vertex 2]],GroupVertices[Vertex],0)),1,1,"")</f>
        <v>5</v>
      </c>
      <c r="S295" s="34"/>
      <c r="T295" s="34"/>
      <c r="U295" s="34"/>
      <c r="V295" s="34"/>
      <c r="W295" s="34"/>
      <c r="X295" s="34"/>
      <c r="Y295" s="34"/>
      <c r="Z295" s="34"/>
      <c r="AA295" s="34"/>
    </row>
    <row r="296" spans="1:27" ht="15">
      <c r="A296" s="66" t="s">
        <v>328</v>
      </c>
      <c r="B296" s="66" t="s">
        <v>568</v>
      </c>
      <c r="C296" s="67" t="s">
        <v>3495</v>
      </c>
      <c r="D296" s="68">
        <v>3</v>
      </c>
      <c r="E296" s="69"/>
      <c r="F296" s="70">
        <v>50</v>
      </c>
      <c r="G296" s="67"/>
      <c r="H296" s="71"/>
      <c r="I296" s="72"/>
      <c r="J296" s="72"/>
      <c r="K296" s="34" t="s">
        <v>65</v>
      </c>
      <c r="L296" s="79">
        <v>296</v>
      </c>
      <c r="M296" s="79"/>
      <c r="N296" s="74"/>
      <c r="O296" s="81" t="s">
        <v>653</v>
      </c>
      <c r="P296">
        <v>1</v>
      </c>
      <c r="Q296" s="80" t="str">
        <f>REPLACE(INDEX(GroupVertices[Group],MATCH(Edges[[#This Row],[Vertex 1]],GroupVertices[Vertex],0)),1,1,"")</f>
        <v>5</v>
      </c>
      <c r="R296" s="80" t="str">
        <f>REPLACE(INDEX(GroupVertices[Group],MATCH(Edges[[#This Row],[Vertex 2]],GroupVertices[Vertex],0)),1,1,"")</f>
        <v>5</v>
      </c>
      <c r="S296" s="34"/>
      <c r="T296" s="34"/>
      <c r="U296" s="34"/>
      <c r="V296" s="34"/>
      <c r="W296" s="34"/>
      <c r="X296" s="34"/>
      <c r="Y296" s="34"/>
      <c r="Z296" s="34"/>
      <c r="AA296" s="34"/>
    </row>
    <row r="297" spans="1:27" ht="15">
      <c r="A297" s="66" t="s">
        <v>328</v>
      </c>
      <c r="B297" s="66" t="s">
        <v>569</v>
      </c>
      <c r="C297" s="67" t="s">
        <v>3495</v>
      </c>
      <c r="D297" s="68">
        <v>3</v>
      </c>
      <c r="E297" s="69"/>
      <c r="F297" s="70">
        <v>50</v>
      </c>
      <c r="G297" s="67"/>
      <c r="H297" s="71"/>
      <c r="I297" s="72"/>
      <c r="J297" s="72"/>
      <c r="K297" s="34" t="s">
        <v>65</v>
      </c>
      <c r="L297" s="79">
        <v>297</v>
      </c>
      <c r="M297" s="79"/>
      <c r="N297" s="74"/>
      <c r="O297" s="81" t="s">
        <v>653</v>
      </c>
      <c r="P297">
        <v>1</v>
      </c>
      <c r="Q297" s="80" t="str">
        <f>REPLACE(INDEX(GroupVertices[Group],MATCH(Edges[[#This Row],[Vertex 1]],GroupVertices[Vertex],0)),1,1,"")</f>
        <v>5</v>
      </c>
      <c r="R297" s="80" t="str">
        <f>REPLACE(INDEX(GroupVertices[Group],MATCH(Edges[[#This Row],[Vertex 2]],GroupVertices[Vertex],0)),1,1,"")</f>
        <v>5</v>
      </c>
      <c r="S297" s="34"/>
      <c r="T297" s="34"/>
      <c r="U297" s="34"/>
      <c r="V297" s="34"/>
      <c r="W297" s="34"/>
      <c r="X297" s="34"/>
      <c r="Y297" s="34"/>
      <c r="Z297" s="34"/>
      <c r="AA297" s="34"/>
    </row>
    <row r="298" spans="1:27" ht="15">
      <c r="A298" s="66" t="s">
        <v>328</v>
      </c>
      <c r="B298" s="66" t="s">
        <v>570</v>
      </c>
      <c r="C298" s="67" t="s">
        <v>3495</v>
      </c>
      <c r="D298" s="68">
        <v>3</v>
      </c>
      <c r="E298" s="69"/>
      <c r="F298" s="70">
        <v>50</v>
      </c>
      <c r="G298" s="67"/>
      <c r="H298" s="71"/>
      <c r="I298" s="72"/>
      <c r="J298" s="72"/>
      <c r="K298" s="34" t="s">
        <v>65</v>
      </c>
      <c r="L298" s="79">
        <v>298</v>
      </c>
      <c r="M298" s="79"/>
      <c r="N298" s="74"/>
      <c r="O298" s="81" t="s">
        <v>653</v>
      </c>
      <c r="P298">
        <v>1</v>
      </c>
      <c r="Q298" s="80" t="str">
        <f>REPLACE(INDEX(GroupVertices[Group],MATCH(Edges[[#This Row],[Vertex 1]],GroupVertices[Vertex],0)),1,1,"")</f>
        <v>5</v>
      </c>
      <c r="R298" s="80" t="str">
        <f>REPLACE(INDEX(GroupVertices[Group],MATCH(Edges[[#This Row],[Vertex 2]],GroupVertices[Vertex],0)),1,1,"")</f>
        <v>5</v>
      </c>
      <c r="S298" s="34"/>
      <c r="T298" s="34"/>
      <c r="U298" s="34"/>
      <c r="V298" s="34"/>
      <c r="W298" s="34"/>
      <c r="X298" s="34"/>
      <c r="Y298" s="34"/>
      <c r="Z298" s="34"/>
      <c r="AA298" s="34"/>
    </row>
    <row r="299" spans="1:27" ht="15">
      <c r="A299" s="66" t="s">
        <v>328</v>
      </c>
      <c r="B299" s="66" t="s">
        <v>571</v>
      </c>
      <c r="C299" s="67" t="s">
        <v>3495</v>
      </c>
      <c r="D299" s="68">
        <v>3</v>
      </c>
      <c r="E299" s="69"/>
      <c r="F299" s="70">
        <v>50</v>
      </c>
      <c r="G299" s="67"/>
      <c r="H299" s="71"/>
      <c r="I299" s="72"/>
      <c r="J299" s="72"/>
      <c r="K299" s="34" t="s">
        <v>65</v>
      </c>
      <c r="L299" s="79">
        <v>299</v>
      </c>
      <c r="M299" s="79"/>
      <c r="N299" s="74"/>
      <c r="O299" s="81" t="s">
        <v>653</v>
      </c>
      <c r="P299">
        <v>1</v>
      </c>
      <c r="Q299" s="80" t="str">
        <f>REPLACE(INDEX(GroupVertices[Group],MATCH(Edges[[#This Row],[Vertex 1]],GroupVertices[Vertex],0)),1,1,"")</f>
        <v>5</v>
      </c>
      <c r="R299" s="80" t="str">
        <f>REPLACE(INDEX(GroupVertices[Group],MATCH(Edges[[#This Row],[Vertex 2]],GroupVertices[Vertex],0)),1,1,"")</f>
        <v>5</v>
      </c>
      <c r="S299" s="34"/>
      <c r="T299" s="34"/>
      <c r="U299" s="34"/>
      <c r="V299" s="34"/>
      <c r="W299" s="34"/>
      <c r="X299" s="34"/>
      <c r="Y299" s="34"/>
      <c r="Z299" s="34"/>
      <c r="AA299" s="34"/>
    </row>
    <row r="300" spans="1:27" ht="15">
      <c r="A300" s="66" t="s">
        <v>328</v>
      </c>
      <c r="B300" s="66" t="s">
        <v>572</v>
      </c>
      <c r="C300" s="67" t="s">
        <v>3495</v>
      </c>
      <c r="D300" s="68">
        <v>3</v>
      </c>
      <c r="E300" s="69"/>
      <c r="F300" s="70">
        <v>50</v>
      </c>
      <c r="G300" s="67"/>
      <c r="H300" s="71"/>
      <c r="I300" s="72"/>
      <c r="J300" s="72"/>
      <c r="K300" s="34" t="s">
        <v>65</v>
      </c>
      <c r="L300" s="79">
        <v>300</v>
      </c>
      <c r="M300" s="79"/>
      <c r="N300" s="74"/>
      <c r="O300" s="81" t="s">
        <v>653</v>
      </c>
      <c r="P300">
        <v>1</v>
      </c>
      <c r="Q300" s="80" t="str">
        <f>REPLACE(INDEX(GroupVertices[Group],MATCH(Edges[[#This Row],[Vertex 1]],GroupVertices[Vertex],0)),1,1,"")</f>
        <v>5</v>
      </c>
      <c r="R300" s="80" t="str">
        <f>REPLACE(INDEX(GroupVertices[Group],MATCH(Edges[[#This Row],[Vertex 2]],GroupVertices[Vertex],0)),1,1,"")</f>
        <v>5</v>
      </c>
      <c r="S300" s="34"/>
      <c r="T300" s="34"/>
      <c r="U300" s="34"/>
      <c r="V300" s="34"/>
      <c r="W300" s="34"/>
      <c r="X300" s="34"/>
      <c r="Y300" s="34"/>
      <c r="Z300" s="34"/>
      <c r="AA300" s="34"/>
    </row>
    <row r="301" spans="1:27" ht="15">
      <c r="A301" s="66" t="s">
        <v>328</v>
      </c>
      <c r="B301" s="66" t="s">
        <v>573</v>
      </c>
      <c r="C301" s="67" t="s">
        <v>3495</v>
      </c>
      <c r="D301" s="68">
        <v>3</v>
      </c>
      <c r="E301" s="69"/>
      <c r="F301" s="70">
        <v>50</v>
      </c>
      <c r="G301" s="67"/>
      <c r="H301" s="71"/>
      <c r="I301" s="72"/>
      <c r="J301" s="72"/>
      <c r="K301" s="34" t="s">
        <v>65</v>
      </c>
      <c r="L301" s="79">
        <v>301</v>
      </c>
      <c r="M301" s="79"/>
      <c r="N301" s="74"/>
      <c r="O301" s="81" t="s">
        <v>653</v>
      </c>
      <c r="P301">
        <v>1</v>
      </c>
      <c r="Q301" s="80" t="str">
        <f>REPLACE(INDEX(GroupVertices[Group],MATCH(Edges[[#This Row],[Vertex 1]],GroupVertices[Vertex],0)),1,1,"")</f>
        <v>5</v>
      </c>
      <c r="R301" s="80" t="str">
        <f>REPLACE(INDEX(GroupVertices[Group],MATCH(Edges[[#This Row],[Vertex 2]],GroupVertices[Vertex],0)),1,1,"")</f>
        <v>5</v>
      </c>
      <c r="S301" s="34"/>
      <c r="T301" s="34"/>
      <c r="U301" s="34"/>
      <c r="V301" s="34"/>
      <c r="W301" s="34"/>
      <c r="X301" s="34"/>
      <c r="Y301" s="34"/>
      <c r="Z301" s="34"/>
      <c r="AA301" s="34"/>
    </row>
    <row r="302" spans="1:27" ht="15">
      <c r="A302" s="66" t="s">
        <v>328</v>
      </c>
      <c r="B302" s="66" t="s">
        <v>574</v>
      </c>
      <c r="C302" s="67" t="s">
        <v>3495</v>
      </c>
      <c r="D302" s="68">
        <v>3</v>
      </c>
      <c r="E302" s="69"/>
      <c r="F302" s="70">
        <v>50</v>
      </c>
      <c r="G302" s="67"/>
      <c r="H302" s="71"/>
      <c r="I302" s="72"/>
      <c r="J302" s="72"/>
      <c r="K302" s="34" t="s">
        <v>65</v>
      </c>
      <c r="L302" s="79">
        <v>302</v>
      </c>
      <c r="M302" s="79"/>
      <c r="N302" s="74"/>
      <c r="O302" s="81" t="s">
        <v>653</v>
      </c>
      <c r="P302">
        <v>1</v>
      </c>
      <c r="Q302" s="80" t="str">
        <f>REPLACE(INDEX(GroupVertices[Group],MATCH(Edges[[#This Row],[Vertex 1]],GroupVertices[Vertex],0)),1,1,"")</f>
        <v>5</v>
      </c>
      <c r="R302" s="80" t="str">
        <f>REPLACE(INDEX(GroupVertices[Group],MATCH(Edges[[#This Row],[Vertex 2]],GroupVertices[Vertex],0)),1,1,"")</f>
        <v>5</v>
      </c>
      <c r="S302" s="34"/>
      <c r="T302" s="34"/>
      <c r="U302" s="34"/>
      <c r="V302" s="34"/>
      <c r="W302" s="34"/>
      <c r="X302" s="34"/>
      <c r="Y302" s="34"/>
      <c r="Z302" s="34"/>
      <c r="AA302" s="34"/>
    </row>
    <row r="303" spans="1:27" ht="15">
      <c r="A303" s="66" t="s">
        <v>328</v>
      </c>
      <c r="B303" s="66" t="s">
        <v>575</v>
      </c>
      <c r="C303" s="67" t="s">
        <v>3495</v>
      </c>
      <c r="D303" s="68">
        <v>3</v>
      </c>
      <c r="E303" s="69"/>
      <c r="F303" s="70">
        <v>50</v>
      </c>
      <c r="G303" s="67"/>
      <c r="H303" s="71"/>
      <c r="I303" s="72"/>
      <c r="J303" s="72"/>
      <c r="K303" s="34" t="s">
        <v>65</v>
      </c>
      <c r="L303" s="79">
        <v>303</v>
      </c>
      <c r="M303" s="79"/>
      <c r="N303" s="74"/>
      <c r="O303" s="81" t="s">
        <v>653</v>
      </c>
      <c r="P303">
        <v>1</v>
      </c>
      <c r="Q303" s="80" t="str">
        <f>REPLACE(INDEX(GroupVertices[Group],MATCH(Edges[[#This Row],[Vertex 1]],GroupVertices[Vertex],0)),1,1,"")</f>
        <v>5</v>
      </c>
      <c r="R303" s="80" t="str">
        <f>REPLACE(INDEX(GroupVertices[Group],MATCH(Edges[[#This Row],[Vertex 2]],GroupVertices[Vertex],0)),1,1,"")</f>
        <v>5</v>
      </c>
      <c r="S303" s="34"/>
      <c r="T303" s="34"/>
      <c r="U303" s="34"/>
      <c r="V303" s="34"/>
      <c r="W303" s="34"/>
      <c r="X303" s="34"/>
      <c r="Y303" s="34"/>
      <c r="Z303" s="34"/>
      <c r="AA303" s="34"/>
    </row>
    <row r="304" spans="1:27" ht="15">
      <c r="A304" s="66" t="s">
        <v>328</v>
      </c>
      <c r="B304" s="66" t="s">
        <v>576</v>
      </c>
      <c r="C304" s="67" t="s">
        <v>3495</v>
      </c>
      <c r="D304" s="68">
        <v>3</v>
      </c>
      <c r="E304" s="69"/>
      <c r="F304" s="70">
        <v>50</v>
      </c>
      <c r="G304" s="67"/>
      <c r="H304" s="71"/>
      <c r="I304" s="72"/>
      <c r="J304" s="72"/>
      <c r="K304" s="34" t="s">
        <v>65</v>
      </c>
      <c r="L304" s="79">
        <v>304</v>
      </c>
      <c r="M304" s="79"/>
      <c r="N304" s="74"/>
      <c r="O304" s="81" t="s">
        <v>653</v>
      </c>
      <c r="P304">
        <v>1</v>
      </c>
      <c r="Q304" s="80" t="str">
        <f>REPLACE(INDEX(GroupVertices[Group],MATCH(Edges[[#This Row],[Vertex 1]],GroupVertices[Vertex],0)),1,1,"")</f>
        <v>5</v>
      </c>
      <c r="R304" s="80" t="str">
        <f>REPLACE(INDEX(GroupVertices[Group],MATCH(Edges[[#This Row],[Vertex 2]],GroupVertices[Vertex],0)),1,1,"")</f>
        <v>5</v>
      </c>
      <c r="S304" s="34"/>
      <c r="T304" s="34"/>
      <c r="U304" s="34"/>
      <c r="V304" s="34"/>
      <c r="W304" s="34"/>
      <c r="X304" s="34"/>
      <c r="Y304" s="34"/>
      <c r="Z304" s="34"/>
      <c r="AA304" s="34"/>
    </row>
    <row r="305" spans="1:27" ht="15">
      <c r="A305" s="66" t="s">
        <v>328</v>
      </c>
      <c r="B305" s="66" t="s">
        <v>577</v>
      </c>
      <c r="C305" s="67" t="s">
        <v>3495</v>
      </c>
      <c r="D305" s="68">
        <v>3</v>
      </c>
      <c r="E305" s="69"/>
      <c r="F305" s="70">
        <v>50</v>
      </c>
      <c r="G305" s="67"/>
      <c r="H305" s="71"/>
      <c r="I305" s="72"/>
      <c r="J305" s="72"/>
      <c r="K305" s="34" t="s">
        <v>65</v>
      </c>
      <c r="L305" s="79">
        <v>305</v>
      </c>
      <c r="M305" s="79"/>
      <c r="N305" s="74"/>
      <c r="O305" s="81" t="s">
        <v>653</v>
      </c>
      <c r="P305">
        <v>1</v>
      </c>
      <c r="Q305" s="80" t="str">
        <f>REPLACE(INDEX(GroupVertices[Group],MATCH(Edges[[#This Row],[Vertex 1]],GroupVertices[Vertex],0)),1,1,"")</f>
        <v>5</v>
      </c>
      <c r="R305" s="80" t="str">
        <f>REPLACE(INDEX(GroupVertices[Group],MATCH(Edges[[#This Row],[Vertex 2]],GroupVertices[Vertex],0)),1,1,"")</f>
        <v>5</v>
      </c>
      <c r="S305" s="34"/>
      <c r="T305" s="34"/>
      <c r="U305" s="34"/>
      <c r="V305" s="34"/>
      <c r="W305" s="34"/>
      <c r="X305" s="34"/>
      <c r="Y305" s="34"/>
      <c r="Z305" s="34"/>
      <c r="AA305" s="34"/>
    </row>
    <row r="306" spans="1:27" ht="15">
      <c r="A306" s="66" t="s">
        <v>328</v>
      </c>
      <c r="B306" s="66" t="s">
        <v>578</v>
      </c>
      <c r="C306" s="67" t="s">
        <v>3495</v>
      </c>
      <c r="D306" s="68">
        <v>3</v>
      </c>
      <c r="E306" s="69"/>
      <c r="F306" s="70">
        <v>50</v>
      </c>
      <c r="G306" s="67"/>
      <c r="H306" s="71"/>
      <c r="I306" s="72"/>
      <c r="J306" s="72"/>
      <c r="K306" s="34" t="s">
        <v>65</v>
      </c>
      <c r="L306" s="79">
        <v>306</v>
      </c>
      <c r="M306" s="79"/>
      <c r="N306" s="74"/>
      <c r="O306" s="81" t="s">
        <v>653</v>
      </c>
      <c r="P306">
        <v>1</v>
      </c>
      <c r="Q306" s="80" t="str">
        <f>REPLACE(INDEX(GroupVertices[Group],MATCH(Edges[[#This Row],[Vertex 1]],GroupVertices[Vertex],0)),1,1,"")</f>
        <v>5</v>
      </c>
      <c r="R306" s="80" t="str">
        <f>REPLACE(INDEX(GroupVertices[Group],MATCH(Edges[[#This Row],[Vertex 2]],GroupVertices[Vertex],0)),1,1,"")</f>
        <v>5</v>
      </c>
      <c r="S306" s="34"/>
      <c r="T306" s="34"/>
      <c r="U306" s="34"/>
      <c r="V306" s="34"/>
      <c r="W306" s="34"/>
      <c r="X306" s="34"/>
      <c r="Y306" s="34"/>
      <c r="Z306" s="34"/>
      <c r="AA306" s="34"/>
    </row>
    <row r="307" spans="1:27" ht="15">
      <c r="A307" s="66" t="s">
        <v>328</v>
      </c>
      <c r="B307" s="66" t="s">
        <v>579</v>
      </c>
      <c r="C307" s="67" t="s">
        <v>3495</v>
      </c>
      <c r="D307" s="68">
        <v>3</v>
      </c>
      <c r="E307" s="69"/>
      <c r="F307" s="70">
        <v>50</v>
      </c>
      <c r="G307" s="67"/>
      <c r="H307" s="71"/>
      <c r="I307" s="72"/>
      <c r="J307" s="72"/>
      <c r="K307" s="34" t="s">
        <v>65</v>
      </c>
      <c r="L307" s="79">
        <v>307</v>
      </c>
      <c r="M307" s="79"/>
      <c r="N307" s="74"/>
      <c r="O307" s="81" t="s">
        <v>653</v>
      </c>
      <c r="P307">
        <v>1</v>
      </c>
      <c r="Q307" s="80" t="str">
        <f>REPLACE(INDEX(GroupVertices[Group],MATCH(Edges[[#This Row],[Vertex 1]],GroupVertices[Vertex],0)),1,1,"")</f>
        <v>5</v>
      </c>
      <c r="R307" s="80" t="str">
        <f>REPLACE(INDEX(GroupVertices[Group],MATCH(Edges[[#This Row],[Vertex 2]],GroupVertices[Vertex],0)),1,1,"")</f>
        <v>5</v>
      </c>
      <c r="S307" s="34"/>
      <c r="T307" s="34"/>
      <c r="U307" s="34"/>
      <c r="V307" s="34"/>
      <c r="W307" s="34"/>
      <c r="X307" s="34"/>
      <c r="Y307" s="34"/>
      <c r="Z307" s="34"/>
      <c r="AA307" s="34"/>
    </row>
    <row r="308" spans="1:27" ht="15">
      <c r="A308" s="66" t="s">
        <v>328</v>
      </c>
      <c r="B308" s="66" t="s">
        <v>580</v>
      </c>
      <c r="C308" s="67" t="s">
        <v>3495</v>
      </c>
      <c r="D308" s="68">
        <v>3</v>
      </c>
      <c r="E308" s="69"/>
      <c r="F308" s="70">
        <v>50</v>
      </c>
      <c r="G308" s="67"/>
      <c r="H308" s="71"/>
      <c r="I308" s="72"/>
      <c r="J308" s="72"/>
      <c r="K308" s="34" t="s">
        <v>65</v>
      </c>
      <c r="L308" s="79">
        <v>308</v>
      </c>
      <c r="M308" s="79"/>
      <c r="N308" s="74"/>
      <c r="O308" s="81" t="s">
        <v>653</v>
      </c>
      <c r="P308">
        <v>1</v>
      </c>
      <c r="Q308" s="80" t="str">
        <f>REPLACE(INDEX(GroupVertices[Group],MATCH(Edges[[#This Row],[Vertex 1]],GroupVertices[Vertex],0)),1,1,"")</f>
        <v>5</v>
      </c>
      <c r="R308" s="80" t="str">
        <f>REPLACE(INDEX(GroupVertices[Group],MATCH(Edges[[#This Row],[Vertex 2]],GroupVertices[Vertex],0)),1,1,"")</f>
        <v>5</v>
      </c>
      <c r="S308" s="34"/>
      <c r="T308" s="34"/>
      <c r="U308" s="34"/>
      <c r="V308" s="34"/>
      <c r="W308" s="34"/>
      <c r="X308" s="34"/>
      <c r="Y308" s="34"/>
      <c r="Z308" s="34"/>
      <c r="AA308" s="34"/>
    </row>
    <row r="309" spans="1:27" ht="15">
      <c r="A309" s="66" t="s">
        <v>328</v>
      </c>
      <c r="B309" s="66" t="s">
        <v>581</v>
      </c>
      <c r="C309" s="67" t="s">
        <v>3495</v>
      </c>
      <c r="D309" s="68">
        <v>3</v>
      </c>
      <c r="E309" s="69"/>
      <c r="F309" s="70">
        <v>50</v>
      </c>
      <c r="G309" s="67"/>
      <c r="H309" s="71"/>
      <c r="I309" s="72"/>
      <c r="J309" s="72"/>
      <c r="K309" s="34" t="s">
        <v>65</v>
      </c>
      <c r="L309" s="79">
        <v>309</v>
      </c>
      <c r="M309" s="79"/>
      <c r="N309" s="74"/>
      <c r="O309" s="81" t="s">
        <v>653</v>
      </c>
      <c r="P309">
        <v>1</v>
      </c>
      <c r="Q309" s="80" t="str">
        <f>REPLACE(INDEX(GroupVertices[Group],MATCH(Edges[[#This Row],[Vertex 1]],GroupVertices[Vertex],0)),1,1,"")</f>
        <v>5</v>
      </c>
      <c r="R309" s="80" t="str">
        <f>REPLACE(INDEX(GroupVertices[Group],MATCH(Edges[[#This Row],[Vertex 2]],GroupVertices[Vertex],0)),1,1,"")</f>
        <v>5</v>
      </c>
      <c r="S309" s="34"/>
      <c r="T309" s="34"/>
      <c r="U309" s="34"/>
      <c r="V309" s="34"/>
      <c r="W309" s="34"/>
      <c r="X309" s="34"/>
      <c r="Y309" s="34"/>
      <c r="Z309" s="34"/>
      <c r="AA309" s="34"/>
    </row>
    <row r="310" spans="1:27" ht="15">
      <c r="A310" s="66" t="s">
        <v>328</v>
      </c>
      <c r="B310" s="66" t="s">
        <v>582</v>
      </c>
      <c r="C310" s="67" t="s">
        <v>3495</v>
      </c>
      <c r="D310" s="68">
        <v>3</v>
      </c>
      <c r="E310" s="69"/>
      <c r="F310" s="70">
        <v>50</v>
      </c>
      <c r="G310" s="67"/>
      <c r="H310" s="71"/>
      <c r="I310" s="72"/>
      <c r="J310" s="72"/>
      <c r="K310" s="34" t="s">
        <v>65</v>
      </c>
      <c r="L310" s="79">
        <v>310</v>
      </c>
      <c r="M310" s="79"/>
      <c r="N310" s="74"/>
      <c r="O310" s="81" t="s">
        <v>653</v>
      </c>
      <c r="P310">
        <v>1</v>
      </c>
      <c r="Q310" s="80" t="str">
        <f>REPLACE(INDEX(GroupVertices[Group],MATCH(Edges[[#This Row],[Vertex 1]],GroupVertices[Vertex],0)),1,1,"")</f>
        <v>5</v>
      </c>
      <c r="R310" s="80" t="str">
        <f>REPLACE(INDEX(GroupVertices[Group],MATCH(Edges[[#This Row],[Vertex 2]],GroupVertices[Vertex],0)),1,1,"")</f>
        <v>5</v>
      </c>
      <c r="S310" s="34"/>
      <c r="T310" s="34"/>
      <c r="U310" s="34"/>
      <c r="V310" s="34"/>
      <c r="W310" s="34"/>
      <c r="X310" s="34"/>
      <c r="Y310" s="34"/>
      <c r="Z310" s="34"/>
      <c r="AA310" s="34"/>
    </row>
    <row r="311" spans="1:27" ht="15">
      <c r="A311" s="66" t="s">
        <v>328</v>
      </c>
      <c r="B311" s="66" t="s">
        <v>583</v>
      </c>
      <c r="C311" s="67" t="s">
        <v>3495</v>
      </c>
      <c r="D311" s="68">
        <v>3</v>
      </c>
      <c r="E311" s="69"/>
      <c r="F311" s="70">
        <v>50</v>
      </c>
      <c r="G311" s="67"/>
      <c r="H311" s="71"/>
      <c r="I311" s="72"/>
      <c r="J311" s="72"/>
      <c r="K311" s="34" t="s">
        <v>65</v>
      </c>
      <c r="L311" s="79">
        <v>311</v>
      </c>
      <c r="M311" s="79"/>
      <c r="N311" s="74"/>
      <c r="O311" s="81" t="s">
        <v>653</v>
      </c>
      <c r="P311">
        <v>1</v>
      </c>
      <c r="Q311" s="80" t="str">
        <f>REPLACE(INDEX(GroupVertices[Group],MATCH(Edges[[#This Row],[Vertex 1]],GroupVertices[Vertex],0)),1,1,"")</f>
        <v>5</v>
      </c>
      <c r="R311" s="80" t="str">
        <f>REPLACE(INDEX(GroupVertices[Group],MATCH(Edges[[#This Row],[Vertex 2]],GroupVertices[Vertex],0)),1,1,"")</f>
        <v>5</v>
      </c>
      <c r="S311" s="34"/>
      <c r="T311" s="34"/>
      <c r="U311" s="34"/>
      <c r="V311" s="34"/>
      <c r="W311" s="34"/>
      <c r="X311" s="34"/>
      <c r="Y311" s="34"/>
      <c r="Z311" s="34"/>
      <c r="AA311" s="34"/>
    </row>
    <row r="312" spans="1:27" ht="15">
      <c r="A312" s="66" t="s">
        <v>328</v>
      </c>
      <c r="B312" s="66" t="s">
        <v>584</v>
      </c>
      <c r="C312" s="67" t="s">
        <v>3495</v>
      </c>
      <c r="D312" s="68">
        <v>3</v>
      </c>
      <c r="E312" s="69"/>
      <c r="F312" s="70">
        <v>50</v>
      </c>
      <c r="G312" s="67"/>
      <c r="H312" s="71"/>
      <c r="I312" s="72"/>
      <c r="J312" s="72"/>
      <c r="K312" s="34" t="s">
        <v>65</v>
      </c>
      <c r="L312" s="79">
        <v>312</v>
      </c>
      <c r="M312" s="79"/>
      <c r="N312" s="74"/>
      <c r="O312" s="81" t="s">
        <v>653</v>
      </c>
      <c r="P312">
        <v>1</v>
      </c>
      <c r="Q312" s="80" t="str">
        <f>REPLACE(INDEX(GroupVertices[Group],MATCH(Edges[[#This Row],[Vertex 1]],GroupVertices[Vertex],0)),1,1,"")</f>
        <v>5</v>
      </c>
      <c r="R312" s="80" t="str">
        <f>REPLACE(INDEX(GroupVertices[Group],MATCH(Edges[[#This Row],[Vertex 2]],GroupVertices[Vertex],0)),1,1,"")</f>
        <v>5</v>
      </c>
      <c r="S312" s="34"/>
      <c r="T312" s="34"/>
      <c r="U312" s="34"/>
      <c r="V312" s="34"/>
      <c r="W312" s="34"/>
      <c r="X312" s="34"/>
      <c r="Y312" s="34"/>
      <c r="Z312" s="34"/>
      <c r="AA312" s="34"/>
    </row>
    <row r="313" spans="1:27" ht="15">
      <c r="A313" s="66" t="s">
        <v>328</v>
      </c>
      <c r="B313" s="66" t="s">
        <v>585</v>
      </c>
      <c r="C313" s="67" t="s">
        <v>3495</v>
      </c>
      <c r="D313" s="68">
        <v>3</v>
      </c>
      <c r="E313" s="69"/>
      <c r="F313" s="70">
        <v>50</v>
      </c>
      <c r="G313" s="67"/>
      <c r="H313" s="71"/>
      <c r="I313" s="72"/>
      <c r="J313" s="72"/>
      <c r="K313" s="34" t="s">
        <v>65</v>
      </c>
      <c r="L313" s="79">
        <v>313</v>
      </c>
      <c r="M313" s="79"/>
      <c r="N313" s="74"/>
      <c r="O313" s="81" t="s">
        <v>653</v>
      </c>
      <c r="P313">
        <v>1</v>
      </c>
      <c r="Q313" s="80" t="str">
        <f>REPLACE(INDEX(GroupVertices[Group],MATCH(Edges[[#This Row],[Vertex 1]],GroupVertices[Vertex],0)),1,1,"")</f>
        <v>5</v>
      </c>
      <c r="R313" s="80" t="str">
        <f>REPLACE(INDEX(GroupVertices[Group],MATCH(Edges[[#This Row],[Vertex 2]],GroupVertices[Vertex],0)),1,1,"")</f>
        <v>5</v>
      </c>
      <c r="S313" s="34"/>
      <c r="T313" s="34"/>
      <c r="U313" s="34"/>
      <c r="V313" s="34"/>
      <c r="W313" s="34"/>
      <c r="X313" s="34"/>
      <c r="Y313" s="34"/>
      <c r="Z313" s="34"/>
      <c r="AA313" s="34"/>
    </row>
    <row r="314" spans="1:27" ht="15">
      <c r="A314" s="66" t="s">
        <v>328</v>
      </c>
      <c r="B314" s="66" t="s">
        <v>586</v>
      </c>
      <c r="C314" s="67" t="s">
        <v>3495</v>
      </c>
      <c r="D314" s="68">
        <v>3</v>
      </c>
      <c r="E314" s="69"/>
      <c r="F314" s="70">
        <v>50</v>
      </c>
      <c r="G314" s="67"/>
      <c r="H314" s="71"/>
      <c r="I314" s="72"/>
      <c r="J314" s="72"/>
      <c r="K314" s="34" t="s">
        <v>65</v>
      </c>
      <c r="L314" s="79">
        <v>314</v>
      </c>
      <c r="M314" s="79"/>
      <c r="N314" s="74"/>
      <c r="O314" s="81" t="s">
        <v>653</v>
      </c>
      <c r="P314">
        <v>1</v>
      </c>
      <c r="Q314" s="80" t="str">
        <f>REPLACE(INDEX(GroupVertices[Group],MATCH(Edges[[#This Row],[Vertex 1]],GroupVertices[Vertex],0)),1,1,"")</f>
        <v>5</v>
      </c>
      <c r="R314" s="80" t="str">
        <f>REPLACE(INDEX(GroupVertices[Group],MATCH(Edges[[#This Row],[Vertex 2]],GroupVertices[Vertex],0)),1,1,"")</f>
        <v>5</v>
      </c>
      <c r="S314" s="34"/>
      <c r="T314" s="34"/>
      <c r="U314" s="34"/>
      <c r="V314" s="34"/>
      <c r="W314" s="34"/>
      <c r="X314" s="34"/>
      <c r="Y314" s="34"/>
      <c r="Z314" s="34"/>
      <c r="AA314" s="34"/>
    </row>
    <row r="315" spans="1:27" ht="15">
      <c r="A315" s="66" t="s">
        <v>325</v>
      </c>
      <c r="B315" s="66" t="s">
        <v>535</v>
      </c>
      <c r="C315" s="67" t="s">
        <v>3495</v>
      </c>
      <c r="D315" s="68">
        <v>3</v>
      </c>
      <c r="E315" s="69"/>
      <c r="F315" s="70">
        <v>50</v>
      </c>
      <c r="G315" s="67"/>
      <c r="H315" s="71"/>
      <c r="I315" s="72"/>
      <c r="J315" s="72"/>
      <c r="K315" s="34" t="s">
        <v>65</v>
      </c>
      <c r="L315" s="79">
        <v>315</v>
      </c>
      <c r="M315" s="79"/>
      <c r="N315" s="74"/>
      <c r="O315" s="81" t="s">
        <v>653</v>
      </c>
      <c r="P315">
        <v>1</v>
      </c>
      <c r="Q315" s="80" t="str">
        <f>REPLACE(INDEX(GroupVertices[Group],MATCH(Edges[[#This Row],[Vertex 1]],GroupVertices[Vertex],0)),1,1,"")</f>
        <v>1</v>
      </c>
      <c r="R315" s="80" t="str">
        <f>REPLACE(INDEX(GroupVertices[Group],MATCH(Edges[[#This Row],[Vertex 2]],GroupVertices[Vertex],0)),1,1,"")</f>
        <v>1</v>
      </c>
      <c r="S315" s="34"/>
      <c r="T315" s="34"/>
      <c r="U315" s="34"/>
      <c r="V315" s="34"/>
      <c r="W315" s="34"/>
      <c r="X315" s="34"/>
      <c r="Y315" s="34"/>
      <c r="Z315" s="34"/>
      <c r="AA315" s="34"/>
    </row>
    <row r="316" spans="1:27" ht="15">
      <c r="A316" s="66" t="s">
        <v>329</v>
      </c>
      <c r="B316" s="66" t="s">
        <v>535</v>
      </c>
      <c r="C316" s="67" t="s">
        <v>3495</v>
      </c>
      <c r="D316" s="68">
        <v>3</v>
      </c>
      <c r="E316" s="69"/>
      <c r="F316" s="70">
        <v>50</v>
      </c>
      <c r="G316" s="67"/>
      <c r="H316" s="71"/>
      <c r="I316" s="72"/>
      <c r="J316" s="72"/>
      <c r="K316" s="34" t="s">
        <v>65</v>
      </c>
      <c r="L316" s="79">
        <v>316</v>
      </c>
      <c r="M316" s="79"/>
      <c r="N316" s="74"/>
      <c r="O316" s="81" t="s">
        <v>653</v>
      </c>
      <c r="P316">
        <v>1</v>
      </c>
      <c r="Q316" s="80" t="str">
        <f>REPLACE(INDEX(GroupVertices[Group],MATCH(Edges[[#This Row],[Vertex 1]],GroupVertices[Vertex],0)),1,1,"")</f>
        <v>1</v>
      </c>
      <c r="R316" s="80" t="str">
        <f>REPLACE(INDEX(GroupVertices[Group],MATCH(Edges[[#This Row],[Vertex 2]],GroupVertices[Vertex],0)),1,1,"")</f>
        <v>1</v>
      </c>
      <c r="S316" s="34"/>
      <c r="T316" s="34"/>
      <c r="U316" s="34"/>
      <c r="V316" s="34"/>
      <c r="W316" s="34"/>
      <c r="X316" s="34"/>
      <c r="Y316" s="34"/>
      <c r="Z316" s="34"/>
      <c r="AA316" s="34"/>
    </row>
    <row r="317" spans="1:27" ht="15">
      <c r="A317" s="66" t="s">
        <v>329</v>
      </c>
      <c r="B317" s="66" t="s">
        <v>587</v>
      </c>
      <c r="C317" s="67" t="s">
        <v>3495</v>
      </c>
      <c r="D317" s="68">
        <v>3</v>
      </c>
      <c r="E317" s="69"/>
      <c r="F317" s="70">
        <v>50</v>
      </c>
      <c r="G317" s="67"/>
      <c r="H317" s="71"/>
      <c r="I317" s="72"/>
      <c r="J317" s="72"/>
      <c r="K317" s="34" t="s">
        <v>65</v>
      </c>
      <c r="L317" s="79">
        <v>317</v>
      </c>
      <c r="M317" s="79"/>
      <c r="N317" s="74"/>
      <c r="O317" s="81" t="s">
        <v>653</v>
      </c>
      <c r="P317">
        <v>1</v>
      </c>
      <c r="Q317" s="80" t="str">
        <f>REPLACE(INDEX(GroupVertices[Group],MATCH(Edges[[#This Row],[Vertex 1]],GroupVertices[Vertex],0)),1,1,"")</f>
        <v>1</v>
      </c>
      <c r="R317" s="80" t="str">
        <f>REPLACE(INDEX(GroupVertices[Group],MATCH(Edges[[#This Row],[Vertex 2]],GroupVertices[Vertex],0)),1,1,"")</f>
        <v>1</v>
      </c>
      <c r="S317" s="34"/>
      <c r="T317" s="34"/>
      <c r="U317" s="34"/>
      <c r="V317" s="34"/>
      <c r="W317" s="34"/>
      <c r="X317" s="34"/>
      <c r="Y317" s="34"/>
      <c r="Z317" s="34"/>
      <c r="AA317" s="34"/>
    </row>
    <row r="318" spans="1:27" ht="15">
      <c r="A318" s="66" t="s">
        <v>329</v>
      </c>
      <c r="B318" s="66" t="s">
        <v>588</v>
      </c>
      <c r="C318" s="67" t="s">
        <v>3495</v>
      </c>
      <c r="D318" s="68">
        <v>3</v>
      </c>
      <c r="E318" s="69"/>
      <c r="F318" s="70">
        <v>50</v>
      </c>
      <c r="G318" s="67"/>
      <c r="H318" s="71"/>
      <c r="I318" s="72"/>
      <c r="J318" s="72"/>
      <c r="K318" s="34" t="s">
        <v>65</v>
      </c>
      <c r="L318" s="79">
        <v>318</v>
      </c>
      <c r="M318" s="79"/>
      <c r="N318" s="74"/>
      <c r="O318" s="81" t="s">
        <v>653</v>
      </c>
      <c r="P318">
        <v>1</v>
      </c>
      <c r="Q318" s="80" t="str">
        <f>REPLACE(INDEX(GroupVertices[Group],MATCH(Edges[[#This Row],[Vertex 1]],GroupVertices[Vertex],0)),1,1,"")</f>
        <v>1</v>
      </c>
      <c r="R318" s="80" t="str">
        <f>REPLACE(INDEX(GroupVertices[Group],MATCH(Edges[[#This Row],[Vertex 2]],GroupVertices[Vertex],0)),1,1,"")</f>
        <v>1</v>
      </c>
      <c r="S318" s="34"/>
      <c r="T318" s="34"/>
      <c r="U318" s="34"/>
      <c r="V318" s="34"/>
      <c r="W318" s="34"/>
      <c r="X318" s="34"/>
      <c r="Y318" s="34"/>
      <c r="Z318" s="34"/>
      <c r="AA318" s="34"/>
    </row>
    <row r="319" spans="1:27" ht="15">
      <c r="A319" s="66" t="s">
        <v>325</v>
      </c>
      <c r="B319" s="66" t="s">
        <v>589</v>
      </c>
      <c r="C319" s="67" t="s">
        <v>3495</v>
      </c>
      <c r="D319" s="68">
        <v>3</v>
      </c>
      <c r="E319" s="69"/>
      <c r="F319" s="70">
        <v>50</v>
      </c>
      <c r="G319" s="67"/>
      <c r="H319" s="71"/>
      <c r="I319" s="72"/>
      <c r="J319" s="72"/>
      <c r="K319" s="34" t="s">
        <v>65</v>
      </c>
      <c r="L319" s="79">
        <v>319</v>
      </c>
      <c r="M319" s="79"/>
      <c r="N319" s="74"/>
      <c r="O319" s="81" t="s">
        <v>653</v>
      </c>
      <c r="P319">
        <v>1</v>
      </c>
      <c r="Q319" s="80" t="str">
        <f>REPLACE(INDEX(GroupVertices[Group],MATCH(Edges[[#This Row],[Vertex 1]],GroupVertices[Vertex],0)),1,1,"")</f>
        <v>1</v>
      </c>
      <c r="R319" s="80" t="str">
        <f>REPLACE(INDEX(GroupVertices[Group],MATCH(Edges[[#This Row],[Vertex 2]],GroupVertices[Vertex],0)),1,1,"")</f>
        <v>1</v>
      </c>
      <c r="S319" s="34"/>
      <c r="T319" s="34"/>
      <c r="U319" s="34"/>
      <c r="V319" s="34"/>
      <c r="W319" s="34"/>
      <c r="X319" s="34"/>
      <c r="Y319" s="34"/>
      <c r="Z319" s="34"/>
      <c r="AA319" s="34"/>
    </row>
    <row r="320" spans="1:27" ht="15">
      <c r="A320" s="66" t="s">
        <v>329</v>
      </c>
      <c r="B320" s="66" t="s">
        <v>589</v>
      </c>
      <c r="C320" s="67" t="s">
        <v>3495</v>
      </c>
      <c r="D320" s="68">
        <v>3</v>
      </c>
      <c r="E320" s="69"/>
      <c r="F320" s="70">
        <v>50</v>
      </c>
      <c r="G320" s="67"/>
      <c r="H320" s="71"/>
      <c r="I320" s="72"/>
      <c r="J320" s="72"/>
      <c r="K320" s="34" t="s">
        <v>65</v>
      </c>
      <c r="L320" s="79">
        <v>320</v>
      </c>
      <c r="M320" s="79"/>
      <c r="N320" s="74"/>
      <c r="O320" s="81" t="s">
        <v>653</v>
      </c>
      <c r="P320">
        <v>1</v>
      </c>
      <c r="Q320" s="80" t="str">
        <f>REPLACE(INDEX(GroupVertices[Group],MATCH(Edges[[#This Row],[Vertex 1]],GroupVertices[Vertex],0)),1,1,"")</f>
        <v>1</v>
      </c>
      <c r="R320" s="80" t="str">
        <f>REPLACE(INDEX(GroupVertices[Group],MATCH(Edges[[#This Row],[Vertex 2]],GroupVertices[Vertex],0)),1,1,"")</f>
        <v>1</v>
      </c>
      <c r="S320" s="34"/>
      <c r="T320" s="34"/>
      <c r="U320" s="34"/>
      <c r="V320" s="34"/>
      <c r="W320" s="34"/>
      <c r="X320" s="34"/>
      <c r="Y320" s="34"/>
      <c r="Z320" s="34"/>
      <c r="AA320" s="34"/>
    </row>
    <row r="321" spans="1:27" ht="15">
      <c r="A321" s="66" t="s">
        <v>329</v>
      </c>
      <c r="B321" s="66" t="s">
        <v>528</v>
      </c>
      <c r="C321" s="67" t="s">
        <v>3495</v>
      </c>
      <c r="D321" s="68">
        <v>3</v>
      </c>
      <c r="E321" s="69"/>
      <c r="F321" s="70">
        <v>50</v>
      </c>
      <c r="G321" s="67"/>
      <c r="H321" s="71"/>
      <c r="I321" s="72"/>
      <c r="J321" s="72"/>
      <c r="K321" s="34" t="s">
        <v>65</v>
      </c>
      <c r="L321" s="79">
        <v>321</v>
      </c>
      <c r="M321" s="79"/>
      <c r="N321" s="74"/>
      <c r="O321" s="81" t="s">
        <v>653</v>
      </c>
      <c r="P321">
        <v>1</v>
      </c>
      <c r="Q321" s="80" t="str">
        <f>REPLACE(INDEX(GroupVertices[Group],MATCH(Edges[[#This Row],[Vertex 1]],GroupVertices[Vertex],0)),1,1,"")</f>
        <v>1</v>
      </c>
      <c r="R321" s="80" t="str">
        <f>REPLACE(INDEX(GroupVertices[Group],MATCH(Edges[[#This Row],[Vertex 2]],GroupVertices[Vertex],0)),1,1,"")</f>
        <v>8</v>
      </c>
      <c r="S321" s="34"/>
      <c r="T321" s="34"/>
      <c r="U321" s="34"/>
      <c r="V321" s="34"/>
      <c r="W321" s="34"/>
      <c r="X321" s="34"/>
      <c r="Y321" s="34"/>
      <c r="Z321" s="34"/>
      <c r="AA321" s="34"/>
    </row>
    <row r="322" spans="1:27" ht="15">
      <c r="A322" s="66" t="s">
        <v>329</v>
      </c>
      <c r="B322" s="66" t="s">
        <v>530</v>
      </c>
      <c r="C322" s="67" t="s">
        <v>3495</v>
      </c>
      <c r="D322" s="68">
        <v>3</v>
      </c>
      <c r="E322" s="69"/>
      <c r="F322" s="70">
        <v>50</v>
      </c>
      <c r="G322" s="67"/>
      <c r="H322" s="71"/>
      <c r="I322" s="72"/>
      <c r="J322" s="72"/>
      <c r="K322" s="34" t="s">
        <v>65</v>
      </c>
      <c r="L322" s="79">
        <v>322</v>
      </c>
      <c r="M322" s="79"/>
      <c r="N322" s="74"/>
      <c r="O322" s="81" t="s">
        <v>653</v>
      </c>
      <c r="P322">
        <v>1</v>
      </c>
      <c r="Q322" s="80" t="str">
        <f>REPLACE(INDEX(GroupVertices[Group],MATCH(Edges[[#This Row],[Vertex 1]],GroupVertices[Vertex],0)),1,1,"")</f>
        <v>1</v>
      </c>
      <c r="R322" s="80" t="str">
        <f>REPLACE(INDEX(GroupVertices[Group],MATCH(Edges[[#This Row],[Vertex 2]],GroupVertices[Vertex],0)),1,1,"")</f>
        <v>8</v>
      </c>
      <c r="S322" s="34"/>
      <c r="T322" s="34"/>
      <c r="U322" s="34"/>
      <c r="V322" s="34"/>
      <c r="W322" s="34"/>
      <c r="X322" s="34"/>
      <c r="Y322" s="34"/>
      <c r="Z322" s="34"/>
      <c r="AA322" s="34"/>
    </row>
    <row r="323" spans="1:27" ht="15">
      <c r="A323" s="66" t="s">
        <v>329</v>
      </c>
      <c r="B323" s="66" t="s">
        <v>590</v>
      </c>
      <c r="C323" s="67" t="s">
        <v>3495</v>
      </c>
      <c r="D323" s="68">
        <v>3</v>
      </c>
      <c r="E323" s="69"/>
      <c r="F323" s="70">
        <v>50</v>
      </c>
      <c r="G323" s="67"/>
      <c r="H323" s="71"/>
      <c r="I323" s="72"/>
      <c r="J323" s="72"/>
      <c r="K323" s="34" t="s">
        <v>65</v>
      </c>
      <c r="L323" s="79">
        <v>323</v>
      </c>
      <c r="M323" s="79"/>
      <c r="N323" s="74"/>
      <c r="O323" s="81" t="s">
        <v>653</v>
      </c>
      <c r="P323">
        <v>1</v>
      </c>
      <c r="Q323" s="80" t="str">
        <f>REPLACE(INDEX(GroupVertices[Group],MATCH(Edges[[#This Row],[Vertex 1]],GroupVertices[Vertex],0)),1,1,"")</f>
        <v>1</v>
      </c>
      <c r="R323" s="80" t="str">
        <f>REPLACE(INDEX(GroupVertices[Group],MATCH(Edges[[#This Row],[Vertex 2]],GroupVertices[Vertex],0)),1,1,"")</f>
        <v>1</v>
      </c>
      <c r="S323" s="34"/>
      <c r="T323" s="34"/>
      <c r="U323" s="34"/>
      <c r="V323" s="34"/>
      <c r="W323" s="34"/>
      <c r="X323" s="34"/>
      <c r="Y323" s="34"/>
      <c r="Z323" s="34"/>
      <c r="AA323" s="34"/>
    </row>
    <row r="324" spans="1:27" ht="15">
      <c r="A324" s="66" t="s">
        <v>329</v>
      </c>
      <c r="B324" s="66" t="s">
        <v>591</v>
      </c>
      <c r="C324" s="67" t="s">
        <v>3495</v>
      </c>
      <c r="D324" s="68">
        <v>3</v>
      </c>
      <c r="E324" s="69"/>
      <c r="F324" s="70">
        <v>50</v>
      </c>
      <c r="G324" s="67"/>
      <c r="H324" s="71"/>
      <c r="I324" s="72"/>
      <c r="J324" s="72"/>
      <c r="K324" s="34" t="s">
        <v>65</v>
      </c>
      <c r="L324" s="79">
        <v>324</v>
      </c>
      <c r="M324" s="79"/>
      <c r="N324" s="74"/>
      <c r="O324" s="81" t="s">
        <v>653</v>
      </c>
      <c r="P324">
        <v>1</v>
      </c>
      <c r="Q324" s="80" t="str">
        <f>REPLACE(INDEX(GroupVertices[Group],MATCH(Edges[[#This Row],[Vertex 1]],GroupVertices[Vertex],0)),1,1,"")</f>
        <v>1</v>
      </c>
      <c r="R324" s="80" t="str">
        <f>REPLACE(INDEX(GroupVertices[Group],MATCH(Edges[[#This Row],[Vertex 2]],GroupVertices[Vertex],0)),1,1,"")</f>
        <v>1</v>
      </c>
      <c r="S324" s="34"/>
      <c r="T324" s="34"/>
      <c r="U324" s="34"/>
      <c r="V324" s="34"/>
      <c r="W324" s="34"/>
      <c r="X324" s="34"/>
      <c r="Y324" s="34"/>
      <c r="Z324" s="34"/>
      <c r="AA324" s="34"/>
    </row>
    <row r="325" spans="1:27" ht="15">
      <c r="A325" s="66" t="s">
        <v>329</v>
      </c>
      <c r="B325" s="66" t="s">
        <v>592</v>
      </c>
      <c r="C325" s="67" t="s">
        <v>3495</v>
      </c>
      <c r="D325" s="68">
        <v>3</v>
      </c>
      <c r="E325" s="69"/>
      <c r="F325" s="70">
        <v>50</v>
      </c>
      <c r="G325" s="67"/>
      <c r="H325" s="71"/>
      <c r="I325" s="72"/>
      <c r="J325" s="72"/>
      <c r="K325" s="34" t="s">
        <v>65</v>
      </c>
      <c r="L325" s="79">
        <v>325</v>
      </c>
      <c r="M325" s="79"/>
      <c r="N325" s="74"/>
      <c r="O325" s="81" t="s">
        <v>653</v>
      </c>
      <c r="P325">
        <v>1</v>
      </c>
      <c r="Q325" s="80" t="str">
        <f>REPLACE(INDEX(GroupVertices[Group],MATCH(Edges[[#This Row],[Vertex 1]],GroupVertices[Vertex],0)),1,1,"")</f>
        <v>1</v>
      </c>
      <c r="R325" s="80" t="str">
        <f>REPLACE(INDEX(GroupVertices[Group],MATCH(Edges[[#This Row],[Vertex 2]],GroupVertices[Vertex],0)),1,1,"")</f>
        <v>1</v>
      </c>
      <c r="S325" s="34"/>
      <c r="T325" s="34"/>
      <c r="U325" s="34"/>
      <c r="V325" s="34"/>
      <c r="W325" s="34"/>
      <c r="X325" s="34"/>
      <c r="Y325" s="34"/>
      <c r="Z325" s="34"/>
      <c r="AA325" s="34"/>
    </row>
    <row r="326" spans="1:27" ht="15">
      <c r="A326" s="66" t="s">
        <v>329</v>
      </c>
      <c r="B326" s="66" t="s">
        <v>593</v>
      </c>
      <c r="C326" s="67" t="s">
        <v>3495</v>
      </c>
      <c r="D326" s="68">
        <v>3</v>
      </c>
      <c r="E326" s="69"/>
      <c r="F326" s="70">
        <v>50</v>
      </c>
      <c r="G326" s="67"/>
      <c r="H326" s="71"/>
      <c r="I326" s="72"/>
      <c r="J326" s="72"/>
      <c r="K326" s="34" t="s">
        <v>65</v>
      </c>
      <c r="L326" s="79">
        <v>326</v>
      </c>
      <c r="M326" s="79"/>
      <c r="N326" s="74"/>
      <c r="O326" s="81" t="s">
        <v>653</v>
      </c>
      <c r="P326">
        <v>1</v>
      </c>
      <c r="Q326" s="80" t="str">
        <f>REPLACE(INDEX(GroupVertices[Group],MATCH(Edges[[#This Row],[Vertex 1]],GroupVertices[Vertex],0)),1,1,"")</f>
        <v>1</v>
      </c>
      <c r="R326" s="80" t="str">
        <f>REPLACE(INDEX(GroupVertices[Group],MATCH(Edges[[#This Row],[Vertex 2]],GroupVertices[Vertex],0)),1,1,"")</f>
        <v>1</v>
      </c>
      <c r="S326" s="34"/>
      <c r="T326" s="34"/>
      <c r="U326" s="34"/>
      <c r="V326" s="34"/>
      <c r="W326" s="34"/>
      <c r="X326" s="34"/>
      <c r="Y326" s="34"/>
      <c r="Z326" s="34"/>
      <c r="AA326" s="34"/>
    </row>
    <row r="327" spans="1:27" ht="15">
      <c r="A327" s="66" t="s">
        <v>329</v>
      </c>
      <c r="B327" s="66" t="s">
        <v>594</v>
      </c>
      <c r="C327" s="67" t="s">
        <v>3495</v>
      </c>
      <c r="D327" s="68">
        <v>3</v>
      </c>
      <c r="E327" s="69"/>
      <c r="F327" s="70">
        <v>50</v>
      </c>
      <c r="G327" s="67"/>
      <c r="H327" s="71"/>
      <c r="I327" s="72"/>
      <c r="J327" s="72"/>
      <c r="K327" s="34" t="s">
        <v>65</v>
      </c>
      <c r="L327" s="79">
        <v>327</v>
      </c>
      <c r="M327" s="79"/>
      <c r="N327" s="74"/>
      <c r="O327" s="81" t="s">
        <v>653</v>
      </c>
      <c r="P327">
        <v>1</v>
      </c>
      <c r="Q327" s="80" t="str">
        <f>REPLACE(INDEX(GroupVertices[Group],MATCH(Edges[[#This Row],[Vertex 1]],GroupVertices[Vertex],0)),1,1,"")</f>
        <v>1</v>
      </c>
      <c r="R327" s="80" t="str">
        <f>REPLACE(INDEX(GroupVertices[Group],MATCH(Edges[[#This Row],[Vertex 2]],GroupVertices[Vertex],0)),1,1,"")</f>
        <v>1</v>
      </c>
      <c r="S327" s="34"/>
      <c r="T327" s="34"/>
      <c r="U327" s="34"/>
      <c r="V327" s="34"/>
      <c r="W327" s="34"/>
      <c r="X327" s="34"/>
      <c r="Y327" s="34"/>
      <c r="Z327" s="34"/>
      <c r="AA327" s="34"/>
    </row>
    <row r="328" spans="1:27" ht="15">
      <c r="A328" s="66" t="s">
        <v>325</v>
      </c>
      <c r="B328" s="66" t="s">
        <v>595</v>
      </c>
      <c r="C328" s="67" t="s">
        <v>3495</v>
      </c>
      <c r="D328" s="68">
        <v>3</v>
      </c>
      <c r="E328" s="69"/>
      <c r="F328" s="70">
        <v>50</v>
      </c>
      <c r="G328" s="67"/>
      <c r="H328" s="71"/>
      <c r="I328" s="72"/>
      <c r="J328" s="72"/>
      <c r="K328" s="34" t="s">
        <v>65</v>
      </c>
      <c r="L328" s="79">
        <v>328</v>
      </c>
      <c r="M328" s="79"/>
      <c r="N328" s="74"/>
      <c r="O328" s="81" t="s">
        <v>653</v>
      </c>
      <c r="P328">
        <v>1</v>
      </c>
      <c r="Q328" s="80" t="str">
        <f>REPLACE(INDEX(GroupVertices[Group],MATCH(Edges[[#This Row],[Vertex 1]],GroupVertices[Vertex],0)),1,1,"")</f>
        <v>1</v>
      </c>
      <c r="R328" s="80" t="str">
        <f>REPLACE(INDEX(GroupVertices[Group],MATCH(Edges[[#This Row],[Vertex 2]],GroupVertices[Vertex],0)),1,1,"")</f>
        <v>1</v>
      </c>
      <c r="S328" s="34"/>
      <c r="T328" s="34"/>
      <c r="U328" s="34"/>
      <c r="V328" s="34"/>
      <c r="W328" s="34"/>
      <c r="X328" s="34"/>
      <c r="Y328" s="34"/>
      <c r="Z328" s="34"/>
      <c r="AA328" s="34"/>
    </row>
    <row r="329" spans="1:27" ht="15">
      <c r="A329" s="66" t="s">
        <v>329</v>
      </c>
      <c r="B329" s="66" t="s">
        <v>595</v>
      </c>
      <c r="C329" s="67" t="s">
        <v>3495</v>
      </c>
      <c r="D329" s="68">
        <v>3</v>
      </c>
      <c r="E329" s="69"/>
      <c r="F329" s="70">
        <v>50</v>
      </c>
      <c r="G329" s="67"/>
      <c r="H329" s="71"/>
      <c r="I329" s="72"/>
      <c r="J329" s="72"/>
      <c r="K329" s="34" t="s">
        <v>65</v>
      </c>
      <c r="L329" s="79">
        <v>329</v>
      </c>
      <c r="M329" s="79"/>
      <c r="N329" s="74"/>
      <c r="O329" s="81" t="s">
        <v>653</v>
      </c>
      <c r="P329">
        <v>1</v>
      </c>
      <c r="Q329" s="80" t="str">
        <f>REPLACE(INDEX(GroupVertices[Group],MATCH(Edges[[#This Row],[Vertex 1]],GroupVertices[Vertex],0)),1,1,"")</f>
        <v>1</v>
      </c>
      <c r="R329" s="80" t="str">
        <f>REPLACE(INDEX(GroupVertices[Group],MATCH(Edges[[#This Row],[Vertex 2]],GroupVertices[Vertex],0)),1,1,"")</f>
        <v>1</v>
      </c>
      <c r="S329" s="34"/>
      <c r="T329" s="34"/>
      <c r="U329" s="34"/>
      <c r="V329" s="34"/>
      <c r="W329" s="34"/>
      <c r="X329" s="34"/>
      <c r="Y329" s="34"/>
      <c r="Z329" s="34"/>
      <c r="AA329" s="34"/>
    </row>
    <row r="330" spans="1:27" ht="15">
      <c r="A330" s="66" t="s">
        <v>325</v>
      </c>
      <c r="B330" s="66" t="s">
        <v>596</v>
      </c>
      <c r="C330" s="67" t="s">
        <v>3495</v>
      </c>
      <c r="D330" s="68">
        <v>3</v>
      </c>
      <c r="E330" s="69"/>
      <c r="F330" s="70">
        <v>50</v>
      </c>
      <c r="G330" s="67"/>
      <c r="H330" s="71"/>
      <c r="I330" s="72"/>
      <c r="J330" s="72"/>
      <c r="K330" s="34" t="s">
        <v>65</v>
      </c>
      <c r="L330" s="79">
        <v>330</v>
      </c>
      <c r="M330" s="79"/>
      <c r="N330" s="74"/>
      <c r="O330" s="81" t="s">
        <v>653</v>
      </c>
      <c r="P330">
        <v>1</v>
      </c>
      <c r="Q330" s="80" t="str">
        <f>REPLACE(INDEX(GroupVertices[Group],MATCH(Edges[[#This Row],[Vertex 1]],GroupVertices[Vertex],0)),1,1,"")</f>
        <v>1</v>
      </c>
      <c r="R330" s="80" t="str">
        <f>REPLACE(INDEX(GroupVertices[Group],MATCH(Edges[[#This Row],[Vertex 2]],GroupVertices[Vertex],0)),1,1,"")</f>
        <v>1</v>
      </c>
      <c r="S330" s="34"/>
      <c r="T330" s="34"/>
      <c r="U330" s="34"/>
      <c r="V330" s="34"/>
      <c r="W330" s="34"/>
      <c r="X330" s="34"/>
      <c r="Y330" s="34"/>
      <c r="Z330" s="34"/>
      <c r="AA330" s="34"/>
    </row>
    <row r="331" spans="1:27" ht="15">
      <c r="A331" s="66" t="s">
        <v>329</v>
      </c>
      <c r="B331" s="66" t="s">
        <v>596</v>
      </c>
      <c r="C331" s="67" t="s">
        <v>3495</v>
      </c>
      <c r="D331" s="68">
        <v>3</v>
      </c>
      <c r="E331" s="69"/>
      <c r="F331" s="70">
        <v>50</v>
      </c>
      <c r="G331" s="67"/>
      <c r="H331" s="71"/>
      <c r="I331" s="72"/>
      <c r="J331" s="72"/>
      <c r="K331" s="34" t="s">
        <v>65</v>
      </c>
      <c r="L331" s="79">
        <v>331</v>
      </c>
      <c r="M331" s="79"/>
      <c r="N331" s="74"/>
      <c r="O331" s="81" t="s">
        <v>653</v>
      </c>
      <c r="P331">
        <v>1</v>
      </c>
      <c r="Q331" s="80" t="str">
        <f>REPLACE(INDEX(GroupVertices[Group],MATCH(Edges[[#This Row],[Vertex 1]],GroupVertices[Vertex],0)),1,1,"")</f>
        <v>1</v>
      </c>
      <c r="R331" s="80" t="str">
        <f>REPLACE(INDEX(GroupVertices[Group],MATCH(Edges[[#This Row],[Vertex 2]],GroupVertices[Vertex],0)),1,1,"")</f>
        <v>1</v>
      </c>
      <c r="S331" s="34"/>
      <c r="T331" s="34"/>
      <c r="U331" s="34"/>
      <c r="V331" s="34"/>
      <c r="W331" s="34"/>
      <c r="X331" s="34"/>
      <c r="Y331" s="34"/>
      <c r="Z331" s="34"/>
      <c r="AA331" s="34"/>
    </row>
    <row r="332" spans="1:27" ht="15">
      <c r="A332" s="66" t="s">
        <v>325</v>
      </c>
      <c r="B332" s="66" t="s">
        <v>526</v>
      </c>
      <c r="C332" s="67" t="s">
        <v>3495</v>
      </c>
      <c r="D332" s="68">
        <v>3</v>
      </c>
      <c r="E332" s="69"/>
      <c r="F332" s="70">
        <v>50</v>
      </c>
      <c r="G332" s="67"/>
      <c r="H332" s="71"/>
      <c r="I332" s="72"/>
      <c r="J332" s="72"/>
      <c r="K332" s="34" t="s">
        <v>65</v>
      </c>
      <c r="L332" s="79">
        <v>332</v>
      </c>
      <c r="M332" s="79"/>
      <c r="N332" s="74"/>
      <c r="O332" s="81" t="s">
        <v>653</v>
      </c>
      <c r="P332">
        <v>1</v>
      </c>
      <c r="Q332" s="80" t="str">
        <f>REPLACE(INDEX(GroupVertices[Group],MATCH(Edges[[#This Row],[Vertex 1]],GroupVertices[Vertex],0)),1,1,"")</f>
        <v>1</v>
      </c>
      <c r="R332" s="80" t="str">
        <f>REPLACE(INDEX(GroupVertices[Group],MATCH(Edges[[#This Row],[Vertex 2]],GroupVertices[Vertex],0)),1,1,"")</f>
        <v>1</v>
      </c>
      <c r="S332" s="34"/>
      <c r="T332" s="34"/>
      <c r="U332" s="34"/>
      <c r="V332" s="34"/>
      <c r="W332" s="34"/>
      <c r="X332" s="34"/>
      <c r="Y332" s="34"/>
      <c r="Z332" s="34"/>
      <c r="AA332" s="34"/>
    </row>
    <row r="333" spans="1:27" ht="15">
      <c r="A333" s="66" t="s">
        <v>329</v>
      </c>
      <c r="B333" s="66" t="s">
        <v>526</v>
      </c>
      <c r="C333" s="67" t="s">
        <v>3495</v>
      </c>
      <c r="D333" s="68">
        <v>3</v>
      </c>
      <c r="E333" s="69"/>
      <c r="F333" s="70">
        <v>50</v>
      </c>
      <c r="G333" s="67"/>
      <c r="H333" s="71"/>
      <c r="I333" s="72"/>
      <c r="J333" s="72"/>
      <c r="K333" s="34" t="s">
        <v>65</v>
      </c>
      <c r="L333" s="79">
        <v>333</v>
      </c>
      <c r="M333" s="79"/>
      <c r="N333" s="74"/>
      <c r="O333" s="81" t="s">
        <v>653</v>
      </c>
      <c r="P333">
        <v>1</v>
      </c>
      <c r="Q333" s="80" t="str">
        <f>REPLACE(INDEX(GroupVertices[Group],MATCH(Edges[[#This Row],[Vertex 1]],GroupVertices[Vertex],0)),1,1,"")</f>
        <v>1</v>
      </c>
      <c r="R333" s="80" t="str">
        <f>REPLACE(INDEX(GroupVertices[Group],MATCH(Edges[[#This Row],[Vertex 2]],GroupVertices[Vertex],0)),1,1,"")</f>
        <v>1</v>
      </c>
      <c r="S333" s="34"/>
      <c r="T333" s="34"/>
      <c r="U333" s="34"/>
      <c r="V333" s="34"/>
      <c r="W333" s="34"/>
      <c r="X333" s="34"/>
      <c r="Y333" s="34"/>
      <c r="Z333" s="34"/>
      <c r="AA333" s="34"/>
    </row>
    <row r="334" spans="1:27" ht="15">
      <c r="A334" s="66" t="s">
        <v>329</v>
      </c>
      <c r="B334" s="66" t="s">
        <v>597</v>
      </c>
      <c r="C334" s="67" t="s">
        <v>3495</v>
      </c>
      <c r="D334" s="68">
        <v>3</v>
      </c>
      <c r="E334" s="69"/>
      <c r="F334" s="70">
        <v>50</v>
      </c>
      <c r="G334" s="67"/>
      <c r="H334" s="71"/>
      <c r="I334" s="72"/>
      <c r="J334" s="72"/>
      <c r="K334" s="34" t="s">
        <v>65</v>
      </c>
      <c r="L334" s="79">
        <v>334</v>
      </c>
      <c r="M334" s="79"/>
      <c r="N334" s="74"/>
      <c r="O334" s="81" t="s">
        <v>653</v>
      </c>
      <c r="P334">
        <v>1</v>
      </c>
      <c r="Q334" s="80" t="str">
        <f>REPLACE(INDEX(GroupVertices[Group],MATCH(Edges[[#This Row],[Vertex 1]],GroupVertices[Vertex],0)),1,1,"")</f>
        <v>1</v>
      </c>
      <c r="R334" s="80" t="str">
        <f>REPLACE(INDEX(GroupVertices[Group],MATCH(Edges[[#This Row],[Vertex 2]],GroupVertices[Vertex],0)),1,1,"")</f>
        <v>1</v>
      </c>
      <c r="S334" s="34"/>
      <c r="T334" s="34"/>
      <c r="U334" s="34"/>
      <c r="V334" s="34"/>
      <c r="W334" s="34"/>
      <c r="X334" s="34"/>
      <c r="Y334" s="34"/>
      <c r="Z334" s="34"/>
      <c r="AA334" s="34"/>
    </row>
    <row r="335" spans="1:27" ht="15">
      <c r="A335" s="66" t="s">
        <v>325</v>
      </c>
      <c r="B335" s="66" t="s">
        <v>529</v>
      </c>
      <c r="C335" s="67" t="s">
        <v>3495</v>
      </c>
      <c r="D335" s="68">
        <v>3</v>
      </c>
      <c r="E335" s="69"/>
      <c r="F335" s="70">
        <v>50</v>
      </c>
      <c r="G335" s="67"/>
      <c r="H335" s="71"/>
      <c r="I335" s="72"/>
      <c r="J335" s="72"/>
      <c r="K335" s="34" t="s">
        <v>65</v>
      </c>
      <c r="L335" s="79">
        <v>335</v>
      </c>
      <c r="M335" s="79"/>
      <c r="N335" s="74"/>
      <c r="O335" s="81" t="s">
        <v>653</v>
      </c>
      <c r="P335">
        <v>1</v>
      </c>
      <c r="Q335" s="80" t="str">
        <f>REPLACE(INDEX(GroupVertices[Group],MATCH(Edges[[#This Row],[Vertex 1]],GroupVertices[Vertex],0)),1,1,"")</f>
        <v>1</v>
      </c>
      <c r="R335" s="80" t="str">
        <f>REPLACE(INDEX(GroupVertices[Group],MATCH(Edges[[#This Row],[Vertex 2]],GroupVertices[Vertex],0)),1,1,"")</f>
        <v>1</v>
      </c>
      <c r="S335" s="34"/>
      <c r="T335" s="34"/>
      <c r="U335" s="34"/>
      <c r="V335" s="34"/>
      <c r="W335" s="34"/>
      <c r="X335" s="34"/>
      <c r="Y335" s="34"/>
      <c r="Z335" s="34"/>
      <c r="AA335" s="34"/>
    </row>
    <row r="336" spans="1:27" ht="15">
      <c r="A336" s="66" t="s">
        <v>329</v>
      </c>
      <c r="B336" s="66" t="s">
        <v>529</v>
      </c>
      <c r="C336" s="67" t="s">
        <v>3495</v>
      </c>
      <c r="D336" s="68">
        <v>3</v>
      </c>
      <c r="E336" s="69"/>
      <c r="F336" s="70">
        <v>50</v>
      </c>
      <c r="G336" s="67"/>
      <c r="H336" s="71"/>
      <c r="I336" s="72"/>
      <c r="J336" s="72"/>
      <c r="K336" s="34" t="s">
        <v>65</v>
      </c>
      <c r="L336" s="79">
        <v>336</v>
      </c>
      <c r="M336" s="79"/>
      <c r="N336" s="74"/>
      <c r="O336" s="81" t="s">
        <v>653</v>
      </c>
      <c r="P336">
        <v>1</v>
      </c>
      <c r="Q336" s="80" t="str">
        <f>REPLACE(INDEX(GroupVertices[Group],MATCH(Edges[[#This Row],[Vertex 1]],GroupVertices[Vertex],0)),1,1,"")</f>
        <v>1</v>
      </c>
      <c r="R336" s="80" t="str">
        <f>REPLACE(INDEX(GroupVertices[Group],MATCH(Edges[[#This Row],[Vertex 2]],GroupVertices[Vertex],0)),1,1,"")</f>
        <v>1</v>
      </c>
      <c r="S336" s="34"/>
      <c r="T336" s="34"/>
      <c r="U336" s="34"/>
      <c r="V336" s="34"/>
      <c r="W336" s="34"/>
      <c r="X336" s="34"/>
      <c r="Y336" s="34"/>
      <c r="Z336" s="34"/>
      <c r="AA336" s="34"/>
    </row>
    <row r="337" spans="1:27" ht="15">
      <c r="A337" s="66" t="s">
        <v>325</v>
      </c>
      <c r="B337" s="66" t="s">
        <v>598</v>
      </c>
      <c r="C337" s="67" t="s">
        <v>3495</v>
      </c>
      <c r="D337" s="68">
        <v>3</v>
      </c>
      <c r="E337" s="69"/>
      <c r="F337" s="70">
        <v>50</v>
      </c>
      <c r="G337" s="67"/>
      <c r="H337" s="71"/>
      <c r="I337" s="72"/>
      <c r="J337" s="72"/>
      <c r="K337" s="34" t="s">
        <v>65</v>
      </c>
      <c r="L337" s="79">
        <v>337</v>
      </c>
      <c r="M337" s="79"/>
      <c r="N337" s="74"/>
      <c r="O337" s="81" t="s">
        <v>653</v>
      </c>
      <c r="P337">
        <v>1</v>
      </c>
      <c r="Q337" s="80" t="str">
        <f>REPLACE(INDEX(GroupVertices[Group],MATCH(Edges[[#This Row],[Vertex 1]],GroupVertices[Vertex],0)),1,1,"")</f>
        <v>1</v>
      </c>
      <c r="R337" s="80" t="str">
        <f>REPLACE(INDEX(GroupVertices[Group],MATCH(Edges[[#This Row],[Vertex 2]],GroupVertices[Vertex],0)),1,1,"")</f>
        <v>1</v>
      </c>
      <c r="S337" s="34"/>
      <c r="T337" s="34"/>
      <c r="U337" s="34"/>
      <c r="V337" s="34"/>
      <c r="W337" s="34"/>
      <c r="X337" s="34"/>
      <c r="Y337" s="34"/>
      <c r="Z337" s="34"/>
      <c r="AA337" s="34"/>
    </row>
    <row r="338" spans="1:27" ht="15">
      <c r="A338" s="66" t="s">
        <v>329</v>
      </c>
      <c r="B338" s="66" t="s">
        <v>598</v>
      </c>
      <c r="C338" s="67" t="s">
        <v>3495</v>
      </c>
      <c r="D338" s="68">
        <v>3</v>
      </c>
      <c r="E338" s="69"/>
      <c r="F338" s="70">
        <v>50</v>
      </c>
      <c r="G338" s="67"/>
      <c r="H338" s="71"/>
      <c r="I338" s="72"/>
      <c r="J338" s="72"/>
      <c r="K338" s="34" t="s">
        <v>65</v>
      </c>
      <c r="L338" s="79">
        <v>338</v>
      </c>
      <c r="M338" s="79"/>
      <c r="N338" s="74"/>
      <c r="O338" s="81" t="s">
        <v>653</v>
      </c>
      <c r="P338">
        <v>1</v>
      </c>
      <c r="Q338" s="80" t="str">
        <f>REPLACE(INDEX(GroupVertices[Group],MATCH(Edges[[#This Row],[Vertex 1]],GroupVertices[Vertex],0)),1,1,"")</f>
        <v>1</v>
      </c>
      <c r="R338" s="80" t="str">
        <f>REPLACE(INDEX(GroupVertices[Group],MATCH(Edges[[#This Row],[Vertex 2]],GroupVertices[Vertex],0)),1,1,"")</f>
        <v>1</v>
      </c>
      <c r="S338" s="34"/>
      <c r="T338" s="34"/>
      <c r="U338" s="34"/>
      <c r="V338" s="34"/>
      <c r="W338" s="34"/>
      <c r="X338" s="34"/>
      <c r="Y338" s="34"/>
      <c r="Z338" s="34"/>
      <c r="AA338" s="34"/>
    </row>
    <row r="339" spans="1:27" ht="15">
      <c r="A339" s="66" t="s">
        <v>329</v>
      </c>
      <c r="B339" s="66" t="s">
        <v>599</v>
      </c>
      <c r="C339" s="67" t="s">
        <v>3495</v>
      </c>
      <c r="D339" s="68">
        <v>3</v>
      </c>
      <c r="E339" s="69"/>
      <c r="F339" s="70">
        <v>50</v>
      </c>
      <c r="G339" s="67"/>
      <c r="H339" s="71"/>
      <c r="I339" s="72"/>
      <c r="J339" s="72"/>
      <c r="K339" s="34" t="s">
        <v>65</v>
      </c>
      <c r="L339" s="79">
        <v>339</v>
      </c>
      <c r="M339" s="79"/>
      <c r="N339" s="74"/>
      <c r="O339" s="81" t="s">
        <v>653</v>
      </c>
      <c r="P339">
        <v>1</v>
      </c>
      <c r="Q339" s="80" t="str">
        <f>REPLACE(INDEX(GroupVertices[Group],MATCH(Edges[[#This Row],[Vertex 1]],GroupVertices[Vertex],0)),1,1,"")</f>
        <v>1</v>
      </c>
      <c r="R339" s="80" t="str">
        <f>REPLACE(INDEX(GroupVertices[Group],MATCH(Edges[[#This Row],[Vertex 2]],GroupVertices[Vertex],0)),1,1,"")</f>
        <v>1</v>
      </c>
      <c r="S339" s="34"/>
      <c r="T339" s="34"/>
      <c r="U339" s="34"/>
      <c r="V339" s="34"/>
      <c r="W339" s="34"/>
      <c r="X339" s="34"/>
      <c r="Y339" s="34"/>
      <c r="Z339" s="34"/>
      <c r="AA339" s="34"/>
    </row>
    <row r="340" spans="1:27" ht="15">
      <c r="A340" s="66" t="s">
        <v>325</v>
      </c>
      <c r="B340" s="66" t="s">
        <v>600</v>
      </c>
      <c r="C340" s="67" t="s">
        <v>3495</v>
      </c>
      <c r="D340" s="68">
        <v>3</v>
      </c>
      <c r="E340" s="69"/>
      <c r="F340" s="70">
        <v>50</v>
      </c>
      <c r="G340" s="67"/>
      <c r="H340" s="71"/>
      <c r="I340" s="72"/>
      <c r="J340" s="72"/>
      <c r="K340" s="34" t="s">
        <v>65</v>
      </c>
      <c r="L340" s="79">
        <v>340</v>
      </c>
      <c r="M340" s="79"/>
      <c r="N340" s="74"/>
      <c r="O340" s="81" t="s">
        <v>653</v>
      </c>
      <c r="P340">
        <v>1</v>
      </c>
      <c r="Q340" s="80" t="str">
        <f>REPLACE(INDEX(GroupVertices[Group],MATCH(Edges[[#This Row],[Vertex 1]],GroupVertices[Vertex],0)),1,1,"")</f>
        <v>1</v>
      </c>
      <c r="R340" s="80" t="str">
        <f>REPLACE(INDEX(GroupVertices[Group],MATCH(Edges[[#This Row],[Vertex 2]],GroupVertices[Vertex],0)),1,1,"")</f>
        <v>1</v>
      </c>
      <c r="S340" s="34"/>
      <c r="T340" s="34"/>
      <c r="U340" s="34"/>
      <c r="V340" s="34"/>
      <c r="W340" s="34"/>
      <c r="X340" s="34"/>
      <c r="Y340" s="34"/>
      <c r="Z340" s="34"/>
      <c r="AA340" s="34"/>
    </row>
    <row r="341" spans="1:27" ht="15">
      <c r="A341" s="66" t="s">
        <v>329</v>
      </c>
      <c r="B341" s="66" t="s">
        <v>600</v>
      </c>
      <c r="C341" s="67" t="s">
        <v>3495</v>
      </c>
      <c r="D341" s="68">
        <v>3</v>
      </c>
      <c r="E341" s="69"/>
      <c r="F341" s="70">
        <v>50</v>
      </c>
      <c r="G341" s="67"/>
      <c r="H341" s="71"/>
      <c r="I341" s="72"/>
      <c r="J341" s="72"/>
      <c r="K341" s="34" t="s">
        <v>65</v>
      </c>
      <c r="L341" s="79">
        <v>341</v>
      </c>
      <c r="M341" s="79"/>
      <c r="N341" s="74"/>
      <c r="O341" s="81" t="s">
        <v>653</v>
      </c>
      <c r="P341">
        <v>1</v>
      </c>
      <c r="Q341" s="80" t="str">
        <f>REPLACE(INDEX(GroupVertices[Group],MATCH(Edges[[#This Row],[Vertex 1]],GroupVertices[Vertex],0)),1,1,"")</f>
        <v>1</v>
      </c>
      <c r="R341" s="80" t="str">
        <f>REPLACE(INDEX(GroupVertices[Group],MATCH(Edges[[#This Row],[Vertex 2]],GroupVertices[Vertex],0)),1,1,"")</f>
        <v>1</v>
      </c>
      <c r="S341" s="34"/>
      <c r="T341" s="34"/>
      <c r="U341" s="34"/>
      <c r="V341" s="34"/>
      <c r="W341" s="34"/>
      <c r="X341" s="34"/>
      <c r="Y341" s="34"/>
      <c r="Z341" s="34"/>
      <c r="AA341" s="34"/>
    </row>
    <row r="342" spans="1:27" ht="15">
      <c r="A342" s="66" t="s">
        <v>325</v>
      </c>
      <c r="B342" s="66" t="s">
        <v>534</v>
      </c>
      <c r="C342" s="67" t="s">
        <v>3495</v>
      </c>
      <c r="D342" s="68">
        <v>3</v>
      </c>
      <c r="E342" s="69"/>
      <c r="F342" s="70">
        <v>50</v>
      </c>
      <c r="G342" s="67"/>
      <c r="H342" s="71"/>
      <c r="I342" s="72"/>
      <c r="J342" s="72"/>
      <c r="K342" s="34" t="s">
        <v>65</v>
      </c>
      <c r="L342" s="79">
        <v>342</v>
      </c>
      <c r="M342" s="79"/>
      <c r="N342" s="74"/>
      <c r="O342" s="81" t="s">
        <v>653</v>
      </c>
      <c r="P342">
        <v>1</v>
      </c>
      <c r="Q342" s="80" t="str">
        <f>REPLACE(INDEX(GroupVertices[Group],MATCH(Edges[[#This Row],[Vertex 1]],GroupVertices[Vertex],0)),1,1,"")</f>
        <v>1</v>
      </c>
      <c r="R342" s="80" t="str">
        <f>REPLACE(INDEX(GroupVertices[Group],MATCH(Edges[[#This Row],[Vertex 2]],GroupVertices[Vertex],0)),1,1,"")</f>
        <v>1</v>
      </c>
      <c r="S342" s="34"/>
      <c r="T342" s="34"/>
      <c r="U342" s="34"/>
      <c r="V342" s="34"/>
      <c r="W342" s="34"/>
      <c r="X342" s="34"/>
      <c r="Y342" s="34"/>
      <c r="Z342" s="34"/>
      <c r="AA342" s="34"/>
    </row>
    <row r="343" spans="1:27" ht="15">
      <c r="A343" s="66" t="s">
        <v>328</v>
      </c>
      <c r="B343" s="66" t="s">
        <v>534</v>
      </c>
      <c r="C343" s="67" t="s">
        <v>3495</v>
      </c>
      <c r="D343" s="68">
        <v>3</v>
      </c>
      <c r="E343" s="69"/>
      <c r="F343" s="70">
        <v>50</v>
      </c>
      <c r="G343" s="67"/>
      <c r="H343" s="71"/>
      <c r="I343" s="72"/>
      <c r="J343" s="72"/>
      <c r="K343" s="34" t="s">
        <v>65</v>
      </c>
      <c r="L343" s="79">
        <v>343</v>
      </c>
      <c r="M343" s="79"/>
      <c r="N343" s="74"/>
      <c r="O343" s="81" t="s">
        <v>653</v>
      </c>
      <c r="P343">
        <v>1</v>
      </c>
      <c r="Q343" s="80" t="str">
        <f>REPLACE(INDEX(GroupVertices[Group],MATCH(Edges[[#This Row],[Vertex 1]],GroupVertices[Vertex],0)),1,1,"")</f>
        <v>5</v>
      </c>
      <c r="R343" s="80" t="str">
        <f>REPLACE(INDEX(GroupVertices[Group],MATCH(Edges[[#This Row],[Vertex 2]],GroupVertices[Vertex],0)),1,1,"")</f>
        <v>1</v>
      </c>
      <c r="S343" s="34"/>
      <c r="T343" s="34"/>
      <c r="U343" s="34"/>
      <c r="V343" s="34"/>
      <c r="W343" s="34"/>
      <c r="X343" s="34"/>
      <c r="Y343" s="34"/>
      <c r="Z343" s="34"/>
      <c r="AA343" s="34"/>
    </row>
    <row r="344" spans="1:27" ht="15">
      <c r="A344" s="66" t="s">
        <v>329</v>
      </c>
      <c r="B344" s="66" t="s">
        <v>534</v>
      </c>
      <c r="C344" s="67" t="s">
        <v>3495</v>
      </c>
      <c r="D344" s="68">
        <v>3</v>
      </c>
      <c r="E344" s="69"/>
      <c r="F344" s="70">
        <v>50</v>
      </c>
      <c r="G344" s="67"/>
      <c r="H344" s="71"/>
      <c r="I344" s="72"/>
      <c r="J344" s="72"/>
      <c r="K344" s="34" t="s">
        <v>65</v>
      </c>
      <c r="L344" s="79">
        <v>344</v>
      </c>
      <c r="M344" s="79"/>
      <c r="N344" s="74"/>
      <c r="O344" s="81" t="s">
        <v>653</v>
      </c>
      <c r="P344">
        <v>1</v>
      </c>
      <c r="Q344" s="80" t="str">
        <f>REPLACE(INDEX(GroupVertices[Group],MATCH(Edges[[#This Row],[Vertex 1]],GroupVertices[Vertex],0)),1,1,"")</f>
        <v>1</v>
      </c>
      <c r="R344" s="80" t="str">
        <f>REPLACE(INDEX(GroupVertices[Group],MATCH(Edges[[#This Row],[Vertex 2]],GroupVertices[Vertex],0)),1,1,"")</f>
        <v>1</v>
      </c>
      <c r="S344" s="34"/>
      <c r="T344" s="34"/>
      <c r="U344" s="34"/>
      <c r="V344" s="34"/>
      <c r="W344" s="34"/>
      <c r="X344" s="34"/>
      <c r="Y344" s="34"/>
      <c r="Z344" s="34"/>
      <c r="AA344" s="34"/>
    </row>
    <row r="345" spans="1:27" ht="15">
      <c r="A345" s="66" t="s">
        <v>329</v>
      </c>
      <c r="B345" s="66" t="s">
        <v>413</v>
      </c>
      <c r="C345" s="67" t="s">
        <v>3495</v>
      </c>
      <c r="D345" s="68">
        <v>3</v>
      </c>
      <c r="E345" s="69"/>
      <c r="F345" s="70">
        <v>50</v>
      </c>
      <c r="G345" s="67"/>
      <c r="H345" s="71"/>
      <c r="I345" s="72"/>
      <c r="J345" s="72"/>
      <c r="K345" s="34" t="s">
        <v>65</v>
      </c>
      <c r="L345" s="79">
        <v>345</v>
      </c>
      <c r="M345" s="79"/>
      <c r="N345" s="74"/>
      <c r="O345" s="81" t="s">
        <v>653</v>
      </c>
      <c r="P345">
        <v>1</v>
      </c>
      <c r="Q345" s="80" t="str">
        <f>REPLACE(INDEX(GroupVertices[Group],MATCH(Edges[[#This Row],[Vertex 1]],GroupVertices[Vertex],0)),1,1,"")</f>
        <v>1</v>
      </c>
      <c r="R345" s="80" t="str">
        <f>REPLACE(INDEX(GroupVertices[Group],MATCH(Edges[[#This Row],[Vertex 2]],GroupVertices[Vertex],0)),1,1,"")</f>
        <v>2</v>
      </c>
      <c r="S345" s="34"/>
      <c r="T345" s="34"/>
      <c r="U345" s="34"/>
      <c r="V345" s="34"/>
      <c r="W345" s="34"/>
      <c r="X345" s="34"/>
      <c r="Y345" s="34"/>
      <c r="Z345" s="34"/>
      <c r="AA345" s="34"/>
    </row>
    <row r="346" spans="1:27" ht="15">
      <c r="A346" s="66" t="s">
        <v>329</v>
      </c>
      <c r="B346" s="66" t="s">
        <v>548</v>
      </c>
      <c r="C346" s="67" t="s">
        <v>3495</v>
      </c>
      <c r="D346" s="68">
        <v>3</v>
      </c>
      <c r="E346" s="69"/>
      <c r="F346" s="70">
        <v>50</v>
      </c>
      <c r="G346" s="67"/>
      <c r="H346" s="71"/>
      <c r="I346" s="72"/>
      <c r="J346" s="72"/>
      <c r="K346" s="34" t="s">
        <v>65</v>
      </c>
      <c r="L346" s="79">
        <v>346</v>
      </c>
      <c r="M346" s="79"/>
      <c r="N346" s="74"/>
      <c r="O346" s="81" t="s">
        <v>653</v>
      </c>
      <c r="P346">
        <v>1</v>
      </c>
      <c r="Q346" s="80" t="str">
        <f>REPLACE(INDEX(GroupVertices[Group],MATCH(Edges[[#This Row],[Vertex 1]],GroupVertices[Vertex],0)),1,1,"")</f>
        <v>1</v>
      </c>
      <c r="R346" s="80" t="str">
        <f>REPLACE(INDEX(GroupVertices[Group],MATCH(Edges[[#This Row],[Vertex 2]],GroupVertices[Vertex],0)),1,1,"")</f>
        <v>7</v>
      </c>
      <c r="S346" s="34"/>
      <c r="T346" s="34"/>
      <c r="U346" s="34"/>
      <c r="V346" s="34"/>
      <c r="W346" s="34"/>
      <c r="X346" s="34"/>
      <c r="Y346" s="34"/>
      <c r="Z346" s="34"/>
      <c r="AA346" s="34"/>
    </row>
    <row r="347" spans="1:27" ht="15">
      <c r="A347" s="66" t="s">
        <v>325</v>
      </c>
      <c r="B347" s="66" t="s">
        <v>601</v>
      </c>
      <c r="C347" s="67" t="s">
        <v>3495</v>
      </c>
      <c r="D347" s="68">
        <v>3</v>
      </c>
      <c r="E347" s="69"/>
      <c r="F347" s="70">
        <v>50</v>
      </c>
      <c r="G347" s="67"/>
      <c r="H347" s="71"/>
      <c r="I347" s="72"/>
      <c r="J347" s="72"/>
      <c r="K347" s="34" t="s">
        <v>65</v>
      </c>
      <c r="L347" s="79">
        <v>347</v>
      </c>
      <c r="M347" s="79"/>
      <c r="N347" s="74"/>
      <c r="O347" s="81" t="s">
        <v>653</v>
      </c>
      <c r="P347">
        <v>1</v>
      </c>
      <c r="Q347" s="80" t="str">
        <f>REPLACE(INDEX(GroupVertices[Group],MATCH(Edges[[#This Row],[Vertex 1]],GroupVertices[Vertex],0)),1,1,"")</f>
        <v>1</v>
      </c>
      <c r="R347" s="80" t="str">
        <f>REPLACE(INDEX(GroupVertices[Group],MATCH(Edges[[#This Row],[Vertex 2]],GroupVertices[Vertex],0)),1,1,"")</f>
        <v>1</v>
      </c>
      <c r="S347" s="34"/>
      <c r="T347" s="34"/>
      <c r="U347" s="34"/>
      <c r="V347" s="34"/>
      <c r="W347" s="34"/>
      <c r="X347" s="34"/>
      <c r="Y347" s="34"/>
      <c r="Z347" s="34"/>
      <c r="AA347" s="34"/>
    </row>
    <row r="348" spans="1:27" ht="15">
      <c r="A348" s="66" t="s">
        <v>329</v>
      </c>
      <c r="B348" s="66" t="s">
        <v>601</v>
      </c>
      <c r="C348" s="67" t="s">
        <v>3495</v>
      </c>
      <c r="D348" s="68">
        <v>3</v>
      </c>
      <c r="E348" s="69"/>
      <c r="F348" s="70">
        <v>50</v>
      </c>
      <c r="G348" s="67"/>
      <c r="H348" s="71"/>
      <c r="I348" s="72"/>
      <c r="J348" s="72"/>
      <c r="K348" s="34" t="s">
        <v>65</v>
      </c>
      <c r="L348" s="79">
        <v>348</v>
      </c>
      <c r="M348" s="79"/>
      <c r="N348" s="74"/>
      <c r="O348" s="81" t="s">
        <v>653</v>
      </c>
      <c r="P348">
        <v>1</v>
      </c>
      <c r="Q348" s="80" t="str">
        <f>REPLACE(INDEX(GroupVertices[Group],MATCH(Edges[[#This Row],[Vertex 1]],GroupVertices[Vertex],0)),1,1,"")</f>
        <v>1</v>
      </c>
      <c r="R348" s="80" t="str">
        <f>REPLACE(INDEX(GroupVertices[Group],MATCH(Edges[[#This Row],[Vertex 2]],GroupVertices[Vertex],0)),1,1,"")</f>
        <v>1</v>
      </c>
      <c r="S348" s="34"/>
      <c r="T348" s="34"/>
      <c r="U348" s="34"/>
      <c r="V348" s="34"/>
      <c r="W348" s="34"/>
      <c r="X348" s="34"/>
      <c r="Y348" s="34"/>
      <c r="Z348" s="34"/>
      <c r="AA348" s="34"/>
    </row>
    <row r="349" spans="1:27" ht="15">
      <c r="A349" s="66" t="s">
        <v>325</v>
      </c>
      <c r="B349" s="66" t="s">
        <v>537</v>
      </c>
      <c r="C349" s="67" t="s">
        <v>3495</v>
      </c>
      <c r="D349" s="68">
        <v>3</v>
      </c>
      <c r="E349" s="69"/>
      <c r="F349" s="70">
        <v>50</v>
      </c>
      <c r="G349" s="67"/>
      <c r="H349" s="71"/>
      <c r="I349" s="72"/>
      <c r="J349" s="72"/>
      <c r="K349" s="34" t="s">
        <v>65</v>
      </c>
      <c r="L349" s="79">
        <v>349</v>
      </c>
      <c r="M349" s="79"/>
      <c r="N349" s="74"/>
      <c r="O349" s="81" t="s">
        <v>653</v>
      </c>
      <c r="P349">
        <v>1</v>
      </c>
      <c r="Q349" s="80" t="str">
        <f>REPLACE(INDEX(GroupVertices[Group],MATCH(Edges[[#This Row],[Vertex 1]],GroupVertices[Vertex],0)),1,1,"")</f>
        <v>1</v>
      </c>
      <c r="R349" s="80" t="str">
        <f>REPLACE(INDEX(GroupVertices[Group],MATCH(Edges[[#This Row],[Vertex 2]],GroupVertices[Vertex],0)),1,1,"")</f>
        <v>1</v>
      </c>
      <c r="S349" s="34"/>
      <c r="T349" s="34"/>
      <c r="U349" s="34"/>
      <c r="V349" s="34"/>
      <c r="W349" s="34"/>
      <c r="X349" s="34"/>
      <c r="Y349" s="34"/>
      <c r="Z349" s="34"/>
      <c r="AA349" s="34"/>
    </row>
    <row r="350" spans="1:27" ht="15">
      <c r="A350" s="66" t="s">
        <v>329</v>
      </c>
      <c r="B350" s="66" t="s">
        <v>537</v>
      </c>
      <c r="C350" s="67" t="s">
        <v>3495</v>
      </c>
      <c r="D350" s="68">
        <v>3</v>
      </c>
      <c r="E350" s="69"/>
      <c r="F350" s="70">
        <v>50</v>
      </c>
      <c r="G350" s="67"/>
      <c r="H350" s="71"/>
      <c r="I350" s="72"/>
      <c r="J350" s="72"/>
      <c r="K350" s="34" t="s">
        <v>65</v>
      </c>
      <c r="L350" s="79">
        <v>350</v>
      </c>
      <c r="M350" s="79"/>
      <c r="N350" s="74"/>
      <c r="O350" s="81" t="s">
        <v>653</v>
      </c>
      <c r="P350">
        <v>1</v>
      </c>
      <c r="Q350" s="80" t="str">
        <f>REPLACE(INDEX(GroupVertices[Group],MATCH(Edges[[#This Row],[Vertex 1]],GroupVertices[Vertex],0)),1,1,"")</f>
        <v>1</v>
      </c>
      <c r="R350" s="80" t="str">
        <f>REPLACE(INDEX(GroupVertices[Group],MATCH(Edges[[#This Row],[Vertex 2]],GroupVertices[Vertex],0)),1,1,"")</f>
        <v>1</v>
      </c>
      <c r="S350" s="34"/>
      <c r="T350" s="34"/>
      <c r="U350" s="34"/>
      <c r="V350" s="34"/>
      <c r="W350" s="34"/>
      <c r="X350" s="34"/>
      <c r="Y350" s="34"/>
      <c r="Z350" s="34"/>
      <c r="AA350" s="34"/>
    </row>
    <row r="351" spans="1:27" ht="15">
      <c r="A351" s="66" t="s">
        <v>329</v>
      </c>
      <c r="B351" s="66" t="s">
        <v>602</v>
      </c>
      <c r="C351" s="67" t="s">
        <v>3495</v>
      </c>
      <c r="D351" s="68">
        <v>3</v>
      </c>
      <c r="E351" s="69"/>
      <c r="F351" s="70">
        <v>50</v>
      </c>
      <c r="G351" s="67"/>
      <c r="H351" s="71"/>
      <c r="I351" s="72"/>
      <c r="J351" s="72"/>
      <c r="K351" s="34" t="s">
        <v>65</v>
      </c>
      <c r="L351" s="79">
        <v>351</v>
      </c>
      <c r="M351" s="79"/>
      <c r="N351" s="74"/>
      <c r="O351" s="81" t="s">
        <v>653</v>
      </c>
      <c r="P351">
        <v>1</v>
      </c>
      <c r="Q351" s="80" t="str">
        <f>REPLACE(INDEX(GroupVertices[Group],MATCH(Edges[[#This Row],[Vertex 1]],GroupVertices[Vertex],0)),1,1,"")</f>
        <v>1</v>
      </c>
      <c r="R351" s="80" t="str">
        <f>REPLACE(INDEX(GroupVertices[Group],MATCH(Edges[[#This Row],[Vertex 2]],GroupVertices[Vertex],0)),1,1,"")</f>
        <v>1</v>
      </c>
      <c r="S351" s="34"/>
      <c r="T351" s="34"/>
      <c r="U351" s="34"/>
      <c r="V351" s="34"/>
      <c r="W351" s="34"/>
      <c r="X351" s="34"/>
      <c r="Y351" s="34"/>
      <c r="Z351" s="34"/>
      <c r="AA351" s="34"/>
    </row>
    <row r="352" spans="1:27" ht="15">
      <c r="A352" s="66" t="s">
        <v>325</v>
      </c>
      <c r="B352" s="66" t="s">
        <v>603</v>
      </c>
      <c r="C352" s="67" t="s">
        <v>3495</v>
      </c>
      <c r="D352" s="68">
        <v>3</v>
      </c>
      <c r="E352" s="69"/>
      <c r="F352" s="70">
        <v>50</v>
      </c>
      <c r="G352" s="67"/>
      <c r="H352" s="71"/>
      <c r="I352" s="72"/>
      <c r="J352" s="72"/>
      <c r="K352" s="34" t="s">
        <v>65</v>
      </c>
      <c r="L352" s="79">
        <v>352</v>
      </c>
      <c r="M352" s="79"/>
      <c r="N352" s="74"/>
      <c r="O352" s="81" t="s">
        <v>653</v>
      </c>
      <c r="P352">
        <v>1</v>
      </c>
      <c r="Q352" s="80" t="str">
        <f>REPLACE(INDEX(GroupVertices[Group],MATCH(Edges[[#This Row],[Vertex 1]],GroupVertices[Vertex],0)),1,1,"")</f>
        <v>1</v>
      </c>
      <c r="R352" s="80" t="str">
        <f>REPLACE(INDEX(GroupVertices[Group],MATCH(Edges[[#This Row],[Vertex 2]],GroupVertices[Vertex],0)),1,1,"")</f>
        <v>1</v>
      </c>
      <c r="S352" s="34"/>
      <c r="T352" s="34"/>
      <c r="U352" s="34"/>
      <c r="V352" s="34"/>
      <c r="W352" s="34"/>
      <c r="X352" s="34"/>
      <c r="Y352" s="34"/>
      <c r="Z352" s="34"/>
      <c r="AA352" s="34"/>
    </row>
    <row r="353" spans="1:27" ht="15">
      <c r="A353" s="66" t="s">
        <v>329</v>
      </c>
      <c r="B353" s="66" t="s">
        <v>603</v>
      </c>
      <c r="C353" s="67" t="s">
        <v>3495</v>
      </c>
      <c r="D353" s="68">
        <v>3</v>
      </c>
      <c r="E353" s="69"/>
      <c r="F353" s="70">
        <v>50</v>
      </c>
      <c r="G353" s="67"/>
      <c r="H353" s="71"/>
      <c r="I353" s="72"/>
      <c r="J353" s="72"/>
      <c r="K353" s="34" t="s">
        <v>65</v>
      </c>
      <c r="L353" s="79">
        <v>353</v>
      </c>
      <c r="M353" s="79"/>
      <c r="N353" s="74"/>
      <c r="O353" s="81" t="s">
        <v>653</v>
      </c>
      <c r="P353">
        <v>1</v>
      </c>
      <c r="Q353" s="80" t="str">
        <f>REPLACE(INDEX(GroupVertices[Group],MATCH(Edges[[#This Row],[Vertex 1]],GroupVertices[Vertex],0)),1,1,"")</f>
        <v>1</v>
      </c>
      <c r="R353" s="80" t="str">
        <f>REPLACE(INDEX(GroupVertices[Group],MATCH(Edges[[#This Row],[Vertex 2]],GroupVertices[Vertex],0)),1,1,"")</f>
        <v>1</v>
      </c>
      <c r="S353" s="34"/>
      <c r="T353" s="34"/>
      <c r="U353" s="34"/>
      <c r="V353" s="34"/>
      <c r="W353" s="34"/>
      <c r="X353" s="34"/>
      <c r="Y353" s="34"/>
      <c r="Z353" s="34"/>
      <c r="AA353" s="34"/>
    </row>
    <row r="354" spans="1:27" ht="15">
      <c r="A354" s="66" t="s">
        <v>325</v>
      </c>
      <c r="B354" s="66" t="s">
        <v>415</v>
      </c>
      <c r="C354" s="67" t="s">
        <v>3495</v>
      </c>
      <c r="D354" s="68">
        <v>3</v>
      </c>
      <c r="E354" s="69"/>
      <c r="F354" s="70">
        <v>50</v>
      </c>
      <c r="G354" s="67"/>
      <c r="H354" s="71"/>
      <c r="I354" s="72"/>
      <c r="J354" s="72"/>
      <c r="K354" s="34" t="s">
        <v>65</v>
      </c>
      <c r="L354" s="79">
        <v>354</v>
      </c>
      <c r="M354" s="79"/>
      <c r="N354" s="74"/>
      <c r="O354" s="81" t="s">
        <v>653</v>
      </c>
      <c r="P354">
        <v>1</v>
      </c>
      <c r="Q354" s="80" t="str">
        <f>REPLACE(INDEX(GroupVertices[Group],MATCH(Edges[[#This Row],[Vertex 1]],GroupVertices[Vertex],0)),1,1,"")</f>
        <v>1</v>
      </c>
      <c r="R354" s="80" t="str">
        <f>REPLACE(INDEX(GroupVertices[Group],MATCH(Edges[[#This Row],[Vertex 2]],GroupVertices[Vertex],0)),1,1,"")</f>
        <v>1</v>
      </c>
      <c r="S354" s="34"/>
      <c r="T354" s="34"/>
      <c r="U354" s="34"/>
      <c r="V354" s="34"/>
      <c r="W354" s="34"/>
      <c r="X354" s="34"/>
      <c r="Y354" s="34"/>
      <c r="Z354" s="34"/>
      <c r="AA354" s="34"/>
    </row>
    <row r="355" spans="1:27" ht="15">
      <c r="A355" s="66" t="s">
        <v>329</v>
      </c>
      <c r="B355" s="66" t="s">
        <v>415</v>
      </c>
      <c r="C355" s="67" t="s">
        <v>3495</v>
      </c>
      <c r="D355" s="68">
        <v>3</v>
      </c>
      <c r="E355" s="69"/>
      <c r="F355" s="70">
        <v>50</v>
      </c>
      <c r="G355" s="67"/>
      <c r="H355" s="71"/>
      <c r="I355" s="72"/>
      <c r="J355" s="72"/>
      <c r="K355" s="34" t="s">
        <v>65</v>
      </c>
      <c r="L355" s="79">
        <v>355</v>
      </c>
      <c r="M355" s="79"/>
      <c r="N355" s="74"/>
      <c r="O355" s="81" t="s">
        <v>653</v>
      </c>
      <c r="P355">
        <v>1</v>
      </c>
      <c r="Q355" s="80" t="str">
        <f>REPLACE(INDEX(GroupVertices[Group],MATCH(Edges[[#This Row],[Vertex 1]],GroupVertices[Vertex],0)),1,1,"")</f>
        <v>1</v>
      </c>
      <c r="R355" s="80" t="str">
        <f>REPLACE(INDEX(GroupVertices[Group],MATCH(Edges[[#This Row],[Vertex 2]],GroupVertices[Vertex],0)),1,1,"")</f>
        <v>1</v>
      </c>
      <c r="S355" s="34"/>
      <c r="T355" s="34"/>
      <c r="U355" s="34"/>
      <c r="V355" s="34"/>
      <c r="W355" s="34"/>
      <c r="X355" s="34"/>
      <c r="Y355" s="34"/>
      <c r="Z355" s="34"/>
      <c r="AA355" s="34"/>
    </row>
    <row r="356" spans="1:27" ht="15">
      <c r="A356" s="66" t="s">
        <v>329</v>
      </c>
      <c r="B356" s="66" t="s">
        <v>604</v>
      </c>
      <c r="C356" s="67" t="s">
        <v>3495</v>
      </c>
      <c r="D356" s="68">
        <v>3</v>
      </c>
      <c r="E356" s="69"/>
      <c r="F356" s="70">
        <v>50</v>
      </c>
      <c r="G356" s="67"/>
      <c r="H356" s="71"/>
      <c r="I356" s="72"/>
      <c r="J356" s="72"/>
      <c r="K356" s="34" t="s">
        <v>65</v>
      </c>
      <c r="L356" s="79">
        <v>356</v>
      </c>
      <c r="M356" s="79"/>
      <c r="N356" s="74"/>
      <c r="O356" s="81" t="s">
        <v>653</v>
      </c>
      <c r="P356">
        <v>1</v>
      </c>
      <c r="Q356" s="80" t="str">
        <f>REPLACE(INDEX(GroupVertices[Group],MATCH(Edges[[#This Row],[Vertex 1]],GroupVertices[Vertex],0)),1,1,"")</f>
        <v>1</v>
      </c>
      <c r="R356" s="80" t="str">
        <f>REPLACE(INDEX(GroupVertices[Group],MATCH(Edges[[#This Row],[Vertex 2]],GroupVertices[Vertex],0)),1,1,"")</f>
        <v>1</v>
      </c>
      <c r="S356" s="34"/>
      <c r="T356" s="34"/>
      <c r="U356" s="34"/>
      <c r="V356" s="34"/>
      <c r="W356" s="34"/>
      <c r="X356" s="34"/>
      <c r="Y356" s="34"/>
      <c r="Z356" s="34"/>
      <c r="AA356" s="34"/>
    </row>
    <row r="357" spans="1:27" ht="15">
      <c r="A357" s="66" t="s">
        <v>329</v>
      </c>
      <c r="B357" s="66" t="s">
        <v>533</v>
      </c>
      <c r="C357" s="67" t="s">
        <v>3495</v>
      </c>
      <c r="D357" s="68">
        <v>3</v>
      </c>
      <c r="E357" s="69"/>
      <c r="F357" s="70">
        <v>50</v>
      </c>
      <c r="G357" s="67"/>
      <c r="H357" s="71"/>
      <c r="I357" s="72"/>
      <c r="J357" s="72"/>
      <c r="K357" s="34" t="s">
        <v>65</v>
      </c>
      <c r="L357" s="79">
        <v>357</v>
      </c>
      <c r="M357" s="79"/>
      <c r="N357" s="74"/>
      <c r="O357" s="81" t="s">
        <v>653</v>
      </c>
      <c r="P357">
        <v>1</v>
      </c>
      <c r="Q357" s="80" t="str">
        <f>REPLACE(INDEX(GroupVertices[Group],MATCH(Edges[[#This Row],[Vertex 1]],GroupVertices[Vertex],0)),1,1,"")</f>
        <v>1</v>
      </c>
      <c r="R357" s="80" t="str">
        <f>REPLACE(INDEX(GroupVertices[Group],MATCH(Edges[[#This Row],[Vertex 2]],GroupVertices[Vertex],0)),1,1,"")</f>
        <v>8</v>
      </c>
      <c r="S357" s="34"/>
      <c r="T357" s="34"/>
      <c r="U357" s="34"/>
      <c r="V357" s="34"/>
      <c r="W357" s="34"/>
      <c r="X357" s="34"/>
      <c r="Y357" s="34"/>
      <c r="Z357" s="34"/>
      <c r="AA357" s="34"/>
    </row>
    <row r="358" spans="1:27" ht="15">
      <c r="A358" s="66" t="s">
        <v>329</v>
      </c>
      <c r="B358" s="66" t="s">
        <v>605</v>
      </c>
      <c r="C358" s="67" t="s">
        <v>3495</v>
      </c>
      <c r="D358" s="68">
        <v>3</v>
      </c>
      <c r="E358" s="69"/>
      <c r="F358" s="70">
        <v>50</v>
      </c>
      <c r="G358" s="67"/>
      <c r="H358" s="71"/>
      <c r="I358" s="72"/>
      <c r="J358" s="72"/>
      <c r="K358" s="34" t="s">
        <v>65</v>
      </c>
      <c r="L358" s="79">
        <v>358</v>
      </c>
      <c r="M358" s="79"/>
      <c r="N358" s="74"/>
      <c r="O358" s="81" t="s">
        <v>653</v>
      </c>
      <c r="P358">
        <v>1</v>
      </c>
      <c r="Q358" s="80" t="str">
        <f>REPLACE(INDEX(GroupVertices[Group],MATCH(Edges[[#This Row],[Vertex 1]],GroupVertices[Vertex],0)),1,1,"")</f>
        <v>1</v>
      </c>
      <c r="R358" s="80" t="str">
        <f>REPLACE(INDEX(GroupVertices[Group],MATCH(Edges[[#This Row],[Vertex 2]],GroupVertices[Vertex],0)),1,1,"")</f>
        <v>1</v>
      </c>
      <c r="S358" s="34"/>
      <c r="T358" s="34"/>
      <c r="U358" s="34"/>
      <c r="V358" s="34"/>
      <c r="W358" s="34"/>
      <c r="X358" s="34"/>
      <c r="Y358" s="34"/>
      <c r="Z358" s="34"/>
      <c r="AA358" s="34"/>
    </row>
    <row r="359" spans="1:27" ht="15">
      <c r="A359" s="66" t="s">
        <v>329</v>
      </c>
      <c r="B359" s="66" t="s">
        <v>606</v>
      </c>
      <c r="C359" s="67" t="s">
        <v>3495</v>
      </c>
      <c r="D359" s="68">
        <v>3</v>
      </c>
      <c r="E359" s="69"/>
      <c r="F359" s="70">
        <v>50</v>
      </c>
      <c r="G359" s="67"/>
      <c r="H359" s="71"/>
      <c r="I359" s="72"/>
      <c r="J359" s="72"/>
      <c r="K359" s="34" t="s">
        <v>65</v>
      </c>
      <c r="L359" s="79">
        <v>359</v>
      </c>
      <c r="M359" s="79"/>
      <c r="N359" s="74"/>
      <c r="O359" s="81" t="s">
        <v>653</v>
      </c>
      <c r="P359">
        <v>1</v>
      </c>
      <c r="Q359" s="80" t="str">
        <f>REPLACE(INDEX(GroupVertices[Group],MATCH(Edges[[#This Row],[Vertex 1]],GroupVertices[Vertex],0)),1,1,"")</f>
        <v>1</v>
      </c>
      <c r="R359" s="80" t="str">
        <f>REPLACE(INDEX(GroupVertices[Group],MATCH(Edges[[#This Row],[Vertex 2]],GroupVertices[Vertex],0)),1,1,"")</f>
        <v>1</v>
      </c>
      <c r="S359" s="34"/>
      <c r="T359" s="34"/>
      <c r="U359" s="34"/>
      <c r="V359" s="34"/>
      <c r="W359" s="34"/>
      <c r="X359" s="34"/>
      <c r="Y359" s="34"/>
      <c r="Z359" s="34"/>
      <c r="AA359" s="34"/>
    </row>
    <row r="360" spans="1:27" ht="15">
      <c r="A360" s="66" t="s">
        <v>329</v>
      </c>
      <c r="B360" s="66" t="s">
        <v>607</v>
      </c>
      <c r="C360" s="67" t="s">
        <v>3495</v>
      </c>
      <c r="D360" s="68">
        <v>3</v>
      </c>
      <c r="E360" s="69"/>
      <c r="F360" s="70">
        <v>50</v>
      </c>
      <c r="G360" s="67"/>
      <c r="H360" s="71"/>
      <c r="I360" s="72"/>
      <c r="J360" s="72"/>
      <c r="K360" s="34" t="s">
        <v>65</v>
      </c>
      <c r="L360" s="79">
        <v>360</v>
      </c>
      <c r="M360" s="79"/>
      <c r="N360" s="74"/>
      <c r="O360" s="81" t="s">
        <v>653</v>
      </c>
      <c r="P360">
        <v>1</v>
      </c>
      <c r="Q360" s="80" t="str">
        <f>REPLACE(INDEX(GroupVertices[Group],MATCH(Edges[[#This Row],[Vertex 1]],GroupVertices[Vertex],0)),1,1,"")</f>
        <v>1</v>
      </c>
      <c r="R360" s="80" t="str">
        <f>REPLACE(INDEX(GroupVertices[Group],MATCH(Edges[[#This Row],[Vertex 2]],GroupVertices[Vertex],0)),1,1,"")</f>
        <v>1</v>
      </c>
      <c r="S360" s="34"/>
      <c r="T360" s="34"/>
      <c r="U360" s="34"/>
      <c r="V360" s="34"/>
      <c r="W360" s="34"/>
      <c r="X360" s="34"/>
      <c r="Y360" s="34"/>
      <c r="Z360" s="34"/>
      <c r="AA360" s="34"/>
    </row>
    <row r="361" spans="1:27" ht="15">
      <c r="A361" s="66" t="s">
        <v>329</v>
      </c>
      <c r="B361" s="66" t="s">
        <v>608</v>
      </c>
      <c r="C361" s="67" t="s">
        <v>3495</v>
      </c>
      <c r="D361" s="68">
        <v>3</v>
      </c>
      <c r="E361" s="69"/>
      <c r="F361" s="70">
        <v>50</v>
      </c>
      <c r="G361" s="67"/>
      <c r="H361" s="71"/>
      <c r="I361" s="72"/>
      <c r="J361" s="72"/>
      <c r="K361" s="34" t="s">
        <v>65</v>
      </c>
      <c r="L361" s="79">
        <v>361</v>
      </c>
      <c r="M361" s="79"/>
      <c r="N361" s="74"/>
      <c r="O361" s="81" t="s">
        <v>653</v>
      </c>
      <c r="P361">
        <v>1</v>
      </c>
      <c r="Q361" s="80" t="str">
        <f>REPLACE(INDEX(GroupVertices[Group],MATCH(Edges[[#This Row],[Vertex 1]],GroupVertices[Vertex],0)),1,1,"")</f>
        <v>1</v>
      </c>
      <c r="R361" s="80" t="str">
        <f>REPLACE(INDEX(GroupVertices[Group],MATCH(Edges[[#This Row],[Vertex 2]],GroupVertices[Vertex],0)),1,1,"")</f>
        <v>1</v>
      </c>
      <c r="S361" s="34"/>
      <c r="T361" s="34"/>
      <c r="U361" s="34"/>
      <c r="V361" s="34"/>
      <c r="W361" s="34"/>
      <c r="X361" s="34"/>
      <c r="Y361" s="34"/>
      <c r="Z361" s="34"/>
      <c r="AA361" s="34"/>
    </row>
    <row r="362" spans="1:27" ht="15">
      <c r="A362" s="66" t="s">
        <v>325</v>
      </c>
      <c r="B362" s="66" t="s">
        <v>328</v>
      </c>
      <c r="C362" s="67" t="s">
        <v>3495</v>
      </c>
      <c r="D362" s="68">
        <v>3</v>
      </c>
      <c r="E362" s="69"/>
      <c r="F362" s="70">
        <v>50</v>
      </c>
      <c r="G362" s="67"/>
      <c r="H362" s="71"/>
      <c r="I362" s="72"/>
      <c r="J362" s="72"/>
      <c r="K362" s="34" t="s">
        <v>65</v>
      </c>
      <c r="L362" s="79">
        <v>362</v>
      </c>
      <c r="M362" s="79"/>
      <c r="N362" s="74"/>
      <c r="O362" s="81" t="s">
        <v>653</v>
      </c>
      <c r="P362">
        <v>1</v>
      </c>
      <c r="Q362" s="80" t="str">
        <f>REPLACE(INDEX(GroupVertices[Group],MATCH(Edges[[#This Row],[Vertex 1]],GroupVertices[Vertex],0)),1,1,"")</f>
        <v>1</v>
      </c>
      <c r="R362" s="80" t="str">
        <f>REPLACE(INDEX(GroupVertices[Group],MATCH(Edges[[#This Row],[Vertex 2]],GroupVertices[Vertex],0)),1,1,"")</f>
        <v>5</v>
      </c>
      <c r="S362" s="34"/>
      <c r="T362" s="34"/>
      <c r="U362" s="34"/>
      <c r="V362" s="34"/>
      <c r="W362" s="34"/>
      <c r="X362" s="34"/>
      <c r="Y362" s="34"/>
      <c r="Z362" s="34"/>
      <c r="AA362" s="34"/>
    </row>
    <row r="363" spans="1:27" ht="15">
      <c r="A363" s="66" t="s">
        <v>325</v>
      </c>
      <c r="B363" s="66" t="s">
        <v>322</v>
      </c>
      <c r="C363" s="67" t="s">
        <v>3495</v>
      </c>
      <c r="D363" s="68">
        <v>3</v>
      </c>
      <c r="E363" s="69"/>
      <c r="F363" s="70">
        <v>50</v>
      </c>
      <c r="G363" s="67"/>
      <c r="H363" s="71"/>
      <c r="I363" s="72"/>
      <c r="J363" s="72"/>
      <c r="K363" s="34" t="s">
        <v>65</v>
      </c>
      <c r="L363" s="79">
        <v>363</v>
      </c>
      <c r="M363" s="79"/>
      <c r="N363" s="74"/>
      <c r="O363" s="81" t="s">
        <v>653</v>
      </c>
      <c r="P363">
        <v>1</v>
      </c>
      <c r="Q363" s="80" t="str">
        <f>REPLACE(INDEX(GroupVertices[Group],MATCH(Edges[[#This Row],[Vertex 1]],GroupVertices[Vertex],0)),1,1,"")</f>
        <v>1</v>
      </c>
      <c r="R363" s="80" t="str">
        <f>REPLACE(INDEX(GroupVertices[Group],MATCH(Edges[[#This Row],[Vertex 2]],GroupVertices[Vertex],0)),1,1,"")</f>
        <v>3</v>
      </c>
      <c r="S363" s="34"/>
      <c r="T363" s="34"/>
      <c r="U363" s="34"/>
      <c r="V363" s="34"/>
      <c r="W363" s="34"/>
      <c r="X363" s="34"/>
      <c r="Y363" s="34"/>
      <c r="Z363" s="34"/>
      <c r="AA363" s="34"/>
    </row>
    <row r="364" spans="1:27" ht="15">
      <c r="A364" s="66" t="s">
        <v>325</v>
      </c>
      <c r="B364" s="66" t="s">
        <v>418</v>
      </c>
      <c r="C364" s="67" t="s">
        <v>3495</v>
      </c>
      <c r="D364" s="68">
        <v>3</v>
      </c>
      <c r="E364" s="69"/>
      <c r="F364" s="70">
        <v>50</v>
      </c>
      <c r="G364" s="67"/>
      <c r="H364" s="71"/>
      <c r="I364" s="72"/>
      <c r="J364" s="72"/>
      <c r="K364" s="34" t="s">
        <v>65</v>
      </c>
      <c r="L364" s="79">
        <v>364</v>
      </c>
      <c r="M364" s="79"/>
      <c r="N364" s="74"/>
      <c r="O364" s="81" t="s">
        <v>653</v>
      </c>
      <c r="P364">
        <v>1</v>
      </c>
      <c r="Q364" s="80" t="str">
        <f>REPLACE(INDEX(GroupVertices[Group],MATCH(Edges[[#This Row],[Vertex 1]],GroupVertices[Vertex],0)),1,1,"")</f>
        <v>1</v>
      </c>
      <c r="R364" s="80" t="str">
        <f>REPLACE(INDEX(GroupVertices[Group],MATCH(Edges[[#This Row],[Vertex 2]],GroupVertices[Vertex],0)),1,1,"")</f>
        <v>1</v>
      </c>
      <c r="S364" s="34"/>
      <c r="T364" s="34"/>
      <c r="U364" s="34"/>
      <c r="V364" s="34"/>
      <c r="W364" s="34"/>
      <c r="X364" s="34"/>
      <c r="Y364" s="34"/>
      <c r="Z364" s="34"/>
      <c r="AA364" s="34"/>
    </row>
    <row r="365" spans="1:27" ht="15">
      <c r="A365" s="66" t="s">
        <v>325</v>
      </c>
      <c r="B365" s="66" t="s">
        <v>330</v>
      </c>
      <c r="C365" s="67" t="s">
        <v>3495</v>
      </c>
      <c r="D365" s="68">
        <v>3</v>
      </c>
      <c r="E365" s="69"/>
      <c r="F365" s="70">
        <v>50</v>
      </c>
      <c r="G365" s="67"/>
      <c r="H365" s="71"/>
      <c r="I365" s="72"/>
      <c r="J365" s="72"/>
      <c r="K365" s="34" t="s">
        <v>65</v>
      </c>
      <c r="L365" s="79">
        <v>365</v>
      </c>
      <c r="M365" s="79"/>
      <c r="N365" s="74"/>
      <c r="O365" s="81" t="s">
        <v>653</v>
      </c>
      <c r="P365">
        <v>1</v>
      </c>
      <c r="Q365" s="80" t="str">
        <f>REPLACE(INDEX(GroupVertices[Group],MATCH(Edges[[#This Row],[Vertex 1]],GroupVertices[Vertex],0)),1,1,"")</f>
        <v>1</v>
      </c>
      <c r="R365" s="80" t="str">
        <f>REPLACE(INDEX(GroupVertices[Group],MATCH(Edges[[#This Row],[Vertex 2]],GroupVertices[Vertex],0)),1,1,"")</f>
        <v>4</v>
      </c>
      <c r="S365" s="34"/>
      <c r="T365" s="34"/>
      <c r="U365" s="34"/>
      <c r="V365" s="34"/>
      <c r="W365" s="34"/>
      <c r="X365" s="34"/>
      <c r="Y365" s="34"/>
      <c r="Z365" s="34"/>
      <c r="AA365" s="34"/>
    </row>
    <row r="366" spans="1:27" ht="15">
      <c r="A366" s="66" t="s">
        <v>325</v>
      </c>
      <c r="B366" s="66" t="s">
        <v>329</v>
      </c>
      <c r="C366" s="67" t="s">
        <v>3495</v>
      </c>
      <c r="D366" s="68">
        <v>3</v>
      </c>
      <c r="E366" s="69"/>
      <c r="F366" s="70">
        <v>50</v>
      </c>
      <c r="G366" s="67"/>
      <c r="H366" s="71"/>
      <c r="I366" s="72"/>
      <c r="J366" s="72"/>
      <c r="K366" s="34" t="s">
        <v>66</v>
      </c>
      <c r="L366" s="79">
        <v>366</v>
      </c>
      <c r="M366" s="79"/>
      <c r="N366" s="74"/>
      <c r="O366" s="81" t="s">
        <v>653</v>
      </c>
      <c r="P366">
        <v>1</v>
      </c>
      <c r="Q366" s="80" t="str">
        <f>REPLACE(INDEX(GroupVertices[Group],MATCH(Edges[[#This Row],[Vertex 1]],GroupVertices[Vertex],0)),1,1,"")</f>
        <v>1</v>
      </c>
      <c r="R366" s="80" t="str">
        <f>REPLACE(INDEX(GroupVertices[Group],MATCH(Edges[[#This Row],[Vertex 2]],GroupVertices[Vertex],0)),1,1,"")</f>
        <v>1</v>
      </c>
      <c r="S366" s="34"/>
      <c r="T366" s="34"/>
      <c r="U366" s="34"/>
      <c r="V366" s="34"/>
      <c r="W366" s="34"/>
      <c r="X366" s="34"/>
      <c r="Y366" s="34"/>
      <c r="Z366" s="34"/>
      <c r="AA366" s="34"/>
    </row>
    <row r="367" spans="1:27" ht="15">
      <c r="A367" s="66" t="s">
        <v>325</v>
      </c>
      <c r="B367" s="66" t="s">
        <v>422</v>
      </c>
      <c r="C367" s="67" t="s">
        <v>3495</v>
      </c>
      <c r="D367" s="68">
        <v>3</v>
      </c>
      <c r="E367" s="69"/>
      <c r="F367" s="70">
        <v>50</v>
      </c>
      <c r="G367" s="67"/>
      <c r="H367" s="71"/>
      <c r="I367" s="72"/>
      <c r="J367" s="72"/>
      <c r="K367" s="34" t="s">
        <v>65</v>
      </c>
      <c r="L367" s="79">
        <v>367</v>
      </c>
      <c r="M367" s="79"/>
      <c r="N367" s="74"/>
      <c r="O367" s="81" t="s">
        <v>653</v>
      </c>
      <c r="P367">
        <v>1</v>
      </c>
      <c r="Q367" s="80" t="str">
        <f>REPLACE(INDEX(GroupVertices[Group],MATCH(Edges[[#This Row],[Vertex 1]],GroupVertices[Vertex],0)),1,1,"")</f>
        <v>1</v>
      </c>
      <c r="R367" s="80" t="str">
        <f>REPLACE(INDEX(GroupVertices[Group],MATCH(Edges[[#This Row],[Vertex 2]],GroupVertices[Vertex],0)),1,1,"")</f>
        <v>1</v>
      </c>
      <c r="S367" s="34"/>
      <c r="T367" s="34"/>
      <c r="U367" s="34"/>
      <c r="V367" s="34"/>
      <c r="W367" s="34"/>
      <c r="X367" s="34"/>
      <c r="Y367" s="34"/>
      <c r="Z367" s="34"/>
      <c r="AA367" s="34"/>
    </row>
    <row r="368" spans="1:27" ht="15">
      <c r="A368" s="66" t="s">
        <v>325</v>
      </c>
      <c r="B368" s="66" t="s">
        <v>416</v>
      </c>
      <c r="C368" s="67" t="s">
        <v>3495</v>
      </c>
      <c r="D368" s="68">
        <v>3</v>
      </c>
      <c r="E368" s="69"/>
      <c r="F368" s="70">
        <v>50</v>
      </c>
      <c r="G368" s="67"/>
      <c r="H368" s="71"/>
      <c r="I368" s="72"/>
      <c r="J368" s="72"/>
      <c r="K368" s="34" t="s">
        <v>65</v>
      </c>
      <c r="L368" s="79">
        <v>368</v>
      </c>
      <c r="M368" s="79"/>
      <c r="N368" s="74"/>
      <c r="O368" s="81" t="s">
        <v>653</v>
      </c>
      <c r="P368">
        <v>1</v>
      </c>
      <c r="Q368" s="80" t="str">
        <f>REPLACE(INDEX(GroupVertices[Group],MATCH(Edges[[#This Row],[Vertex 1]],GroupVertices[Vertex],0)),1,1,"")</f>
        <v>1</v>
      </c>
      <c r="R368" s="80" t="str">
        <f>REPLACE(INDEX(GroupVertices[Group],MATCH(Edges[[#This Row],[Vertex 2]],GroupVertices[Vertex],0)),1,1,"")</f>
        <v>1</v>
      </c>
      <c r="S368" s="34"/>
      <c r="T368" s="34"/>
      <c r="U368" s="34"/>
      <c r="V368" s="34"/>
      <c r="W368" s="34"/>
      <c r="X368" s="34"/>
      <c r="Y368" s="34"/>
      <c r="Z368" s="34"/>
      <c r="AA368" s="34"/>
    </row>
    <row r="369" spans="1:27" ht="15">
      <c r="A369" s="66" t="s">
        <v>325</v>
      </c>
      <c r="B369" s="66" t="s">
        <v>419</v>
      </c>
      <c r="C369" s="67" t="s">
        <v>3495</v>
      </c>
      <c r="D369" s="68">
        <v>3</v>
      </c>
      <c r="E369" s="69"/>
      <c r="F369" s="70">
        <v>50</v>
      </c>
      <c r="G369" s="67"/>
      <c r="H369" s="71"/>
      <c r="I369" s="72"/>
      <c r="J369" s="72"/>
      <c r="K369" s="34" t="s">
        <v>65</v>
      </c>
      <c r="L369" s="79">
        <v>369</v>
      </c>
      <c r="M369" s="79"/>
      <c r="N369" s="74"/>
      <c r="O369" s="81" t="s">
        <v>653</v>
      </c>
      <c r="P369">
        <v>1</v>
      </c>
      <c r="Q369" s="80" t="str">
        <f>REPLACE(INDEX(GroupVertices[Group],MATCH(Edges[[#This Row],[Vertex 1]],GroupVertices[Vertex],0)),1,1,"")</f>
        <v>1</v>
      </c>
      <c r="R369" s="80" t="str">
        <f>REPLACE(INDEX(GroupVertices[Group],MATCH(Edges[[#This Row],[Vertex 2]],GroupVertices[Vertex],0)),1,1,"")</f>
        <v>6</v>
      </c>
      <c r="S369" s="34"/>
      <c r="T369" s="34"/>
      <c r="U369" s="34"/>
      <c r="V369" s="34"/>
      <c r="W369" s="34"/>
      <c r="X369" s="34"/>
      <c r="Y369" s="34"/>
      <c r="Z369" s="34"/>
      <c r="AA369" s="34"/>
    </row>
    <row r="370" spans="1:27" ht="15">
      <c r="A370" s="66" t="s">
        <v>325</v>
      </c>
      <c r="B370" s="66" t="s">
        <v>609</v>
      </c>
      <c r="C370" s="67" t="s">
        <v>3495</v>
      </c>
      <c r="D370" s="68">
        <v>3</v>
      </c>
      <c r="E370" s="69"/>
      <c r="F370" s="70">
        <v>50</v>
      </c>
      <c r="G370" s="67"/>
      <c r="H370" s="71"/>
      <c r="I370" s="72"/>
      <c r="J370" s="72"/>
      <c r="K370" s="34" t="s">
        <v>65</v>
      </c>
      <c r="L370" s="79">
        <v>370</v>
      </c>
      <c r="M370" s="79"/>
      <c r="N370" s="74"/>
      <c r="O370" s="81" t="s">
        <v>653</v>
      </c>
      <c r="P370">
        <v>1</v>
      </c>
      <c r="Q370" s="80" t="str">
        <f>REPLACE(INDEX(GroupVertices[Group],MATCH(Edges[[#This Row],[Vertex 1]],GroupVertices[Vertex],0)),1,1,"")</f>
        <v>1</v>
      </c>
      <c r="R370" s="80" t="str">
        <f>REPLACE(INDEX(GroupVertices[Group],MATCH(Edges[[#This Row],[Vertex 2]],GroupVertices[Vertex],0)),1,1,"")</f>
        <v>1</v>
      </c>
      <c r="S370" s="34"/>
      <c r="T370" s="34"/>
      <c r="U370" s="34"/>
      <c r="V370" s="34"/>
      <c r="W370" s="34"/>
      <c r="X370" s="34"/>
      <c r="Y370" s="34"/>
      <c r="Z370" s="34"/>
      <c r="AA370" s="34"/>
    </row>
    <row r="371" spans="1:27" ht="15">
      <c r="A371" s="66" t="s">
        <v>325</v>
      </c>
      <c r="B371" s="66" t="s">
        <v>610</v>
      </c>
      <c r="C371" s="67" t="s">
        <v>3495</v>
      </c>
      <c r="D371" s="68">
        <v>3</v>
      </c>
      <c r="E371" s="69"/>
      <c r="F371" s="70">
        <v>50</v>
      </c>
      <c r="G371" s="67"/>
      <c r="H371" s="71"/>
      <c r="I371" s="72"/>
      <c r="J371" s="72"/>
      <c r="K371" s="34" t="s">
        <v>65</v>
      </c>
      <c r="L371" s="79">
        <v>371</v>
      </c>
      <c r="M371" s="79"/>
      <c r="N371" s="74"/>
      <c r="O371" s="81" t="s">
        <v>653</v>
      </c>
      <c r="P371">
        <v>1</v>
      </c>
      <c r="Q371" s="80" t="str">
        <f>REPLACE(INDEX(GroupVertices[Group],MATCH(Edges[[#This Row],[Vertex 1]],GroupVertices[Vertex],0)),1,1,"")</f>
        <v>1</v>
      </c>
      <c r="R371" s="80" t="str">
        <f>REPLACE(INDEX(GroupVertices[Group],MATCH(Edges[[#This Row],[Vertex 2]],GroupVertices[Vertex],0)),1,1,"")</f>
        <v>1</v>
      </c>
      <c r="S371" s="34"/>
      <c r="T371" s="34"/>
      <c r="U371" s="34"/>
      <c r="V371" s="34"/>
      <c r="W371" s="34"/>
      <c r="X371" s="34"/>
      <c r="Y371" s="34"/>
      <c r="Z371" s="34"/>
      <c r="AA371" s="34"/>
    </row>
    <row r="372" spans="1:27" ht="15">
      <c r="A372" s="66" t="s">
        <v>325</v>
      </c>
      <c r="B372" s="66" t="s">
        <v>538</v>
      </c>
      <c r="C372" s="67" t="s">
        <v>3495</v>
      </c>
      <c r="D372" s="68">
        <v>3</v>
      </c>
      <c r="E372" s="69"/>
      <c r="F372" s="70">
        <v>50</v>
      </c>
      <c r="G372" s="67"/>
      <c r="H372" s="71"/>
      <c r="I372" s="72"/>
      <c r="J372" s="72"/>
      <c r="K372" s="34" t="s">
        <v>65</v>
      </c>
      <c r="L372" s="79">
        <v>372</v>
      </c>
      <c r="M372" s="79"/>
      <c r="N372" s="74"/>
      <c r="O372" s="81" t="s">
        <v>653</v>
      </c>
      <c r="P372">
        <v>1</v>
      </c>
      <c r="Q372" s="80" t="str">
        <f>REPLACE(INDEX(GroupVertices[Group],MATCH(Edges[[#This Row],[Vertex 1]],GroupVertices[Vertex],0)),1,1,"")</f>
        <v>1</v>
      </c>
      <c r="R372" s="80" t="str">
        <f>REPLACE(INDEX(GroupVertices[Group],MATCH(Edges[[#This Row],[Vertex 2]],GroupVertices[Vertex],0)),1,1,"")</f>
        <v>1</v>
      </c>
      <c r="S372" s="34"/>
      <c r="T372" s="34"/>
      <c r="U372" s="34"/>
      <c r="V372" s="34"/>
      <c r="W372" s="34"/>
      <c r="X372" s="34"/>
      <c r="Y372" s="34"/>
      <c r="Z372" s="34"/>
      <c r="AA372" s="34"/>
    </row>
    <row r="373" spans="1:27" ht="15">
      <c r="A373" s="66" t="s">
        <v>329</v>
      </c>
      <c r="B373" s="66" t="s">
        <v>325</v>
      </c>
      <c r="C373" s="67" t="s">
        <v>3495</v>
      </c>
      <c r="D373" s="68">
        <v>3</v>
      </c>
      <c r="E373" s="69"/>
      <c r="F373" s="70">
        <v>50</v>
      </c>
      <c r="G373" s="67"/>
      <c r="H373" s="71"/>
      <c r="I373" s="72"/>
      <c r="J373" s="72"/>
      <c r="K373" s="34" t="s">
        <v>66</v>
      </c>
      <c r="L373" s="79">
        <v>373</v>
      </c>
      <c r="M373" s="79"/>
      <c r="N373" s="74"/>
      <c r="O373" s="81" t="s">
        <v>653</v>
      </c>
      <c r="P373">
        <v>1</v>
      </c>
      <c r="Q373" s="80" t="str">
        <f>REPLACE(INDEX(GroupVertices[Group],MATCH(Edges[[#This Row],[Vertex 1]],GroupVertices[Vertex],0)),1,1,"")</f>
        <v>1</v>
      </c>
      <c r="R373" s="80" t="str">
        <f>REPLACE(INDEX(GroupVertices[Group],MATCH(Edges[[#This Row],[Vertex 2]],GroupVertices[Vertex],0)),1,1,"")</f>
        <v>1</v>
      </c>
      <c r="S373" s="34"/>
      <c r="T373" s="34"/>
      <c r="U373" s="34"/>
      <c r="V373" s="34"/>
      <c r="W373" s="34"/>
      <c r="X373" s="34"/>
      <c r="Y373" s="34"/>
      <c r="Z373" s="34"/>
      <c r="AA373" s="34"/>
    </row>
    <row r="374" spans="1:27" ht="15">
      <c r="A374" s="66" t="s">
        <v>328</v>
      </c>
      <c r="B374" s="66" t="s">
        <v>525</v>
      </c>
      <c r="C374" s="67" t="s">
        <v>3495</v>
      </c>
      <c r="D374" s="68">
        <v>3</v>
      </c>
      <c r="E374" s="69"/>
      <c r="F374" s="70">
        <v>50</v>
      </c>
      <c r="G374" s="67"/>
      <c r="H374" s="71"/>
      <c r="I374" s="72"/>
      <c r="J374" s="72"/>
      <c r="K374" s="34" t="s">
        <v>65</v>
      </c>
      <c r="L374" s="79">
        <v>374</v>
      </c>
      <c r="M374" s="79"/>
      <c r="N374" s="74"/>
      <c r="O374" s="81" t="s">
        <v>653</v>
      </c>
      <c r="P374">
        <v>1</v>
      </c>
      <c r="Q374" s="80" t="str">
        <f>REPLACE(INDEX(GroupVertices[Group],MATCH(Edges[[#This Row],[Vertex 1]],GroupVertices[Vertex],0)),1,1,"")</f>
        <v>5</v>
      </c>
      <c r="R374" s="80" t="str">
        <f>REPLACE(INDEX(GroupVertices[Group],MATCH(Edges[[#This Row],[Vertex 2]],GroupVertices[Vertex],0)),1,1,"")</f>
        <v>8</v>
      </c>
      <c r="S374" s="34"/>
      <c r="T374" s="34"/>
      <c r="U374" s="34"/>
      <c r="V374" s="34"/>
      <c r="W374" s="34"/>
      <c r="X374" s="34"/>
      <c r="Y374" s="34"/>
      <c r="Z374" s="34"/>
      <c r="AA374" s="34"/>
    </row>
    <row r="375" spans="1:27" ht="15">
      <c r="A375" s="66" t="s">
        <v>329</v>
      </c>
      <c r="B375" s="66" t="s">
        <v>525</v>
      </c>
      <c r="C375" s="67" t="s">
        <v>3495</v>
      </c>
      <c r="D375" s="68">
        <v>3</v>
      </c>
      <c r="E375" s="69"/>
      <c r="F375" s="70">
        <v>50</v>
      </c>
      <c r="G375" s="67"/>
      <c r="H375" s="71"/>
      <c r="I375" s="72"/>
      <c r="J375" s="72"/>
      <c r="K375" s="34" t="s">
        <v>65</v>
      </c>
      <c r="L375" s="79">
        <v>375</v>
      </c>
      <c r="M375" s="79"/>
      <c r="N375" s="74"/>
      <c r="O375" s="81" t="s">
        <v>653</v>
      </c>
      <c r="P375">
        <v>1</v>
      </c>
      <c r="Q375" s="80" t="str">
        <f>REPLACE(INDEX(GroupVertices[Group],MATCH(Edges[[#This Row],[Vertex 1]],GroupVertices[Vertex],0)),1,1,"")</f>
        <v>1</v>
      </c>
      <c r="R375" s="80" t="str">
        <f>REPLACE(INDEX(GroupVertices[Group],MATCH(Edges[[#This Row],[Vertex 2]],GroupVertices[Vertex],0)),1,1,"")</f>
        <v>8</v>
      </c>
      <c r="S375" s="34"/>
      <c r="T375" s="34"/>
      <c r="U375" s="34"/>
      <c r="V375" s="34"/>
      <c r="W375" s="34"/>
      <c r="X375" s="34"/>
      <c r="Y375" s="34"/>
      <c r="Z375" s="34"/>
      <c r="AA375" s="34"/>
    </row>
    <row r="376" spans="1:27" ht="15">
      <c r="A376" s="66" t="s">
        <v>329</v>
      </c>
      <c r="B376" s="66" t="s">
        <v>611</v>
      </c>
      <c r="C376" s="67" t="s">
        <v>3495</v>
      </c>
      <c r="D376" s="68">
        <v>3</v>
      </c>
      <c r="E376" s="69"/>
      <c r="F376" s="70">
        <v>50</v>
      </c>
      <c r="G376" s="67"/>
      <c r="H376" s="71"/>
      <c r="I376" s="72"/>
      <c r="J376" s="72"/>
      <c r="K376" s="34" t="s">
        <v>65</v>
      </c>
      <c r="L376" s="79">
        <v>376</v>
      </c>
      <c r="M376" s="79"/>
      <c r="N376" s="74"/>
      <c r="O376" s="81" t="s">
        <v>653</v>
      </c>
      <c r="P376">
        <v>1</v>
      </c>
      <c r="Q376" s="80" t="str">
        <f>REPLACE(INDEX(GroupVertices[Group],MATCH(Edges[[#This Row],[Vertex 1]],GroupVertices[Vertex],0)),1,1,"")</f>
        <v>1</v>
      </c>
      <c r="R376" s="80" t="str">
        <f>REPLACE(INDEX(GroupVertices[Group],MATCH(Edges[[#This Row],[Vertex 2]],GroupVertices[Vertex],0)),1,1,"")</f>
        <v>1</v>
      </c>
      <c r="S376" s="34"/>
      <c r="T376" s="34"/>
      <c r="U376" s="34"/>
      <c r="V376" s="34"/>
      <c r="W376" s="34"/>
      <c r="X376" s="34"/>
      <c r="Y376" s="34"/>
      <c r="Z376" s="34"/>
      <c r="AA376" s="34"/>
    </row>
    <row r="377" spans="1:27" ht="15">
      <c r="A377" s="66" t="s">
        <v>329</v>
      </c>
      <c r="B377" s="66" t="s">
        <v>612</v>
      </c>
      <c r="C377" s="67" t="s">
        <v>3495</v>
      </c>
      <c r="D377" s="68">
        <v>3</v>
      </c>
      <c r="E377" s="69"/>
      <c r="F377" s="70">
        <v>50</v>
      </c>
      <c r="G377" s="67"/>
      <c r="H377" s="71"/>
      <c r="I377" s="72"/>
      <c r="J377" s="72"/>
      <c r="K377" s="34" t="s">
        <v>65</v>
      </c>
      <c r="L377" s="79">
        <v>377</v>
      </c>
      <c r="M377" s="79"/>
      <c r="N377" s="74"/>
      <c r="O377" s="81" t="s">
        <v>653</v>
      </c>
      <c r="P377">
        <v>1</v>
      </c>
      <c r="Q377" s="80" t="str">
        <f>REPLACE(INDEX(GroupVertices[Group],MATCH(Edges[[#This Row],[Vertex 1]],GroupVertices[Vertex],0)),1,1,"")</f>
        <v>1</v>
      </c>
      <c r="R377" s="80" t="str">
        <f>REPLACE(INDEX(GroupVertices[Group],MATCH(Edges[[#This Row],[Vertex 2]],GroupVertices[Vertex],0)),1,1,"")</f>
        <v>1</v>
      </c>
      <c r="S377" s="34"/>
      <c r="T377" s="34"/>
      <c r="U377" s="34"/>
      <c r="V377" s="34"/>
      <c r="W377" s="34"/>
      <c r="X377" s="34"/>
      <c r="Y377" s="34"/>
      <c r="Z377" s="34"/>
      <c r="AA377" s="34"/>
    </row>
    <row r="378" spans="1:27" ht="15">
      <c r="A378" s="66" t="s">
        <v>329</v>
      </c>
      <c r="B378" s="66" t="s">
        <v>613</v>
      </c>
      <c r="C378" s="67" t="s">
        <v>3495</v>
      </c>
      <c r="D378" s="68">
        <v>3</v>
      </c>
      <c r="E378" s="69"/>
      <c r="F378" s="70">
        <v>50</v>
      </c>
      <c r="G378" s="67"/>
      <c r="H378" s="71"/>
      <c r="I378" s="72"/>
      <c r="J378" s="72"/>
      <c r="K378" s="34" t="s">
        <v>65</v>
      </c>
      <c r="L378" s="79">
        <v>378</v>
      </c>
      <c r="M378" s="79"/>
      <c r="N378" s="74"/>
      <c r="O378" s="81" t="s">
        <v>653</v>
      </c>
      <c r="P378">
        <v>1</v>
      </c>
      <c r="Q378" s="80" t="str">
        <f>REPLACE(INDEX(GroupVertices[Group],MATCH(Edges[[#This Row],[Vertex 1]],GroupVertices[Vertex],0)),1,1,"")</f>
        <v>1</v>
      </c>
      <c r="R378" s="80" t="str">
        <f>REPLACE(INDEX(GroupVertices[Group],MATCH(Edges[[#This Row],[Vertex 2]],GroupVertices[Vertex],0)),1,1,"")</f>
        <v>1</v>
      </c>
      <c r="S378" s="34"/>
      <c r="T378" s="34"/>
      <c r="U378" s="34"/>
      <c r="V378" s="34"/>
      <c r="W378" s="34"/>
      <c r="X378" s="34"/>
      <c r="Y378" s="34"/>
      <c r="Z378" s="34"/>
      <c r="AA378" s="34"/>
    </row>
    <row r="379" spans="1:27" ht="15">
      <c r="A379" s="66" t="s">
        <v>329</v>
      </c>
      <c r="B379" s="66" t="s">
        <v>609</v>
      </c>
      <c r="C379" s="67" t="s">
        <v>3495</v>
      </c>
      <c r="D379" s="68">
        <v>3</v>
      </c>
      <c r="E379" s="69"/>
      <c r="F379" s="70">
        <v>50</v>
      </c>
      <c r="G379" s="67"/>
      <c r="H379" s="71"/>
      <c r="I379" s="72"/>
      <c r="J379" s="72"/>
      <c r="K379" s="34" t="s">
        <v>65</v>
      </c>
      <c r="L379" s="79">
        <v>379</v>
      </c>
      <c r="M379" s="79"/>
      <c r="N379" s="74"/>
      <c r="O379" s="81" t="s">
        <v>653</v>
      </c>
      <c r="P379">
        <v>1</v>
      </c>
      <c r="Q379" s="80" t="str">
        <f>REPLACE(INDEX(GroupVertices[Group],MATCH(Edges[[#This Row],[Vertex 1]],GroupVertices[Vertex],0)),1,1,"")</f>
        <v>1</v>
      </c>
      <c r="R379" s="80" t="str">
        <f>REPLACE(INDEX(GroupVertices[Group],MATCH(Edges[[#This Row],[Vertex 2]],GroupVertices[Vertex],0)),1,1,"")</f>
        <v>1</v>
      </c>
      <c r="S379" s="34"/>
      <c r="T379" s="34"/>
      <c r="U379" s="34"/>
      <c r="V379" s="34"/>
      <c r="W379" s="34"/>
      <c r="X379" s="34"/>
      <c r="Y379" s="34"/>
      <c r="Z379" s="34"/>
      <c r="AA379" s="34"/>
    </row>
    <row r="380" spans="1:27" ht="15">
      <c r="A380" s="66" t="s">
        <v>329</v>
      </c>
      <c r="B380" s="66" t="s">
        <v>416</v>
      </c>
      <c r="C380" s="67" t="s">
        <v>3495</v>
      </c>
      <c r="D380" s="68">
        <v>3</v>
      </c>
      <c r="E380" s="69"/>
      <c r="F380" s="70">
        <v>50</v>
      </c>
      <c r="G380" s="67"/>
      <c r="H380" s="71"/>
      <c r="I380" s="72"/>
      <c r="J380" s="72"/>
      <c r="K380" s="34" t="s">
        <v>65</v>
      </c>
      <c r="L380" s="79">
        <v>380</v>
      </c>
      <c r="M380" s="79"/>
      <c r="N380" s="74"/>
      <c r="O380" s="81" t="s">
        <v>653</v>
      </c>
      <c r="P380">
        <v>1</v>
      </c>
      <c r="Q380" s="80" t="str">
        <f>REPLACE(INDEX(GroupVertices[Group],MATCH(Edges[[#This Row],[Vertex 1]],GroupVertices[Vertex],0)),1,1,"")</f>
        <v>1</v>
      </c>
      <c r="R380" s="80" t="str">
        <f>REPLACE(INDEX(GroupVertices[Group],MATCH(Edges[[#This Row],[Vertex 2]],GroupVertices[Vertex],0)),1,1,"")</f>
        <v>1</v>
      </c>
      <c r="S380" s="34"/>
      <c r="T380" s="34"/>
      <c r="U380" s="34"/>
      <c r="V380" s="34"/>
      <c r="W380" s="34"/>
      <c r="X380" s="34"/>
      <c r="Y380" s="34"/>
      <c r="Z380" s="34"/>
      <c r="AA380" s="34"/>
    </row>
    <row r="381" spans="1:27" ht="15">
      <c r="A381" s="66" t="s">
        <v>329</v>
      </c>
      <c r="B381" s="66" t="s">
        <v>610</v>
      </c>
      <c r="C381" s="67" t="s">
        <v>3495</v>
      </c>
      <c r="D381" s="68">
        <v>3</v>
      </c>
      <c r="E381" s="69"/>
      <c r="F381" s="70">
        <v>50</v>
      </c>
      <c r="G381" s="67"/>
      <c r="H381" s="71"/>
      <c r="I381" s="72"/>
      <c r="J381" s="72"/>
      <c r="K381" s="34" t="s">
        <v>65</v>
      </c>
      <c r="L381" s="79">
        <v>381</v>
      </c>
      <c r="M381" s="79"/>
      <c r="N381" s="74"/>
      <c r="O381" s="81" t="s">
        <v>653</v>
      </c>
      <c r="P381">
        <v>1</v>
      </c>
      <c r="Q381" s="80" t="str">
        <f>REPLACE(INDEX(GroupVertices[Group],MATCH(Edges[[#This Row],[Vertex 1]],GroupVertices[Vertex],0)),1,1,"")</f>
        <v>1</v>
      </c>
      <c r="R381" s="80" t="str">
        <f>REPLACE(INDEX(GroupVertices[Group],MATCH(Edges[[#This Row],[Vertex 2]],GroupVertices[Vertex],0)),1,1,"")</f>
        <v>1</v>
      </c>
      <c r="S381" s="34"/>
      <c r="T381" s="34"/>
      <c r="U381" s="34"/>
      <c r="V381" s="34"/>
      <c r="W381" s="34"/>
      <c r="X381" s="34"/>
      <c r="Y381" s="34"/>
      <c r="Z381" s="34"/>
      <c r="AA381" s="34"/>
    </row>
    <row r="382" spans="1:27" ht="15">
      <c r="A382" s="66" t="s">
        <v>328</v>
      </c>
      <c r="B382" s="66" t="s">
        <v>329</v>
      </c>
      <c r="C382" s="67" t="s">
        <v>3495</v>
      </c>
      <c r="D382" s="68">
        <v>3</v>
      </c>
      <c r="E382" s="69"/>
      <c r="F382" s="70">
        <v>50</v>
      </c>
      <c r="G382" s="67"/>
      <c r="H382" s="71"/>
      <c r="I382" s="72"/>
      <c r="J382" s="72"/>
      <c r="K382" s="34" t="s">
        <v>66</v>
      </c>
      <c r="L382" s="79">
        <v>382</v>
      </c>
      <c r="M382" s="79"/>
      <c r="N382" s="74"/>
      <c r="O382" s="81" t="s">
        <v>653</v>
      </c>
      <c r="P382">
        <v>1</v>
      </c>
      <c r="Q382" s="80" t="str">
        <f>REPLACE(INDEX(GroupVertices[Group],MATCH(Edges[[#This Row],[Vertex 1]],GroupVertices[Vertex],0)),1,1,"")</f>
        <v>5</v>
      </c>
      <c r="R382" s="80" t="str">
        <f>REPLACE(INDEX(GroupVertices[Group],MATCH(Edges[[#This Row],[Vertex 2]],GroupVertices[Vertex],0)),1,1,"")</f>
        <v>1</v>
      </c>
      <c r="S382" s="34"/>
      <c r="T382" s="34"/>
      <c r="U382" s="34"/>
      <c r="V382" s="34"/>
      <c r="W382" s="34"/>
      <c r="X382" s="34"/>
      <c r="Y382" s="34"/>
      <c r="Z382" s="34"/>
      <c r="AA382" s="34"/>
    </row>
    <row r="383" spans="1:27" ht="15">
      <c r="A383" s="66" t="s">
        <v>329</v>
      </c>
      <c r="B383" s="66" t="s">
        <v>328</v>
      </c>
      <c r="C383" s="67" t="s">
        <v>3495</v>
      </c>
      <c r="D383" s="68">
        <v>3</v>
      </c>
      <c r="E383" s="69"/>
      <c r="F383" s="70">
        <v>50</v>
      </c>
      <c r="G383" s="67"/>
      <c r="H383" s="71"/>
      <c r="I383" s="72"/>
      <c r="J383" s="72"/>
      <c r="K383" s="34" t="s">
        <v>66</v>
      </c>
      <c r="L383" s="79">
        <v>383</v>
      </c>
      <c r="M383" s="79"/>
      <c r="N383" s="74"/>
      <c r="O383" s="81" t="s">
        <v>653</v>
      </c>
      <c r="P383">
        <v>1</v>
      </c>
      <c r="Q383" s="80" t="str">
        <f>REPLACE(INDEX(GroupVertices[Group],MATCH(Edges[[#This Row],[Vertex 1]],GroupVertices[Vertex],0)),1,1,"")</f>
        <v>1</v>
      </c>
      <c r="R383" s="80" t="str">
        <f>REPLACE(INDEX(GroupVertices[Group],MATCH(Edges[[#This Row],[Vertex 2]],GroupVertices[Vertex],0)),1,1,"")</f>
        <v>5</v>
      </c>
      <c r="S383" s="34"/>
      <c r="T383" s="34"/>
      <c r="U383" s="34"/>
      <c r="V383" s="34"/>
      <c r="W383" s="34"/>
      <c r="X383" s="34"/>
      <c r="Y383" s="34"/>
      <c r="Z383" s="34"/>
      <c r="AA383" s="34"/>
    </row>
    <row r="384" spans="1:27" ht="15">
      <c r="A384" s="66" t="s">
        <v>329</v>
      </c>
      <c r="B384" s="66" t="s">
        <v>536</v>
      </c>
      <c r="C384" s="67" t="s">
        <v>3495</v>
      </c>
      <c r="D384" s="68">
        <v>3</v>
      </c>
      <c r="E384" s="69"/>
      <c r="F384" s="70">
        <v>50</v>
      </c>
      <c r="G384" s="67"/>
      <c r="H384" s="71"/>
      <c r="I384" s="72"/>
      <c r="J384" s="72"/>
      <c r="K384" s="34" t="s">
        <v>65</v>
      </c>
      <c r="L384" s="79">
        <v>384</v>
      </c>
      <c r="M384" s="79"/>
      <c r="N384" s="74"/>
      <c r="O384" s="81" t="s">
        <v>653</v>
      </c>
      <c r="P384">
        <v>1</v>
      </c>
      <c r="Q384" s="80" t="str">
        <f>REPLACE(INDEX(GroupVertices[Group],MATCH(Edges[[#This Row],[Vertex 1]],GroupVertices[Vertex],0)),1,1,"")</f>
        <v>1</v>
      </c>
      <c r="R384" s="80" t="str">
        <f>REPLACE(INDEX(GroupVertices[Group],MATCH(Edges[[#This Row],[Vertex 2]],GroupVertices[Vertex],0)),1,1,"")</f>
        <v>5</v>
      </c>
      <c r="S384" s="34"/>
      <c r="T384" s="34"/>
      <c r="U384" s="34"/>
      <c r="V384" s="34"/>
      <c r="W384" s="34"/>
      <c r="X384" s="34"/>
      <c r="Y384" s="34"/>
      <c r="Z384" s="34"/>
      <c r="AA384" s="34"/>
    </row>
    <row r="385" spans="1:27" ht="15">
      <c r="A385" s="66" t="s">
        <v>329</v>
      </c>
      <c r="B385" s="66" t="s">
        <v>322</v>
      </c>
      <c r="C385" s="67" t="s">
        <v>3495</v>
      </c>
      <c r="D385" s="68">
        <v>3</v>
      </c>
      <c r="E385" s="69"/>
      <c r="F385" s="70">
        <v>50</v>
      </c>
      <c r="G385" s="67"/>
      <c r="H385" s="71"/>
      <c r="I385" s="72"/>
      <c r="J385" s="72"/>
      <c r="K385" s="34" t="s">
        <v>65</v>
      </c>
      <c r="L385" s="79">
        <v>385</v>
      </c>
      <c r="M385" s="79"/>
      <c r="N385" s="74"/>
      <c r="O385" s="81" t="s">
        <v>653</v>
      </c>
      <c r="P385">
        <v>1</v>
      </c>
      <c r="Q385" s="80" t="str">
        <f>REPLACE(INDEX(GroupVertices[Group],MATCH(Edges[[#This Row],[Vertex 1]],GroupVertices[Vertex],0)),1,1,"")</f>
        <v>1</v>
      </c>
      <c r="R385" s="80" t="str">
        <f>REPLACE(INDEX(GroupVertices[Group],MATCH(Edges[[#This Row],[Vertex 2]],GroupVertices[Vertex],0)),1,1,"")</f>
        <v>3</v>
      </c>
      <c r="S385" s="34"/>
      <c r="T385" s="34"/>
      <c r="U385" s="34"/>
      <c r="V385" s="34"/>
      <c r="W385" s="34"/>
      <c r="X385" s="34"/>
      <c r="Y385" s="34"/>
      <c r="Z385" s="34"/>
      <c r="AA385" s="34"/>
    </row>
    <row r="386" spans="1:27" ht="15">
      <c r="A386" s="66" t="s">
        <v>329</v>
      </c>
      <c r="B386" s="66" t="s">
        <v>418</v>
      </c>
      <c r="C386" s="67" t="s">
        <v>3495</v>
      </c>
      <c r="D386" s="68">
        <v>3</v>
      </c>
      <c r="E386" s="69"/>
      <c r="F386" s="70">
        <v>50</v>
      </c>
      <c r="G386" s="67"/>
      <c r="H386" s="71"/>
      <c r="I386" s="72"/>
      <c r="J386" s="72"/>
      <c r="K386" s="34" t="s">
        <v>65</v>
      </c>
      <c r="L386" s="79">
        <v>386</v>
      </c>
      <c r="M386" s="79"/>
      <c r="N386" s="74"/>
      <c r="O386" s="81" t="s">
        <v>653</v>
      </c>
      <c r="P386">
        <v>1</v>
      </c>
      <c r="Q386" s="80" t="str">
        <f>REPLACE(INDEX(GroupVertices[Group],MATCH(Edges[[#This Row],[Vertex 1]],GroupVertices[Vertex],0)),1,1,"")</f>
        <v>1</v>
      </c>
      <c r="R386" s="80" t="str">
        <f>REPLACE(INDEX(GroupVertices[Group],MATCH(Edges[[#This Row],[Vertex 2]],GroupVertices[Vertex],0)),1,1,"")</f>
        <v>1</v>
      </c>
      <c r="S386" s="34"/>
      <c r="T386" s="34"/>
      <c r="U386" s="34"/>
      <c r="V386" s="34"/>
      <c r="W386" s="34"/>
      <c r="X386" s="34"/>
      <c r="Y386" s="34"/>
      <c r="Z386" s="34"/>
      <c r="AA386" s="34"/>
    </row>
    <row r="387" spans="1:27" ht="15">
      <c r="A387" s="66" t="s">
        <v>329</v>
      </c>
      <c r="B387" s="66" t="s">
        <v>330</v>
      </c>
      <c r="C387" s="67" t="s">
        <v>3495</v>
      </c>
      <c r="D387" s="68">
        <v>3</v>
      </c>
      <c r="E387" s="69"/>
      <c r="F387" s="70">
        <v>50</v>
      </c>
      <c r="G387" s="67"/>
      <c r="H387" s="71"/>
      <c r="I387" s="72"/>
      <c r="J387" s="72"/>
      <c r="K387" s="34" t="s">
        <v>65</v>
      </c>
      <c r="L387" s="79">
        <v>387</v>
      </c>
      <c r="M387" s="79"/>
      <c r="N387" s="74"/>
      <c r="O387" s="81" t="s">
        <v>653</v>
      </c>
      <c r="P387">
        <v>1</v>
      </c>
      <c r="Q387" s="80" t="str">
        <f>REPLACE(INDEX(GroupVertices[Group],MATCH(Edges[[#This Row],[Vertex 1]],GroupVertices[Vertex],0)),1,1,"")</f>
        <v>1</v>
      </c>
      <c r="R387" s="80" t="str">
        <f>REPLACE(INDEX(GroupVertices[Group],MATCH(Edges[[#This Row],[Vertex 2]],GroupVertices[Vertex],0)),1,1,"")</f>
        <v>4</v>
      </c>
      <c r="S387" s="34"/>
      <c r="T387" s="34"/>
      <c r="U387" s="34"/>
      <c r="V387" s="34"/>
      <c r="W387" s="34"/>
      <c r="X387" s="34"/>
      <c r="Y387" s="34"/>
      <c r="Z387" s="34"/>
      <c r="AA387" s="34"/>
    </row>
    <row r="388" spans="1:27" ht="15">
      <c r="A388" s="66" t="s">
        <v>329</v>
      </c>
      <c r="B388" s="66" t="s">
        <v>422</v>
      </c>
      <c r="C388" s="67" t="s">
        <v>3495</v>
      </c>
      <c r="D388" s="68">
        <v>3</v>
      </c>
      <c r="E388" s="69"/>
      <c r="F388" s="70">
        <v>50</v>
      </c>
      <c r="G388" s="67"/>
      <c r="H388" s="71"/>
      <c r="I388" s="72"/>
      <c r="J388" s="72"/>
      <c r="K388" s="34" t="s">
        <v>65</v>
      </c>
      <c r="L388" s="79">
        <v>388</v>
      </c>
      <c r="M388" s="79"/>
      <c r="N388" s="74"/>
      <c r="O388" s="81" t="s">
        <v>653</v>
      </c>
      <c r="P388">
        <v>1</v>
      </c>
      <c r="Q388" s="80" t="str">
        <f>REPLACE(INDEX(GroupVertices[Group],MATCH(Edges[[#This Row],[Vertex 1]],GroupVertices[Vertex],0)),1,1,"")</f>
        <v>1</v>
      </c>
      <c r="R388" s="80" t="str">
        <f>REPLACE(INDEX(GroupVertices[Group],MATCH(Edges[[#This Row],[Vertex 2]],GroupVertices[Vertex],0)),1,1,"")</f>
        <v>1</v>
      </c>
      <c r="S388" s="34"/>
      <c r="T388" s="34"/>
      <c r="U388" s="34"/>
      <c r="V388" s="34"/>
      <c r="W388" s="34"/>
      <c r="X388" s="34"/>
      <c r="Y388" s="34"/>
      <c r="Z388" s="34"/>
      <c r="AA388" s="34"/>
    </row>
    <row r="389" spans="1:27" ht="15">
      <c r="A389" s="66" t="s">
        <v>329</v>
      </c>
      <c r="B389" s="66" t="s">
        <v>419</v>
      </c>
      <c r="C389" s="67" t="s">
        <v>3495</v>
      </c>
      <c r="D389" s="68">
        <v>3</v>
      </c>
      <c r="E389" s="69"/>
      <c r="F389" s="70">
        <v>50</v>
      </c>
      <c r="G389" s="67"/>
      <c r="H389" s="71"/>
      <c r="I389" s="72"/>
      <c r="J389" s="72"/>
      <c r="K389" s="34" t="s">
        <v>65</v>
      </c>
      <c r="L389" s="79">
        <v>389</v>
      </c>
      <c r="M389" s="79"/>
      <c r="N389" s="74"/>
      <c r="O389" s="81" t="s">
        <v>653</v>
      </c>
      <c r="P389">
        <v>1</v>
      </c>
      <c r="Q389" s="80" t="str">
        <f>REPLACE(INDEX(GroupVertices[Group],MATCH(Edges[[#This Row],[Vertex 1]],GroupVertices[Vertex],0)),1,1,"")</f>
        <v>1</v>
      </c>
      <c r="R389" s="80" t="str">
        <f>REPLACE(INDEX(GroupVertices[Group],MATCH(Edges[[#This Row],[Vertex 2]],GroupVertices[Vertex],0)),1,1,"")</f>
        <v>6</v>
      </c>
      <c r="S389" s="34"/>
      <c r="T389" s="34"/>
      <c r="U389" s="34"/>
      <c r="V389" s="34"/>
      <c r="W389" s="34"/>
      <c r="X389" s="34"/>
      <c r="Y389" s="34"/>
      <c r="Z389" s="34"/>
      <c r="AA389" s="34"/>
    </row>
    <row r="390" spans="1:27" ht="15">
      <c r="A390" s="66" t="s">
        <v>329</v>
      </c>
      <c r="B390" s="66" t="s">
        <v>421</v>
      </c>
      <c r="C390" s="67" t="s">
        <v>3495</v>
      </c>
      <c r="D390" s="68">
        <v>3</v>
      </c>
      <c r="E390" s="69"/>
      <c r="F390" s="70">
        <v>50</v>
      </c>
      <c r="G390" s="67"/>
      <c r="H390" s="71"/>
      <c r="I390" s="72"/>
      <c r="J390" s="72"/>
      <c r="K390" s="34" t="s">
        <v>65</v>
      </c>
      <c r="L390" s="79">
        <v>390</v>
      </c>
      <c r="M390" s="79"/>
      <c r="N390" s="74"/>
      <c r="O390" s="81" t="s">
        <v>653</v>
      </c>
      <c r="P390">
        <v>1</v>
      </c>
      <c r="Q390" s="80" t="str">
        <f>REPLACE(INDEX(GroupVertices[Group],MATCH(Edges[[#This Row],[Vertex 1]],GroupVertices[Vertex],0)),1,1,"")</f>
        <v>1</v>
      </c>
      <c r="R390" s="80" t="str">
        <f>REPLACE(INDEX(GroupVertices[Group],MATCH(Edges[[#This Row],[Vertex 2]],GroupVertices[Vertex],0)),1,1,"")</f>
        <v>4</v>
      </c>
      <c r="S390" s="34"/>
      <c r="T390" s="34"/>
      <c r="U390" s="34"/>
      <c r="V390" s="34"/>
      <c r="W390" s="34"/>
      <c r="X390" s="34"/>
      <c r="Y390" s="34"/>
      <c r="Z390" s="34"/>
      <c r="AA390" s="34"/>
    </row>
    <row r="391" spans="1:27" ht="15">
      <c r="A391" s="66" t="s">
        <v>329</v>
      </c>
      <c r="B391" s="66" t="s">
        <v>538</v>
      </c>
      <c r="C391" s="67" t="s">
        <v>3495</v>
      </c>
      <c r="D391" s="68">
        <v>3</v>
      </c>
      <c r="E391" s="69"/>
      <c r="F391" s="70">
        <v>50</v>
      </c>
      <c r="G391" s="67"/>
      <c r="H391" s="71"/>
      <c r="I391" s="72"/>
      <c r="J391" s="72"/>
      <c r="K391" s="34" t="s">
        <v>65</v>
      </c>
      <c r="L391" s="79">
        <v>391</v>
      </c>
      <c r="M391" s="79"/>
      <c r="N391" s="74"/>
      <c r="O391" s="81" t="s">
        <v>653</v>
      </c>
      <c r="P391">
        <v>1</v>
      </c>
      <c r="Q391" s="80" t="str">
        <f>REPLACE(INDEX(GroupVertices[Group],MATCH(Edges[[#This Row],[Vertex 1]],GroupVertices[Vertex],0)),1,1,"")</f>
        <v>1</v>
      </c>
      <c r="R391" s="80" t="str">
        <f>REPLACE(INDEX(GroupVertices[Group],MATCH(Edges[[#This Row],[Vertex 2]],GroupVertices[Vertex],0)),1,1,"")</f>
        <v>1</v>
      </c>
      <c r="S391" s="34"/>
      <c r="T391" s="34"/>
      <c r="U391" s="34"/>
      <c r="V391" s="34"/>
      <c r="W391" s="34"/>
      <c r="X391" s="34"/>
      <c r="Y391" s="34"/>
      <c r="Z391" s="34"/>
      <c r="AA391" s="34"/>
    </row>
    <row r="392" spans="1:27" ht="15">
      <c r="A392" s="66" t="s">
        <v>330</v>
      </c>
      <c r="B392" s="66" t="s">
        <v>614</v>
      </c>
      <c r="C392" s="67" t="s">
        <v>3495</v>
      </c>
      <c r="D392" s="68">
        <v>3</v>
      </c>
      <c r="E392" s="69"/>
      <c r="F392" s="70">
        <v>50</v>
      </c>
      <c r="G392" s="67"/>
      <c r="H392" s="71"/>
      <c r="I392" s="72"/>
      <c r="J392" s="72"/>
      <c r="K392" s="34" t="s">
        <v>65</v>
      </c>
      <c r="L392" s="79">
        <v>392</v>
      </c>
      <c r="M392" s="79"/>
      <c r="N392" s="74"/>
      <c r="O392" s="81" t="s">
        <v>653</v>
      </c>
      <c r="P392">
        <v>1</v>
      </c>
      <c r="Q392" s="80" t="str">
        <f>REPLACE(INDEX(GroupVertices[Group],MATCH(Edges[[#This Row],[Vertex 1]],GroupVertices[Vertex],0)),1,1,"")</f>
        <v>4</v>
      </c>
      <c r="R392" s="80" t="str">
        <f>REPLACE(INDEX(GroupVertices[Group],MATCH(Edges[[#This Row],[Vertex 2]],GroupVertices[Vertex],0)),1,1,"")</f>
        <v>4</v>
      </c>
      <c r="S392" s="34"/>
      <c r="T392" s="34"/>
      <c r="U392" s="34"/>
      <c r="V392" s="34"/>
      <c r="W392" s="34"/>
      <c r="X392" s="34"/>
      <c r="Y392" s="34"/>
      <c r="Z392" s="34"/>
      <c r="AA392" s="34"/>
    </row>
    <row r="393" spans="1:27" ht="15">
      <c r="A393" s="66" t="s">
        <v>330</v>
      </c>
      <c r="B393" s="66" t="s">
        <v>615</v>
      </c>
      <c r="C393" s="67" t="s">
        <v>3495</v>
      </c>
      <c r="D393" s="68">
        <v>3</v>
      </c>
      <c r="E393" s="69"/>
      <c r="F393" s="70">
        <v>50</v>
      </c>
      <c r="G393" s="67"/>
      <c r="H393" s="71"/>
      <c r="I393" s="72"/>
      <c r="J393" s="72"/>
      <c r="K393" s="34" t="s">
        <v>65</v>
      </c>
      <c r="L393" s="79">
        <v>393</v>
      </c>
      <c r="M393" s="79"/>
      <c r="N393" s="74"/>
      <c r="O393" s="81" t="s">
        <v>653</v>
      </c>
      <c r="P393">
        <v>1</v>
      </c>
      <c r="Q393" s="80" t="str">
        <f>REPLACE(INDEX(GroupVertices[Group],MATCH(Edges[[#This Row],[Vertex 1]],GroupVertices[Vertex],0)),1,1,"")</f>
        <v>4</v>
      </c>
      <c r="R393" s="80" t="str">
        <f>REPLACE(INDEX(GroupVertices[Group],MATCH(Edges[[#This Row],[Vertex 2]],GroupVertices[Vertex],0)),1,1,"")</f>
        <v>4</v>
      </c>
      <c r="S393" s="34"/>
      <c r="T393" s="34"/>
      <c r="U393" s="34"/>
      <c r="V393" s="34"/>
      <c r="W393" s="34"/>
      <c r="X393" s="34"/>
      <c r="Y393" s="34"/>
      <c r="Z393" s="34"/>
      <c r="AA393" s="34"/>
    </row>
    <row r="394" spans="1:27" ht="15">
      <c r="A394" s="66" t="s">
        <v>330</v>
      </c>
      <c r="B394" s="66" t="s">
        <v>616</v>
      </c>
      <c r="C394" s="67" t="s">
        <v>3495</v>
      </c>
      <c r="D394" s="68">
        <v>3</v>
      </c>
      <c r="E394" s="69"/>
      <c r="F394" s="70">
        <v>50</v>
      </c>
      <c r="G394" s="67"/>
      <c r="H394" s="71"/>
      <c r="I394" s="72"/>
      <c r="J394" s="72"/>
      <c r="K394" s="34" t="s">
        <v>65</v>
      </c>
      <c r="L394" s="79">
        <v>394</v>
      </c>
      <c r="M394" s="79"/>
      <c r="N394" s="74"/>
      <c r="O394" s="81" t="s">
        <v>653</v>
      </c>
      <c r="P394">
        <v>1</v>
      </c>
      <c r="Q394" s="80" t="str">
        <f>REPLACE(INDEX(GroupVertices[Group],MATCH(Edges[[#This Row],[Vertex 1]],GroupVertices[Vertex],0)),1,1,"")</f>
        <v>4</v>
      </c>
      <c r="R394" s="80" t="str">
        <f>REPLACE(INDEX(GroupVertices[Group],MATCH(Edges[[#This Row],[Vertex 2]],GroupVertices[Vertex],0)),1,1,"")</f>
        <v>4</v>
      </c>
      <c r="S394" s="34"/>
      <c r="T394" s="34"/>
      <c r="U394" s="34"/>
      <c r="V394" s="34"/>
      <c r="W394" s="34"/>
      <c r="X394" s="34"/>
      <c r="Y394" s="34"/>
      <c r="Z394" s="34"/>
      <c r="AA394" s="34"/>
    </row>
    <row r="395" spans="1:27" ht="15">
      <c r="A395" s="66" t="s">
        <v>330</v>
      </c>
      <c r="B395" s="66" t="s">
        <v>617</v>
      </c>
      <c r="C395" s="67" t="s">
        <v>3495</v>
      </c>
      <c r="D395" s="68">
        <v>3</v>
      </c>
      <c r="E395" s="69"/>
      <c r="F395" s="70">
        <v>50</v>
      </c>
      <c r="G395" s="67"/>
      <c r="H395" s="71"/>
      <c r="I395" s="72"/>
      <c r="J395" s="72"/>
      <c r="K395" s="34" t="s">
        <v>65</v>
      </c>
      <c r="L395" s="79">
        <v>395</v>
      </c>
      <c r="M395" s="79"/>
      <c r="N395" s="74"/>
      <c r="O395" s="81" t="s">
        <v>653</v>
      </c>
      <c r="P395">
        <v>1</v>
      </c>
      <c r="Q395" s="80" t="str">
        <f>REPLACE(INDEX(GroupVertices[Group],MATCH(Edges[[#This Row],[Vertex 1]],GroupVertices[Vertex],0)),1,1,"")</f>
        <v>4</v>
      </c>
      <c r="R395" s="80" t="str">
        <f>REPLACE(INDEX(GroupVertices[Group],MATCH(Edges[[#This Row],[Vertex 2]],GroupVertices[Vertex],0)),1,1,"")</f>
        <v>4</v>
      </c>
      <c r="S395" s="34"/>
      <c r="T395" s="34"/>
      <c r="U395" s="34"/>
      <c r="V395" s="34"/>
      <c r="W395" s="34"/>
      <c r="X395" s="34"/>
      <c r="Y395" s="34"/>
      <c r="Z395" s="34"/>
      <c r="AA395" s="34"/>
    </row>
    <row r="396" spans="1:27" ht="15">
      <c r="A396" s="66" t="s">
        <v>330</v>
      </c>
      <c r="B396" s="66" t="s">
        <v>618</v>
      </c>
      <c r="C396" s="67" t="s">
        <v>3495</v>
      </c>
      <c r="D396" s="68">
        <v>3</v>
      </c>
      <c r="E396" s="69"/>
      <c r="F396" s="70">
        <v>50</v>
      </c>
      <c r="G396" s="67"/>
      <c r="H396" s="71"/>
      <c r="I396" s="72"/>
      <c r="J396" s="72"/>
      <c r="K396" s="34" t="s">
        <v>65</v>
      </c>
      <c r="L396" s="79">
        <v>396</v>
      </c>
      <c r="M396" s="79"/>
      <c r="N396" s="74"/>
      <c r="O396" s="81" t="s">
        <v>653</v>
      </c>
      <c r="P396">
        <v>1</v>
      </c>
      <c r="Q396" s="80" t="str">
        <f>REPLACE(INDEX(GroupVertices[Group],MATCH(Edges[[#This Row],[Vertex 1]],GroupVertices[Vertex],0)),1,1,"")</f>
        <v>4</v>
      </c>
      <c r="R396" s="80" t="str">
        <f>REPLACE(INDEX(GroupVertices[Group],MATCH(Edges[[#This Row],[Vertex 2]],GroupVertices[Vertex],0)),1,1,"")</f>
        <v>4</v>
      </c>
      <c r="S396" s="34"/>
      <c r="T396" s="34"/>
      <c r="U396" s="34"/>
      <c r="V396" s="34"/>
      <c r="W396" s="34"/>
      <c r="X396" s="34"/>
      <c r="Y396" s="34"/>
      <c r="Z396" s="34"/>
      <c r="AA396" s="34"/>
    </row>
    <row r="397" spans="1:27" ht="15">
      <c r="A397" s="66" t="s">
        <v>328</v>
      </c>
      <c r="B397" s="66" t="s">
        <v>547</v>
      </c>
      <c r="C397" s="67" t="s">
        <v>3495</v>
      </c>
      <c r="D397" s="68">
        <v>3</v>
      </c>
      <c r="E397" s="69"/>
      <c r="F397" s="70">
        <v>50</v>
      </c>
      <c r="G397" s="67"/>
      <c r="H397" s="71"/>
      <c r="I397" s="72"/>
      <c r="J397" s="72"/>
      <c r="K397" s="34" t="s">
        <v>65</v>
      </c>
      <c r="L397" s="79">
        <v>397</v>
      </c>
      <c r="M397" s="79"/>
      <c r="N397" s="74"/>
      <c r="O397" s="81" t="s">
        <v>653</v>
      </c>
      <c r="P397">
        <v>1</v>
      </c>
      <c r="Q397" s="80" t="str">
        <f>REPLACE(INDEX(GroupVertices[Group],MATCH(Edges[[#This Row],[Vertex 1]],GroupVertices[Vertex],0)),1,1,"")</f>
        <v>5</v>
      </c>
      <c r="R397" s="80" t="str">
        <f>REPLACE(INDEX(GroupVertices[Group],MATCH(Edges[[#This Row],[Vertex 2]],GroupVertices[Vertex],0)),1,1,"")</f>
        <v>7</v>
      </c>
      <c r="S397" s="34"/>
      <c r="T397" s="34"/>
      <c r="U397" s="34"/>
      <c r="V397" s="34"/>
      <c r="W397" s="34"/>
      <c r="X397" s="34"/>
      <c r="Y397" s="34"/>
      <c r="Z397" s="34"/>
      <c r="AA397" s="34"/>
    </row>
    <row r="398" spans="1:27" ht="15">
      <c r="A398" s="66" t="s">
        <v>330</v>
      </c>
      <c r="B398" s="66" t="s">
        <v>547</v>
      </c>
      <c r="C398" s="67" t="s">
        <v>3495</v>
      </c>
      <c r="D398" s="68">
        <v>3</v>
      </c>
      <c r="E398" s="69"/>
      <c r="F398" s="70">
        <v>50</v>
      </c>
      <c r="G398" s="67"/>
      <c r="H398" s="71"/>
      <c r="I398" s="72"/>
      <c r="J398" s="72"/>
      <c r="K398" s="34" t="s">
        <v>65</v>
      </c>
      <c r="L398" s="79">
        <v>398</v>
      </c>
      <c r="M398" s="79"/>
      <c r="N398" s="74"/>
      <c r="O398" s="81" t="s">
        <v>653</v>
      </c>
      <c r="P398">
        <v>1</v>
      </c>
      <c r="Q398" s="80" t="str">
        <f>REPLACE(INDEX(GroupVertices[Group],MATCH(Edges[[#This Row],[Vertex 1]],GroupVertices[Vertex],0)),1,1,"")</f>
        <v>4</v>
      </c>
      <c r="R398" s="80" t="str">
        <f>REPLACE(INDEX(GroupVertices[Group],MATCH(Edges[[#This Row],[Vertex 2]],GroupVertices[Vertex],0)),1,1,"")</f>
        <v>7</v>
      </c>
      <c r="S398" s="34"/>
      <c r="T398" s="34"/>
      <c r="U398" s="34"/>
      <c r="V398" s="34"/>
      <c r="W398" s="34"/>
      <c r="X398" s="34"/>
      <c r="Y398" s="34"/>
      <c r="Z398" s="34"/>
      <c r="AA398" s="34"/>
    </row>
    <row r="399" spans="1:27" ht="15">
      <c r="A399" s="66" t="s">
        <v>330</v>
      </c>
      <c r="B399" s="66" t="s">
        <v>619</v>
      </c>
      <c r="C399" s="67" t="s">
        <v>3495</v>
      </c>
      <c r="D399" s="68">
        <v>3</v>
      </c>
      <c r="E399" s="69"/>
      <c r="F399" s="70">
        <v>50</v>
      </c>
      <c r="G399" s="67"/>
      <c r="H399" s="71"/>
      <c r="I399" s="72"/>
      <c r="J399" s="72"/>
      <c r="K399" s="34" t="s">
        <v>65</v>
      </c>
      <c r="L399" s="79">
        <v>399</v>
      </c>
      <c r="M399" s="79"/>
      <c r="N399" s="74"/>
      <c r="O399" s="81" t="s">
        <v>653</v>
      </c>
      <c r="P399">
        <v>1</v>
      </c>
      <c r="Q399" s="80" t="str">
        <f>REPLACE(INDEX(GroupVertices[Group],MATCH(Edges[[#This Row],[Vertex 1]],GroupVertices[Vertex],0)),1,1,"")</f>
        <v>4</v>
      </c>
      <c r="R399" s="80" t="str">
        <f>REPLACE(INDEX(GroupVertices[Group],MATCH(Edges[[#This Row],[Vertex 2]],GroupVertices[Vertex],0)),1,1,"")</f>
        <v>4</v>
      </c>
      <c r="S399" s="34"/>
      <c r="T399" s="34"/>
      <c r="U399" s="34"/>
      <c r="V399" s="34"/>
      <c r="W399" s="34"/>
      <c r="X399" s="34"/>
      <c r="Y399" s="34"/>
      <c r="Z399" s="34"/>
      <c r="AA399" s="34"/>
    </row>
    <row r="400" spans="1:27" ht="15">
      <c r="A400" s="66" t="s">
        <v>330</v>
      </c>
      <c r="B400" s="66" t="s">
        <v>620</v>
      </c>
      <c r="C400" s="67" t="s">
        <v>3495</v>
      </c>
      <c r="D400" s="68">
        <v>3</v>
      </c>
      <c r="E400" s="69"/>
      <c r="F400" s="70">
        <v>50</v>
      </c>
      <c r="G400" s="67"/>
      <c r="H400" s="71"/>
      <c r="I400" s="72"/>
      <c r="J400" s="72"/>
      <c r="K400" s="34" t="s">
        <v>65</v>
      </c>
      <c r="L400" s="79">
        <v>400</v>
      </c>
      <c r="M400" s="79"/>
      <c r="N400" s="74"/>
      <c r="O400" s="81" t="s">
        <v>653</v>
      </c>
      <c r="P400">
        <v>1</v>
      </c>
      <c r="Q400" s="80" t="str">
        <f>REPLACE(INDEX(GroupVertices[Group],MATCH(Edges[[#This Row],[Vertex 1]],GroupVertices[Vertex],0)),1,1,"")</f>
        <v>4</v>
      </c>
      <c r="R400" s="80" t="str">
        <f>REPLACE(INDEX(GroupVertices[Group],MATCH(Edges[[#This Row],[Vertex 2]],GroupVertices[Vertex],0)),1,1,"")</f>
        <v>4</v>
      </c>
      <c r="S400" s="34"/>
      <c r="T400" s="34"/>
      <c r="U400" s="34"/>
      <c r="V400" s="34"/>
      <c r="W400" s="34"/>
      <c r="X400" s="34"/>
      <c r="Y400" s="34"/>
      <c r="Z400" s="34"/>
      <c r="AA400" s="34"/>
    </row>
    <row r="401" spans="1:27" ht="15">
      <c r="A401" s="66" t="s">
        <v>330</v>
      </c>
      <c r="B401" s="66" t="s">
        <v>621</v>
      </c>
      <c r="C401" s="67" t="s">
        <v>3495</v>
      </c>
      <c r="D401" s="68">
        <v>3</v>
      </c>
      <c r="E401" s="69"/>
      <c r="F401" s="70">
        <v>50</v>
      </c>
      <c r="G401" s="67"/>
      <c r="H401" s="71"/>
      <c r="I401" s="72"/>
      <c r="J401" s="72"/>
      <c r="K401" s="34" t="s">
        <v>65</v>
      </c>
      <c r="L401" s="79">
        <v>401</v>
      </c>
      <c r="M401" s="79"/>
      <c r="N401" s="74"/>
      <c r="O401" s="81" t="s">
        <v>653</v>
      </c>
      <c r="P401">
        <v>1</v>
      </c>
      <c r="Q401" s="80" t="str">
        <f>REPLACE(INDEX(GroupVertices[Group],MATCH(Edges[[#This Row],[Vertex 1]],GroupVertices[Vertex],0)),1,1,"")</f>
        <v>4</v>
      </c>
      <c r="R401" s="80" t="str">
        <f>REPLACE(INDEX(GroupVertices[Group],MATCH(Edges[[#This Row],[Vertex 2]],GroupVertices[Vertex],0)),1,1,"")</f>
        <v>4</v>
      </c>
      <c r="S401" s="34"/>
      <c r="T401" s="34"/>
      <c r="U401" s="34"/>
      <c r="V401" s="34"/>
      <c r="W401" s="34"/>
      <c r="X401" s="34"/>
      <c r="Y401" s="34"/>
      <c r="Z401" s="34"/>
      <c r="AA401" s="34"/>
    </row>
    <row r="402" spans="1:27" ht="15">
      <c r="A402" s="66" t="s">
        <v>330</v>
      </c>
      <c r="B402" s="66" t="s">
        <v>622</v>
      </c>
      <c r="C402" s="67" t="s">
        <v>3495</v>
      </c>
      <c r="D402" s="68">
        <v>3</v>
      </c>
      <c r="E402" s="69"/>
      <c r="F402" s="70">
        <v>50</v>
      </c>
      <c r="G402" s="67"/>
      <c r="H402" s="71"/>
      <c r="I402" s="72"/>
      <c r="J402" s="72"/>
      <c r="K402" s="34" t="s">
        <v>65</v>
      </c>
      <c r="L402" s="79">
        <v>402</v>
      </c>
      <c r="M402" s="79"/>
      <c r="N402" s="74"/>
      <c r="O402" s="81" t="s">
        <v>653</v>
      </c>
      <c r="P402">
        <v>1</v>
      </c>
      <c r="Q402" s="80" t="str">
        <f>REPLACE(INDEX(GroupVertices[Group],MATCH(Edges[[#This Row],[Vertex 1]],GroupVertices[Vertex],0)),1,1,"")</f>
        <v>4</v>
      </c>
      <c r="R402" s="80" t="str">
        <f>REPLACE(INDEX(GroupVertices[Group],MATCH(Edges[[#This Row],[Vertex 2]],GroupVertices[Vertex],0)),1,1,"")</f>
        <v>4</v>
      </c>
      <c r="S402" s="34"/>
      <c r="T402" s="34"/>
      <c r="U402" s="34"/>
      <c r="V402" s="34"/>
      <c r="W402" s="34"/>
      <c r="X402" s="34"/>
      <c r="Y402" s="34"/>
      <c r="Z402" s="34"/>
      <c r="AA402" s="34"/>
    </row>
    <row r="403" spans="1:27" ht="15">
      <c r="A403" s="66" t="s">
        <v>322</v>
      </c>
      <c r="B403" s="66" t="s">
        <v>330</v>
      </c>
      <c r="C403" s="67" t="s">
        <v>3495</v>
      </c>
      <c r="D403" s="68">
        <v>3</v>
      </c>
      <c r="E403" s="69"/>
      <c r="F403" s="70">
        <v>50</v>
      </c>
      <c r="G403" s="67"/>
      <c r="H403" s="71"/>
      <c r="I403" s="72"/>
      <c r="J403" s="72"/>
      <c r="K403" s="34" t="s">
        <v>66</v>
      </c>
      <c r="L403" s="79">
        <v>403</v>
      </c>
      <c r="M403" s="79"/>
      <c r="N403" s="74"/>
      <c r="O403" s="81" t="s">
        <v>653</v>
      </c>
      <c r="P403">
        <v>1</v>
      </c>
      <c r="Q403" s="80" t="str">
        <f>REPLACE(INDEX(GroupVertices[Group],MATCH(Edges[[#This Row],[Vertex 1]],GroupVertices[Vertex],0)),1,1,"")</f>
        <v>3</v>
      </c>
      <c r="R403" s="80" t="str">
        <f>REPLACE(INDEX(GroupVertices[Group],MATCH(Edges[[#This Row],[Vertex 2]],GroupVertices[Vertex],0)),1,1,"")</f>
        <v>4</v>
      </c>
      <c r="S403" s="34"/>
      <c r="T403" s="34"/>
      <c r="U403" s="34"/>
      <c r="V403" s="34"/>
      <c r="W403" s="34"/>
      <c r="X403" s="34"/>
      <c r="Y403" s="34"/>
      <c r="Z403" s="34"/>
      <c r="AA403" s="34"/>
    </row>
    <row r="404" spans="1:27" ht="15">
      <c r="A404" s="66" t="s">
        <v>322</v>
      </c>
      <c r="B404" s="66" t="s">
        <v>417</v>
      </c>
      <c r="C404" s="67" t="s">
        <v>3495</v>
      </c>
      <c r="D404" s="68">
        <v>3</v>
      </c>
      <c r="E404" s="69"/>
      <c r="F404" s="70">
        <v>50</v>
      </c>
      <c r="G404" s="67"/>
      <c r="H404" s="71"/>
      <c r="I404" s="72"/>
      <c r="J404" s="72"/>
      <c r="K404" s="34" t="s">
        <v>65</v>
      </c>
      <c r="L404" s="79">
        <v>404</v>
      </c>
      <c r="M404" s="79"/>
      <c r="N404" s="74"/>
      <c r="O404" s="81" t="s">
        <v>653</v>
      </c>
      <c r="P404">
        <v>1</v>
      </c>
      <c r="Q404" s="80" t="str">
        <f>REPLACE(INDEX(GroupVertices[Group],MATCH(Edges[[#This Row],[Vertex 1]],GroupVertices[Vertex],0)),1,1,"")</f>
        <v>3</v>
      </c>
      <c r="R404" s="80" t="str">
        <f>REPLACE(INDEX(GroupVertices[Group],MATCH(Edges[[#This Row],[Vertex 2]],GroupVertices[Vertex],0)),1,1,"")</f>
        <v>6</v>
      </c>
      <c r="S404" s="34"/>
      <c r="T404" s="34"/>
      <c r="U404" s="34"/>
      <c r="V404" s="34"/>
      <c r="W404" s="34"/>
      <c r="X404" s="34"/>
      <c r="Y404" s="34"/>
      <c r="Z404" s="34"/>
      <c r="AA404" s="34"/>
    </row>
    <row r="405" spans="1:27" ht="15">
      <c r="A405" s="66" t="s">
        <v>322</v>
      </c>
      <c r="B405" s="66" t="s">
        <v>419</v>
      </c>
      <c r="C405" s="67" t="s">
        <v>3495</v>
      </c>
      <c r="D405" s="68">
        <v>3</v>
      </c>
      <c r="E405" s="69"/>
      <c r="F405" s="70">
        <v>50</v>
      </c>
      <c r="G405" s="67"/>
      <c r="H405" s="71"/>
      <c r="I405" s="72"/>
      <c r="J405" s="72"/>
      <c r="K405" s="34" t="s">
        <v>65</v>
      </c>
      <c r="L405" s="79">
        <v>405</v>
      </c>
      <c r="M405" s="79"/>
      <c r="N405" s="74"/>
      <c r="O405" s="81" t="s">
        <v>653</v>
      </c>
      <c r="P405">
        <v>1</v>
      </c>
      <c r="Q405" s="80" t="str">
        <f>REPLACE(INDEX(GroupVertices[Group],MATCH(Edges[[#This Row],[Vertex 1]],GroupVertices[Vertex],0)),1,1,"")</f>
        <v>3</v>
      </c>
      <c r="R405" s="80" t="str">
        <f>REPLACE(INDEX(GroupVertices[Group],MATCH(Edges[[#This Row],[Vertex 2]],GroupVertices[Vertex],0)),1,1,"")</f>
        <v>6</v>
      </c>
      <c r="S405" s="34"/>
      <c r="T405" s="34"/>
      <c r="U405" s="34"/>
      <c r="V405" s="34"/>
      <c r="W405" s="34"/>
      <c r="X405" s="34"/>
      <c r="Y405" s="34"/>
      <c r="Z405" s="34"/>
      <c r="AA405" s="34"/>
    </row>
    <row r="406" spans="1:27" ht="15">
      <c r="A406" s="66" t="s">
        <v>330</v>
      </c>
      <c r="B406" s="66" t="s">
        <v>322</v>
      </c>
      <c r="C406" s="67" t="s">
        <v>3495</v>
      </c>
      <c r="D406" s="68">
        <v>3</v>
      </c>
      <c r="E406" s="69"/>
      <c r="F406" s="70">
        <v>50</v>
      </c>
      <c r="G406" s="67"/>
      <c r="H406" s="71"/>
      <c r="I406" s="72"/>
      <c r="J406" s="72"/>
      <c r="K406" s="34" t="s">
        <v>66</v>
      </c>
      <c r="L406" s="79">
        <v>406</v>
      </c>
      <c r="M406" s="79"/>
      <c r="N406" s="74"/>
      <c r="O406" s="81" t="s">
        <v>653</v>
      </c>
      <c r="P406">
        <v>1</v>
      </c>
      <c r="Q406" s="80" t="str">
        <f>REPLACE(INDEX(GroupVertices[Group],MATCH(Edges[[#This Row],[Vertex 1]],GroupVertices[Vertex],0)),1,1,"")</f>
        <v>4</v>
      </c>
      <c r="R406" s="80" t="str">
        <f>REPLACE(INDEX(GroupVertices[Group],MATCH(Edges[[#This Row],[Vertex 2]],GroupVertices[Vertex],0)),1,1,"")</f>
        <v>3</v>
      </c>
      <c r="S406" s="34"/>
      <c r="T406" s="34"/>
      <c r="U406" s="34"/>
      <c r="V406" s="34"/>
      <c r="W406" s="34"/>
      <c r="X406" s="34"/>
      <c r="Y406" s="34"/>
      <c r="Z406" s="34"/>
      <c r="AA406" s="34"/>
    </row>
    <row r="407" spans="1:27" ht="15">
      <c r="A407" s="66" t="s">
        <v>330</v>
      </c>
      <c r="B407" s="66" t="s">
        <v>623</v>
      </c>
      <c r="C407" s="67" t="s">
        <v>3495</v>
      </c>
      <c r="D407" s="68">
        <v>3</v>
      </c>
      <c r="E407" s="69"/>
      <c r="F407" s="70">
        <v>50</v>
      </c>
      <c r="G407" s="67"/>
      <c r="H407" s="71"/>
      <c r="I407" s="72"/>
      <c r="J407" s="72"/>
      <c r="K407" s="34" t="s">
        <v>65</v>
      </c>
      <c r="L407" s="79">
        <v>407</v>
      </c>
      <c r="M407" s="79"/>
      <c r="N407" s="74"/>
      <c r="O407" s="81" t="s">
        <v>653</v>
      </c>
      <c r="P407">
        <v>1</v>
      </c>
      <c r="Q407" s="80" t="str">
        <f>REPLACE(INDEX(GroupVertices[Group],MATCH(Edges[[#This Row],[Vertex 1]],GroupVertices[Vertex],0)),1,1,"")</f>
        <v>4</v>
      </c>
      <c r="R407" s="80" t="str">
        <f>REPLACE(INDEX(GroupVertices[Group],MATCH(Edges[[#This Row],[Vertex 2]],GroupVertices[Vertex],0)),1,1,"")</f>
        <v>4</v>
      </c>
      <c r="S407" s="34"/>
      <c r="T407" s="34"/>
      <c r="U407" s="34"/>
      <c r="V407" s="34"/>
      <c r="W407" s="34"/>
      <c r="X407" s="34"/>
      <c r="Y407" s="34"/>
      <c r="Z407" s="34"/>
      <c r="AA407" s="34"/>
    </row>
    <row r="408" spans="1:27" ht="15">
      <c r="A408" s="66" t="s">
        <v>330</v>
      </c>
      <c r="B408" s="66" t="s">
        <v>624</v>
      </c>
      <c r="C408" s="67" t="s">
        <v>3495</v>
      </c>
      <c r="D408" s="68">
        <v>3</v>
      </c>
      <c r="E408" s="69"/>
      <c r="F408" s="70">
        <v>50</v>
      </c>
      <c r="G408" s="67"/>
      <c r="H408" s="71"/>
      <c r="I408" s="72"/>
      <c r="J408" s="72"/>
      <c r="K408" s="34" t="s">
        <v>65</v>
      </c>
      <c r="L408" s="79">
        <v>408</v>
      </c>
      <c r="M408" s="79"/>
      <c r="N408" s="74"/>
      <c r="O408" s="81" t="s">
        <v>653</v>
      </c>
      <c r="P408">
        <v>1</v>
      </c>
      <c r="Q408" s="80" t="str">
        <f>REPLACE(INDEX(GroupVertices[Group],MATCH(Edges[[#This Row],[Vertex 1]],GroupVertices[Vertex],0)),1,1,"")</f>
        <v>4</v>
      </c>
      <c r="R408" s="80" t="str">
        <f>REPLACE(INDEX(GroupVertices[Group],MATCH(Edges[[#This Row],[Vertex 2]],GroupVertices[Vertex],0)),1,1,"")</f>
        <v>4</v>
      </c>
      <c r="S408" s="34"/>
      <c r="T408" s="34"/>
      <c r="U408" s="34"/>
      <c r="V408" s="34"/>
      <c r="W408" s="34"/>
      <c r="X408" s="34"/>
      <c r="Y408" s="34"/>
      <c r="Z408" s="34"/>
      <c r="AA408" s="34"/>
    </row>
    <row r="409" spans="1:27" ht="15">
      <c r="A409" s="66" t="s">
        <v>330</v>
      </c>
      <c r="B409" s="66" t="s">
        <v>625</v>
      </c>
      <c r="C409" s="67" t="s">
        <v>3495</v>
      </c>
      <c r="D409" s="68">
        <v>3</v>
      </c>
      <c r="E409" s="69"/>
      <c r="F409" s="70">
        <v>50</v>
      </c>
      <c r="G409" s="67"/>
      <c r="H409" s="71"/>
      <c r="I409" s="72"/>
      <c r="J409" s="72"/>
      <c r="K409" s="34" t="s">
        <v>65</v>
      </c>
      <c r="L409" s="79">
        <v>409</v>
      </c>
      <c r="M409" s="79"/>
      <c r="N409" s="74"/>
      <c r="O409" s="81" t="s">
        <v>653</v>
      </c>
      <c r="P409">
        <v>1</v>
      </c>
      <c r="Q409" s="80" t="str">
        <f>REPLACE(INDEX(GroupVertices[Group],MATCH(Edges[[#This Row],[Vertex 1]],GroupVertices[Vertex],0)),1,1,"")</f>
        <v>4</v>
      </c>
      <c r="R409" s="80" t="str">
        <f>REPLACE(INDEX(GroupVertices[Group],MATCH(Edges[[#This Row],[Vertex 2]],GroupVertices[Vertex],0)),1,1,"")</f>
        <v>4</v>
      </c>
      <c r="S409" s="34"/>
      <c r="T409" s="34"/>
      <c r="U409" s="34"/>
      <c r="V409" s="34"/>
      <c r="W409" s="34"/>
      <c r="X409" s="34"/>
      <c r="Y409" s="34"/>
      <c r="Z409" s="34"/>
      <c r="AA409" s="34"/>
    </row>
    <row r="410" spans="1:27" ht="15">
      <c r="A410" s="66" t="s">
        <v>330</v>
      </c>
      <c r="B410" s="66" t="s">
        <v>626</v>
      </c>
      <c r="C410" s="67" t="s">
        <v>3495</v>
      </c>
      <c r="D410" s="68">
        <v>3</v>
      </c>
      <c r="E410" s="69"/>
      <c r="F410" s="70">
        <v>50</v>
      </c>
      <c r="G410" s="67"/>
      <c r="H410" s="71"/>
      <c r="I410" s="72"/>
      <c r="J410" s="72"/>
      <c r="K410" s="34" t="s">
        <v>65</v>
      </c>
      <c r="L410" s="79">
        <v>410</v>
      </c>
      <c r="M410" s="79"/>
      <c r="N410" s="74"/>
      <c r="O410" s="81" t="s">
        <v>653</v>
      </c>
      <c r="P410">
        <v>1</v>
      </c>
      <c r="Q410" s="80" t="str">
        <f>REPLACE(INDEX(GroupVertices[Group],MATCH(Edges[[#This Row],[Vertex 1]],GroupVertices[Vertex],0)),1,1,"")</f>
        <v>4</v>
      </c>
      <c r="R410" s="80" t="str">
        <f>REPLACE(INDEX(GroupVertices[Group],MATCH(Edges[[#This Row],[Vertex 2]],GroupVertices[Vertex],0)),1,1,"")</f>
        <v>4</v>
      </c>
      <c r="S410" s="34"/>
      <c r="T410" s="34"/>
      <c r="U410" s="34"/>
      <c r="V410" s="34"/>
      <c r="W410" s="34"/>
      <c r="X410" s="34"/>
      <c r="Y410" s="34"/>
      <c r="Z410" s="34"/>
      <c r="AA410" s="34"/>
    </row>
    <row r="411" spans="1:27" ht="15">
      <c r="A411" s="66" t="s">
        <v>330</v>
      </c>
      <c r="B411" s="66" t="s">
        <v>627</v>
      </c>
      <c r="C411" s="67" t="s">
        <v>3495</v>
      </c>
      <c r="D411" s="68">
        <v>3</v>
      </c>
      <c r="E411" s="69"/>
      <c r="F411" s="70">
        <v>50</v>
      </c>
      <c r="G411" s="67"/>
      <c r="H411" s="71"/>
      <c r="I411" s="72"/>
      <c r="J411" s="72"/>
      <c r="K411" s="34" t="s">
        <v>65</v>
      </c>
      <c r="L411" s="79">
        <v>411</v>
      </c>
      <c r="M411" s="79"/>
      <c r="N411" s="74"/>
      <c r="O411" s="81" t="s">
        <v>653</v>
      </c>
      <c r="P411">
        <v>1</v>
      </c>
      <c r="Q411" s="80" t="str">
        <f>REPLACE(INDEX(GroupVertices[Group],MATCH(Edges[[#This Row],[Vertex 1]],GroupVertices[Vertex],0)),1,1,"")</f>
        <v>4</v>
      </c>
      <c r="R411" s="80" t="str">
        <f>REPLACE(INDEX(GroupVertices[Group],MATCH(Edges[[#This Row],[Vertex 2]],GroupVertices[Vertex],0)),1,1,"")</f>
        <v>4</v>
      </c>
      <c r="S411" s="34"/>
      <c r="T411" s="34"/>
      <c r="U411" s="34"/>
      <c r="V411" s="34"/>
      <c r="W411" s="34"/>
      <c r="X411" s="34"/>
      <c r="Y411" s="34"/>
      <c r="Z411" s="34"/>
      <c r="AA411" s="34"/>
    </row>
    <row r="412" spans="1:27" ht="15">
      <c r="A412" s="66" t="s">
        <v>330</v>
      </c>
      <c r="B412" s="66" t="s">
        <v>628</v>
      </c>
      <c r="C412" s="67" t="s">
        <v>3495</v>
      </c>
      <c r="D412" s="68">
        <v>3</v>
      </c>
      <c r="E412" s="69"/>
      <c r="F412" s="70">
        <v>50</v>
      </c>
      <c r="G412" s="67"/>
      <c r="H412" s="71"/>
      <c r="I412" s="72"/>
      <c r="J412" s="72"/>
      <c r="K412" s="34" t="s">
        <v>65</v>
      </c>
      <c r="L412" s="79">
        <v>412</v>
      </c>
      <c r="M412" s="79"/>
      <c r="N412" s="74"/>
      <c r="O412" s="81" t="s">
        <v>653</v>
      </c>
      <c r="P412">
        <v>1</v>
      </c>
      <c r="Q412" s="80" t="str">
        <f>REPLACE(INDEX(GroupVertices[Group],MATCH(Edges[[#This Row],[Vertex 1]],GroupVertices[Vertex],0)),1,1,"")</f>
        <v>4</v>
      </c>
      <c r="R412" s="80" t="str">
        <f>REPLACE(INDEX(GroupVertices[Group],MATCH(Edges[[#This Row],[Vertex 2]],GroupVertices[Vertex],0)),1,1,"")</f>
        <v>4</v>
      </c>
      <c r="S412" s="34"/>
      <c r="T412" s="34"/>
      <c r="U412" s="34"/>
      <c r="V412" s="34"/>
      <c r="W412" s="34"/>
      <c r="X412" s="34"/>
      <c r="Y412" s="34"/>
      <c r="Z412" s="34"/>
      <c r="AA412" s="34"/>
    </row>
    <row r="413" spans="1:27" ht="15">
      <c r="A413" s="66" t="s">
        <v>328</v>
      </c>
      <c r="B413" s="66" t="s">
        <v>546</v>
      </c>
      <c r="C413" s="67" t="s">
        <v>3495</v>
      </c>
      <c r="D413" s="68">
        <v>3</v>
      </c>
      <c r="E413" s="69"/>
      <c r="F413" s="70">
        <v>50</v>
      </c>
      <c r="G413" s="67"/>
      <c r="H413" s="71"/>
      <c r="I413" s="72"/>
      <c r="J413" s="72"/>
      <c r="K413" s="34" t="s">
        <v>65</v>
      </c>
      <c r="L413" s="79">
        <v>413</v>
      </c>
      <c r="M413" s="79"/>
      <c r="N413" s="74"/>
      <c r="O413" s="81" t="s">
        <v>653</v>
      </c>
      <c r="P413">
        <v>1</v>
      </c>
      <c r="Q413" s="80" t="str">
        <f>REPLACE(INDEX(GroupVertices[Group],MATCH(Edges[[#This Row],[Vertex 1]],GroupVertices[Vertex],0)),1,1,"")</f>
        <v>5</v>
      </c>
      <c r="R413" s="80" t="str">
        <f>REPLACE(INDEX(GroupVertices[Group],MATCH(Edges[[#This Row],[Vertex 2]],GroupVertices[Vertex],0)),1,1,"")</f>
        <v>7</v>
      </c>
      <c r="S413" s="34"/>
      <c r="T413" s="34"/>
      <c r="U413" s="34"/>
      <c r="V413" s="34"/>
      <c r="W413" s="34"/>
      <c r="X413" s="34"/>
      <c r="Y413" s="34"/>
      <c r="Z413" s="34"/>
      <c r="AA413" s="34"/>
    </row>
    <row r="414" spans="1:27" ht="15">
      <c r="A414" s="66" t="s">
        <v>328</v>
      </c>
      <c r="B414" s="66" t="s">
        <v>330</v>
      </c>
      <c r="C414" s="67" t="s">
        <v>3495</v>
      </c>
      <c r="D414" s="68">
        <v>3</v>
      </c>
      <c r="E414" s="69"/>
      <c r="F414" s="70">
        <v>50</v>
      </c>
      <c r="G414" s="67"/>
      <c r="H414" s="71"/>
      <c r="I414" s="72"/>
      <c r="J414" s="72"/>
      <c r="K414" s="34" t="s">
        <v>66</v>
      </c>
      <c r="L414" s="79">
        <v>414</v>
      </c>
      <c r="M414" s="79"/>
      <c r="N414" s="74"/>
      <c r="O414" s="81" t="s">
        <v>653</v>
      </c>
      <c r="P414">
        <v>1</v>
      </c>
      <c r="Q414" s="80" t="str">
        <f>REPLACE(INDEX(GroupVertices[Group],MATCH(Edges[[#This Row],[Vertex 1]],GroupVertices[Vertex],0)),1,1,"")</f>
        <v>5</v>
      </c>
      <c r="R414" s="80" t="str">
        <f>REPLACE(INDEX(GroupVertices[Group],MATCH(Edges[[#This Row],[Vertex 2]],GroupVertices[Vertex],0)),1,1,"")</f>
        <v>4</v>
      </c>
      <c r="S414" s="34"/>
      <c r="T414" s="34"/>
      <c r="U414" s="34"/>
      <c r="V414" s="34"/>
      <c r="W414" s="34"/>
      <c r="X414" s="34"/>
      <c r="Y414" s="34"/>
      <c r="Z414" s="34"/>
      <c r="AA414" s="34"/>
    </row>
    <row r="415" spans="1:27" ht="15">
      <c r="A415" s="66" t="s">
        <v>328</v>
      </c>
      <c r="B415" s="66" t="s">
        <v>419</v>
      </c>
      <c r="C415" s="67" t="s">
        <v>3495</v>
      </c>
      <c r="D415" s="68">
        <v>3</v>
      </c>
      <c r="E415" s="69"/>
      <c r="F415" s="70">
        <v>50</v>
      </c>
      <c r="G415" s="67"/>
      <c r="H415" s="71"/>
      <c r="I415" s="72"/>
      <c r="J415" s="72"/>
      <c r="K415" s="34" t="s">
        <v>65</v>
      </c>
      <c r="L415" s="79">
        <v>415</v>
      </c>
      <c r="M415" s="79"/>
      <c r="N415" s="74"/>
      <c r="O415" s="81" t="s">
        <v>653</v>
      </c>
      <c r="P415">
        <v>1</v>
      </c>
      <c r="Q415" s="80" t="str">
        <f>REPLACE(INDEX(GroupVertices[Group],MATCH(Edges[[#This Row],[Vertex 1]],GroupVertices[Vertex],0)),1,1,"")</f>
        <v>5</v>
      </c>
      <c r="R415" s="80" t="str">
        <f>REPLACE(INDEX(GroupVertices[Group],MATCH(Edges[[#This Row],[Vertex 2]],GroupVertices[Vertex],0)),1,1,"")</f>
        <v>6</v>
      </c>
      <c r="S415" s="34"/>
      <c r="T415" s="34"/>
      <c r="U415" s="34"/>
      <c r="V415" s="34"/>
      <c r="W415" s="34"/>
      <c r="X415" s="34"/>
      <c r="Y415" s="34"/>
      <c r="Z415" s="34"/>
      <c r="AA415" s="34"/>
    </row>
    <row r="416" spans="1:27" ht="15">
      <c r="A416" s="66" t="s">
        <v>328</v>
      </c>
      <c r="B416" s="66" t="s">
        <v>536</v>
      </c>
      <c r="C416" s="67" t="s">
        <v>3495</v>
      </c>
      <c r="D416" s="68">
        <v>3</v>
      </c>
      <c r="E416" s="69"/>
      <c r="F416" s="70">
        <v>50</v>
      </c>
      <c r="G416" s="67"/>
      <c r="H416" s="71"/>
      <c r="I416" s="72"/>
      <c r="J416" s="72"/>
      <c r="K416" s="34" t="s">
        <v>65</v>
      </c>
      <c r="L416" s="79">
        <v>416</v>
      </c>
      <c r="M416" s="79"/>
      <c r="N416" s="74"/>
      <c r="O416" s="81" t="s">
        <v>653</v>
      </c>
      <c r="P416">
        <v>1</v>
      </c>
      <c r="Q416" s="80" t="str">
        <f>REPLACE(INDEX(GroupVertices[Group],MATCH(Edges[[#This Row],[Vertex 1]],GroupVertices[Vertex],0)),1,1,"")</f>
        <v>5</v>
      </c>
      <c r="R416" s="80" t="str">
        <f>REPLACE(INDEX(GroupVertices[Group],MATCH(Edges[[#This Row],[Vertex 2]],GroupVertices[Vertex],0)),1,1,"")</f>
        <v>5</v>
      </c>
      <c r="S416" s="34"/>
      <c r="T416" s="34"/>
      <c r="U416" s="34"/>
      <c r="V416" s="34"/>
      <c r="W416" s="34"/>
      <c r="X416" s="34"/>
      <c r="Y416" s="34"/>
      <c r="Z416" s="34"/>
      <c r="AA416" s="34"/>
    </row>
    <row r="417" spans="1:27" ht="15">
      <c r="A417" s="66" t="s">
        <v>328</v>
      </c>
      <c r="B417" s="66" t="s">
        <v>422</v>
      </c>
      <c r="C417" s="67" t="s">
        <v>3495</v>
      </c>
      <c r="D417" s="68">
        <v>3</v>
      </c>
      <c r="E417" s="69"/>
      <c r="F417" s="70">
        <v>50</v>
      </c>
      <c r="G417" s="67"/>
      <c r="H417" s="71"/>
      <c r="I417" s="72"/>
      <c r="J417" s="72"/>
      <c r="K417" s="34" t="s">
        <v>65</v>
      </c>
      <c r="L417" s="79">
        <v>417</v>
      </c>
      <c r="M417" s="79"/>
      <c r="N417" s="74"/>
      <c r="O417" s="81" t="s">
        <v>653</v>
      </c>
      <c r="P417">
        <v>1</v>
      </c>
      <c r="Q417" s="80" t="str">
        <f>REPLACE(INDEX(GroupVertices[Group],MATCH(Edges[[#This Row],[Vertex 1]],GroupVertices[Vertex],0)),1,1,"")</f>
        <v>5</v>
      </c>
      <c r="R417" s="80" t="str">
        <f>REPLACE(INDEX(GroupVertices[Group],MATCH(Edges[[#This Row],[Vertex 2]],GroupVertices[Vertex],0)),1,1,"")</f>
        <v>1</v>
      </c>
      <c r="S417" s="34"/>
      <c r="T417" s="34"/>
      <c r="U417" s="34"/>
      <c r="V417" s="34"/>
      <c r="W417" s="34"/>
      <c r="X417" s="34"/>
      <c r="Y417" s="34"/>
      <c r="Z417" s="34"/>
      <c r="AA417" s="34"/>
    </row>
    <row r="418" spans="1:27" ht="15">
      <c r="A418" s="66" t="s">
        <v>328</v>
      </c>
      <c r="B418" s="66" t="s">
        <v>421</v>
      </c>
      <c r="C418" s="67" t="s">
        <v>3495</v>
      </c>
      <c r="D418" s="68">
        <v>3</v>
      </c>
      <c r="E418" s="69"/>
      <c r="F418" s="70">
        <v>50</v>
      </c>
      <c r="G418" s="67"/>
      <c r="H418" s="71"/>
      <c r="I418" s="72"/>
      <c r="J418" s="72"/>
      <c r="K418" s="34" t="s">
        <v>65</v>
      </c>
      <c r="L418" s="79">
        <v>418</v>
      </c>
      <c r="M418" s="79"/>
      <c r="N418" s="74"/>
      <c r="O418" s="81" t="s">
        <v>653</v>
      </c>
      <c r="P418">
        <v>1</v>
      </c>
      <c r="Q418" s="80" t="str">
        <f>REPLACE(INDEX(GroupVertices[Group],MATCH(Edges[[#This Row],[Vertex 1]],GroupVertices[Vertex],0)),1,1,"")</f>
        <v>5</v>
      </c>
      <c r="R418" s="80" t="str">
        <f>REPLACE(INDEX(GroupVertices[Group],MATCH(Edges[[#This Row],[Vertex 2]],GroupVertices[Vertex],0)),1,1,"")</f>
        <v>4</v>
      </c>
      <c r="S418" s="34"/>
      <c r="T418" s="34"/>
      <c r="U418" s="34"/>
      <c r="V418" s="34"/>
      <c r="W418" s="34"/>
      <c r="X418" s="34"/>
      <c r="Y418" s="34"/>
      <c r="Z418" s="34"/>
      <c r="AA418" s="34"/>
    </row>
    <row r="419" spans="1:27" ht="15">
      <c r="A419" s="66" t="s">
        <v>328</v>
      </c>
      <c r="B419" s="66" t="s">
        <v>538</v>
      </c>
      <c r="C419" s="67" t="s">
        <v>3495</v>
      </c>
      <c r="D419" s="68">
        <v>3</v>
      </c>
      <c r="E419" s="69"/>
      <c r="F419" s="70">
        <v>50</v>
      </c>
      <c r="G419" s="67"/>
      <c r="H419" s="71"/>
      <c r="I419" s="72"/>
      <c r="J419" s="72"/>
      <c r="K419" s="34" t="s">
        <v>65</v>
      </c>
      <c r="L419" s="79">
        <v>419</v>
      </c>
      <c r="M419" s="79"/>
      <c r="N419" s="74"/>
      <c r="O419" s="81" t="s">
        <v>653</v>
      </c>
      <c r="P419">
        <v>1</v>
      </c>
      <c r="Q419" s="80" t="str">
        <f>REPLACE(INDEX(GroupVertices[Group],MATCH(Edges[[#This Row],[Vertex 1]],GroupVertices[Vertex],0)),1,1,"")</f>
        <v>5</v>
      </c>
      <c r="R419" s="80" t="str">
        <f>REPLACE(INDEX(GroupVertices[Group],MATCH(Edges[[#This Row],[Vertex 2]],GroupVertices[Vertex],0)),1,1,"")</f>
        <v>1</v>
      </c>
      <c r="S419" s="34"/>
      <c r="T419" s="34"/>
      <c r="U419" s="34"/>
      <c r="V419" s="34"/>
      <c r="W419" s="34"/>
      <c r="X419" s="34"/>
      <c r="Y419" s="34"/>
      <c r="Z419" s="34"/>
      <c r="AA419" s="34"/>
    </row>
    <row r="420" spans="1:27" ht="15">
      <c r="A420" s="66" t="s">
        <v>330</v>
      </c>
      <c r="B420" s="66" t="s">
        <v>328</v>
      </c>
      <c r="C420" s="67" t="s">
        <v>3495</v>
      </c>
      <c r="D420" s="68">
        <v>3</v>
      </c>
      <c r="E420" s="69"/>
      <c r="F420" s="70">
        <v>50</v>
      </c>
      <c r="G420" s="67"/>
      <c r="H420" s="71"/>
      <c r="I420" s="72"/>
      <c r="J420" s="72"/>
      <c r="K420" s="34" t="s">
        <v>66</v>
      </c>
      <c r="L420" s="79">
        <v>420</v>
      </c>
      <c r="M420" s="79"/>
      <c r="N420" s="74"/>
      <c r="O420" s="81" t="s">
        <v>653</v>
      </c>
      <c r="P420">
        <v>1</v>
      </c>
      <c r="Q420" s="80" t="str">
        <f>REPLACE(INDEX(GroupVertices[Group],MATCH(Edges[[#This Row],[Vertex 1]],GroupVertices[Vertex],0)),1,1,"")</f>
        <v>4</v>
      </c>
      <c r="R420" s="80" t="str">
        <f>REPLACE(INDEX(GroupVertices[Group],MATCH(Edges[[#This Row],[Vertex 2]],GroupVertices[Vertex],0)),1,1,"")</f>
        <v>5</v>
      </c>
      <c r="S420" s="34"/>
      <c r="T420" s="34"/>
      <c r="U420" s="34"/>
      <c r="V420" s="34"/>
      <c r="W420" s="34"/>
      <c r="X420" s="34"/>
      <c r="Y420" s="34"/>
      <c r="Z420" s="34"/>
      <c r="AA420" s="34"/>
    </row>
    <row r="421" spans="1:27" ht="15">
      <c r="A421" s="66" t="s">
        <v>330</v>
      </c>
      <c r="B421" s="66" t="s">
        <v>629</v>
      </c>
      <c r="C421" s="67" t="s">
        <v>3495</v>
      </c>
      <c r="D421" s="68">
        <v>3</v>
      </c>
      <c r="E421" s="69"/>
      <c r="F421" s="70">
        <v>50</v>
      </c>
      <c r="G421" s="67"/>
      <c r="H421" s="71"/>
      <c r="I421" s="72"/>
      <c r="J421" s="72"/>
      <c r="K421" s="34" t="s">
        <v>65</v>
      </c>
      <c r="L421" s="79">
        <v>421</v>
      </c>
      <c r="M421" s="79"/>
      <c r="N421" s="74"/>
      <c r="O421" s="81" t="s">
        <v>653</v>
      </c>
      <c r="P421">
        <v>1</v>
      </c>
      <c r="Q421" s="80" t="str">
        <f>REPLACE(INDEX(GroupVertices[Group],MATCH(Edges[[#This Row],[Vertex 1]],GroupVertices[Vertex],0)),1,1,"")</f>
        <v>4</v>
      </c>
      <c r="R421" s="80" t="str">
        <f>REPLACE(INDEX(GroupVertices[Group],MATCH(Edges[[#This Row],[Vertex 2]],GroupVertices[Vertex],0)),1,1,"")</f>
        <v>4</v>
      </c>
      <c r="S421" s="34"/>
      <c r="T421" s="34"/>
      <c r="U421" s="34"/>
      <c r="V421" s="34"/>
      <c r="W421" s="34"/>
      <c r="X421" s="34"/>
      <c r="Y421" s="34"/>
      <c r="Z421" s="34"/>
      <c r="AA421" s="34"/>
    </row>
    <row r="422" spans="1:27" ht="15">
      <c r="A422" s="66" t="s">
        <v>330</v>
      </c>
      <c r="B422" s="66" t="s">
        <v>630</v>
      </c>
      <c r="C422" s="67" t="s">
        <v>3495</v>
      </c>
      <c r="D422" s="68">
        <v>3</v>
      </c>
      <c r="E422" s="69"/>
      <c r="F422" s="70">
        <v>50</v>
      </c>
      <c r="G422" s="67"/>
      <c r="H422" s="71"/>
      <c r="I422" s="72"/>
      <c r="J422" s="72"/>
      <c r="K422" s="34" t="s">
        <v>65</v>
      </c>
      <c r="L422" s="79">
        <v>422</v>
      </c>
      <c r="M422" s="79"/>
      <c r="N422" s="74"/>
      <c r="O422" s="81" t="s">
        <v>653</v>
      </c>
      <c r="P422">
        <v>1</v>
      </c>
      <c r="Q422" s="80" t="str">
        <f>REPLACE(INDEX(GroupVertices[Group],MATCH(Edges[[#This Row],[Vertex 1]],GroupVertices[Vertex],0)),1,1,"")</f>
        <v>4</v>
      </c>
      <c r="R422" s="80" t="str">
        <f>REPLACE(INDEX(GroupVertices[Group],MATCH(Edges[[#This Row],[Vertex 2]],GroupVertices[Vertex],0)),1,1,"")</f>
        <v>4</v>
      </c>
      <c r="S422" s="34"/>
      <c r="T422" s="34"/>
      <c r="U422" s="34"/>
      <c r="V422" s="34"/>
      <c r="W422" s="34"/>
      <c r="X422" s="34"/>
      <c r="Y422" s="34"/>
      <c r="Z422" s="34"/>
      <c r="AA422" s="34"/>
    </row>
    <row r="423" spans="1:27" ht="15">
      <c r="A423" s="66" t="s">
        <v>330</v>
      </c>
      <c r="B423" s="66" t="s">
        <v>631</v>
      </c>
      <c r="C423" s="67" t="s">
        <v>3495</v>
      </c>
      <c r="D423" s="68">
        <v>3</v>
      </c>
      <c r="E423" s="69"/>
      <c r="F423" s="70">
        <v>50</v>
      </c>
      <c r="G423" s="67"/>
      <c r="H423" s="71"/>
      <c r="I423" s="72"/>
      <c r="J423" s="72"/>
      <c r="K423" s="34" t="s">
        <v>65</v>
      </c>
      <c r="L423" s="79">
        <v>423</v>
      </c>
      <c r="M423" s="79"/>
      <c r="N423" s="74"/>
      <c r="O423" s="81" t="s">
        <v>653</v>
      </c>
      <c r="P423">
        <v>1</v>
      </c>
      <c r="Q423" s="80" t="str">
        <f>REPLACE(INDEX(GroupVertices[Group],MATCH(Edges[[#This Row],[Vertex 1]],GroupVertices[Vertex],0)),1,1,"")</f>
        <v>4</v>
      </c>
      <c r="R423" s="80" t="str">
        <f>REPLACE(INDEX(GroupVertices[Group],MATCH(Edges[[#This Row],[Vertex 2]],GroupVertices[Vertex],0)),1,1,"")</f>
        <v>4</v>
      </c>
      <c r="S423" s="34"/>
      <c r="T423" s="34"/>
      <c r="U423" s="34"/>
      <c r="V423" s="34"/>
      <c r="W423" s="34"/>
      <c r="X423" s="34"/>
      <c r="Y423" s="34"/>
      <c r="Z423" s="34"/>
      <c r="AA423" s="34"/>
    </row>
    <row r="424" spans="1:27" ht="15">
      <c r="A424" s="66" t="s">
        <v>330</v>
      </c>
      <c r="B424" s="66" t="s">
        <v>632</v>
      </c>
      <c r="C424" s="67" t="s">
        <v>3495</v>
      </c>
      <c r="D424" s="68">
        <v>3</v>
      </c>
      <c r="E424" s="69"/>
      <c r="F424" s="70">
        <v>50</v>
      </c>
      <c r="G424" s="67"/>
      <c r="H424" s="71"/>
      <c r="I424" s="72"/>
      <c r="J424" s="72"/>
      <c r="K424" s="34" t="s">
        <v>65</v>
      </c>
      <c r="L424" s="79">
        <v>424</v>
      </c>
      <c r="M424" s="79"/>
      <c r="N424" s="74"/>
      <c r="O424" s="81" t="s">
        <v>653</v>
      </c>
      <c r="P424">
        <v>1</v>
      </c>
      <c r="Q424" s="80" t="str">
        <f>REPLACE(INDEX(GroupVertices[Group],MATCH(Edges[[#This Row],[Vertex 1]],GroupVertices[Vertex],0)),1,1,"")</f>
        <v>4</v>
      </c>
      <c r="R424" s="80" t="str">
        <f>REPLACE(INDEX(GroupVertices[Group],MATCH(Edges[[#This Row],[Vertex 2]],GroupVertices[Vertex],0)),1,1,"")</f>
        <v>4</v>
      </c>
      <c r="S424" s="34"/>
      <c r="T424" s="34"/>
      <c r="U424" s="34"/>
      <c r="V424" s="34"/>
      <c r="W424" s="34"/>
      <c r="X424" s="34"/>
      <c r="Y424" s="34"/>
      <c r="Z424" s="34"/>
      <c r="AA424" s="34"/>
    </row>
    <row r="425" spans="1:27" ht="15">
      <c r="A425" s="66" t="s">
        <v>330</v>
      </c>
      <c r="B425" s="66" t="s">
        <v>633</v>
      </c>
      <c r="C425" s="67" t="s">
        <v>3495</v>
      </c>
      <c r="D425" s="68">
        <v>3</v>
      </c>
      <c r="E425" s="69"/>
      <c r="F425" s="70">
        <v>50</v>
      </c>
      <c r="G425" s="67"/>
      <c r="H425" s="71"/>
      <c r="I425" s="72"/>
      <c r="J425" s="72"/>
      <c r="K425" s="34" t="s">
        <v>65</v>
      </c>
      <c r="L425" s="79">
        <v>425</v>
      </c>
      <c r="M425" s="79"/>
      <c r="N425" s="74"/>
      <c r="O425" s="81" t="s">
        <v>653</v>
      </c>
      <c r="P425">
        <v>1</v>
      </c>
      <c r="Q425" s="80" t="str">
        <f>REPLACE(INDEX(GroupVertices[Group],MATCH(Edges[[#This Row],[Vertex 1]],GroupVertices[Vertex],0)),1,1,"")</f>
        <v>4</v>
      </c>
      <c r="R425" s="80" t="str">
        <f>REPLACE(INDEX(GroupVertices[Group],MATCH(Edges[[#This Row],[Vertex 2]],GroupVertices[Vertex],0)),1,1,"")</f>
        <v>4</v>
      </c>
      <c r="S425" s="34"/>
      <c r="T425" s="34"/>
      <c r="U425" s="34"/>
      <c r="V425" s="34"/>
      <c r="W425" s="34"/>
      <c r="X425" s="34"/>
      <c r="Y425" s="34"/>
      <c r="Z425" s="34"/>
      <c r="AA425" s="34"/>
    </row>
    <row r="426" spans="1:27" ht="15">
      <c r="A426" s="66" t="s">
        <v>330</v>
      </c>
      <c r="B426" s="66" t="s">
        <v>634</v>
      </c>
      <c r="C426" s="67" t="s">
        <v>3495</v>
      </c>
      <c r="D426" s="68">
        <v>3</v>
      </c>
      <c r="E426" s="69"/>
      <c r="F426" s="70">
        <v>50</v>
      </c>
      <c r="G426" s="67"/>
      <c r="H426" s="71"/>
      <c r="I426" s="72"/>
      <c r="J426" s="72"/>
      <c r="K426" s="34" t="s">
        <v>65</v>
      </c>
      <c r="L426" s="79">
        <v>426</v>
      </c>
      <c r="M426" s="79"/>
      <c r="N426" s="74"/>
      <c r="O426" s="81" t="s">
        <v>653</v>
      </c>
      <c r="P426">
        <v>1</v>
      </c>
      <c r="Q426" s="80" t="str">
        <f>REPLACE(INDEX(GroupVertices[Group],MATCH(Edges[[#This Row],[Vertex 1]],GroupVertices[Vertex],0)),1,1,"")</f>
        <v>4</v>
      </c>
      <c r="R426" s="80" t="str">
        <f>REPLACE(INDEX(GroupVertices[Group],MATCH(Edges[[#This Row],[Vertex 2]],GroupVertices[Vertex],0)),1,1,"")</f>
        <v>4</v>
      </c>
      <c r="S426" s="34"/>
      <c r="T426" s="34"/>
      <c r="U426" s="34"/>
      <c r="V426" s="34"/>
      <c r="W426" s="34"/>
      <c r="X426" s="34"/>
      <c r="Y426" s="34"/>
      <c r="Z426" s="34"/>
      <c r="AA426" s="34"/>
    </row>
    <row r="427" spans="1:27" ht="15">
      <c r="A427" s="66" t="s">
        <v>330</v>
      </c>
      <c r="B427" s="66" t="s">
        <v>546</v>
      </c>
      <c r="C427" s="67" t="s">
        <v>3495</v>
      </c>
      <c r="D427" s="68">
        <v>3</v>
      </c>
      <c r="E427" s="69"/>
      <c r="F427" s="70">
        <v>50</v>
      </c>
      <c r="G427" s="67"/>
      <c r="H427" s="71"/>
      <c r="I427" s="72"/>
      <c r="J427" s="72"/>
      <c r="K427" s="34" t="s">
        <v>65</v>
      </c>
      <c r="L427" s="79">
        <v>427</v>
      </c>
      <c r="M427" s="79"/>
      <c r="N427" s="74"/>
      <c r="O427" s="81" t="s">
        <v>653</v>
      </c>
      <c r="P427">
        <v>1</v>
      </c>
      <c r="Q427" s="80" t="str">
        <f>REPLACE(INDEX(GroupVertices[Group],MATCH(Edges[[#This Row],[Vertex 1]],GroupVertices[Vertex],0)),1,1,"")</f>
        <v>4</v>
      </c>
      <c r="R427" s="80" t="str">
        <f>REPLACE(INDEX(GroupVertices[Group],MATCH(Edges[[#This Row],[Vertex 2]],GroupVertices[Vertex],0)),1,1,"")</f>
        <v>7</v>
      </c>
      <c r="S427" s="34"/>
      <c r="T427" s="34"/>
      <c r="U427" s="34"/>
      <c r="V427" s="34"/>
      <c r="W427" s="34"/>
      <c r="X427" s="34"/>
      <c r="Y427" s="34"/>
      <c r="Z427" s="34"/>
      <c r="AA427" s="34"/>
    </row>
    <row r="428" spans="1:27" ht="15">
      <c r="A428" s="66" t="s">
        <v>330</v>
      </c>
      <c r="B428" s="66" t="s">
        <v>635</v>
      </c>
      <c r="C428" s="67" t="s">
        <v>3495</v>
      </c>
      <c r="D428" s="68">
        <v>3</v>
      </c>
      <c r="E428" s="69"/>
      <c r="F428" s="70">
        <v>50</v>
      </c>
      <c r="G428" s="67"/>
      <c r="H428" s="71"/>
      <c r="I428" s="72"/>
      <c r="J428" s="72"/>
      <c r="K428" s="34" t="s">
        <v>65</v>
      </c>
      <c r="L428" s="79">
        <v>428</v>
      </c>
      <c r="M428" s="79"/>
      <c r="N428" s="74"/>
      <c r="O428" s="81" t="s">
        <v>653</v>
      </c>
      <c r="P428">
        <v>1</v>
      </c>
      <c r="Q428" s="80" t="str">
        <f>REPLACE(INDEX(GroupVertices[Group],MATCH(Edges[[#This Row],[Vertex 1]],GroupVertices[Vertex],0)),1,1,"")</f>
        <v>4</v>
      </c>
      <c r="R428" s="80" t="str">
        <f>REPLACE(INDEX(GroupVertices[Group],MATCH(Edges[[#This Row],[Vertex 2]],GroupVertices[Vertex],0)),1,1,"")</f>
        <v>4</v>
      </c>
      <c r="S428" s="34"/>
      <c r="T428" s="34"/>
      <c r="U428" s="34"/>
      <c r="V428" s="34"/>
      <c r="W428" s="34"/>
      <c r="X428" s="34"/>
      <c r="Y428" s="34"/>
      <c r="Z428" s="34"/>
      <c r="AA428" s="34"/>
    </row>
    <row r="429" spans="1:27" ht="15">
      <c r="A429" s="66" t="s">
        <v>330</v>
      </c>
      <c r="B429" s="66" t="s">
        <v>636</v>
      </c>
      <c r="C429" s="67" t="s">
        <v>3495</v>
      </c>
      <c r="D429" s="68">
        <v>3</v>
      </c>
      <c r="E429" s="69"/>
      <c r="F429" s="70">
        <v>50</v>
      </c>
      <c r="G429" s="67"/>
      <c r="H429" s="71"/>
      <c r="I429" s="72"/>
      <c r="J429" s="72"/>
      <c r="K429" s="34" t="s">
        <v>65</v>
      </c>
      <c r="L429" s="79">
        <v>429</v>
      </c>
      <c r="M429" s="79"/>
      <c r="N429" s="74"/>
      <c r="O429" s="81" t="s">
        <v>653</v>
      </c>
      <c r="P429">
        <v>1</v>
      </c>
      <c r="Q429" s="80" t="str">
        <f>REPLACE(INDEX(GroupVertices[Group],MATCH(Edges[[#This Row],[Vertex 1]],GroupVertices[Vertex],0)),1,1,"")</f>
        <v>4</v>
      </c>
      <c r="R429" s="80" t="str">
        <f>REPLACE(INDEX(GroupVertices[Group],MATCH(Edges[[#This Row],[Vertex 2]],GroupVertices[Vertex],0)),1,1,"")</f>
        <v>4</v>
      </c>
      <c r="S429" s="34"/>
      <c r="T429" s="34"/>
      <c r="U429" s="34"/>
      <c r="V429" s="34"/>
      <c r="W429" s="34"/>
      <c r="X429" s="34"/>
      <c r="Y429" s="34"/>
      <c r="Z429" s="34"/>
      <c r="AA429" s="34"/>
    </row>
    <row r="430" spans="1:27" ht="15">
      <c r="A430" s="66" t="s">
        <v>330</v>
      </c>
      <c r="B430" s="66" t="s">
        <v>536</v>
      </c>
      <c r="C430" s="67" t="s">
        <v>3495</v>
      </c>
      <c r="D430" s="68">
        <v>3</v>
      </c>
      <c r="E430" s="69"/>
      <c r="F430" s="70">
        <v>50</v>
      </c>
      <c r="G430" s="67"/>
      <c r="H430" s="71"/>
      <c r="I430" s="72"/>
      <c r="J430" s="72"/>
      <c r="K430" s="34" t="s">
        <v>65</v>
      </c>
      <c r="L430" s="79">
        <v>430</v>
      </c>
      <c r="M430" s="79"/>
      <c r="N430" s="74"/>
      <c r="O430" s="81" t="s">
        <v>653</v>
      </c>
      <c r="P430">
        <v>1</v>
      </c>
      <c r="Q430" s="80" t="str">
        <f>REPLACE(INDEX(GroupVertices[Group],MATCH(Edges[[#This Row],[Vertex 1]],GroupVertices[Vertex],0)),1,1,"")</f>
        <v>4</v>
      </c>
      <c r="R430" s="80" t="str">
        <f>REPLACE(INDEX(GroupVertices[Group],MATCH(Edges[[#This Row],[Vertex 2]],GroupVertices[Vertex],0)),1,1,"")</f>
        <v>5</v>
      </c>
      <c r="S430" s="34"/>
      <c r="T430" s="34"/>
      <c r="U430" s="34"/>
      <c r="V430" s="34"/>
      <c r="W430" s="34"/>
      <c r="X430" s="34"/>
      <c r="Y430" s="34"/>
      <c r="Z430" s="34"/>
      <c r="AA430" s="34"/>
    </row>
    <row r="431" spans="1:27" ht="15">
      <c r="A431" s="66" t="s">
        <v>330</v>
      </c>
      <c r="B431" s="66" t="s">
        <v>422</v>
      </c>
      <c r="C431" s="67" t="s">
        <v>3495</v>
      </c>
      <c r="D431" s="68">
        <v>3</v>
      </c>
      <c r="E431" s="69"/>
      <c r="F431" s="70">
        <v>50</v>
      </c>
      <c r="G431" s="67"/>
      <c r="H431" s="71"/>
      <c r="I431" s="72"/>
      <c r="J431" s="72"/>
      <c r="K431" s="34" t="s">
        <v>65</v>
      </c>
      <c r="L431" s="79">
        <v>431</v>
      </c>
      <c r="M431" s="79"/>
      <c r="N431" s="74"/>
      <c r="O431" s="81" t="s">
        <v>653</v>
      </c>
      <c r="P431">
        <v>1</v>
      </c>
      <c r="Q431" s="80" t="str">
        <f>REPLACE(INDEX(GroupVertices[Group],MATCH(Edges[[#This Row],[Vertex 1]],GroupVertices[Vertex],0)),1,1,"")</f>
        <v>4</v>
      </c>
      <c r="R431" s="80" t="str">
        <f>REPLACE(INDEX(GroupVertices[Group],MATCH(Edges[[#This Row],[Vertex 2]],GroupVertices[Vertex],0)),1,1,"")</f>
        <v>1</v>
      </c>
      <c r="S431" s="34"/>
      <c r="T431" s="34"/>
      <c r="U431" s="34"/>
      <c r="V431" s="34"/>
      <c r="W431" s="34"/>
      <c r="X431" s="34"/>
      <c r="Y431" s="34"/>
      <c r="Z431" s="34"/>
      <c r="AA431" s="34"/>
    </row>
    <row r="432" spans="1:27" ht="15">
      <c r="A432" s="66" t="s">
        <v>330</v>
      </c>
      <c r="B432" s="66" t="s">
        <v>637</v>
      </c>
      <c r="C432" s="67" t="s">
        <v>3495</v>
      </c>
      <c r="D432" s="68">
        <v>3</v>
      </c>
      <c r="E432" s="69"/>
      <c r="F432" s="70">
        <v>50</v>
      </c>
      <c r="G432" s="67"/>
      <c r="H432" s="71"/>
      <c r="I432" s="72"/>
      <c r="J432" s="72"/>
      <c r="K432" s="34" t="s">
        <v>65</v>
      </c>
      <c r="L432" s="79">
        <v>432</v>
      </c>
      <c r="M432" s="79"/>
      <c r="N432" s="74"/>
      <c r="O432" s="81" t="s">
        <v>653</v>
      </c>
      <c r="P432">
        <v>1</v>
      </c>
      <c r="Q432" s="80" t="str">
        <f>REPLACE(INDEX(GroupVertices[Group],MATCH(Edges[[#This Row],[Vertex 1]],GroupVertices[Vertex],0)),1,1,"")</f>
        <v>4</v>
      </c>
      <c r="R432" s="80" t="str">
        <f>REPLACE(INDEX(GroupVertices[Group],MATCH(Edges[[#This Row],[Vertex 2]],GroupVertices[Vertex],0)),1,1,"")</f>
        <v>4</v>
      </c>
      <c r="S432" s="34"/>
      <c r="T432" s="34"/>
      <c r="U432" s="34"/>
      <c r="V432" s="34"/>
      <c r="W432" s="34"/>
      <c r="X432" s="34"/>
      <c r="Y432" s="34"/>
      <c r="Z432" s="34"/>
      <c r="AA432" s="34"/>
    </row>
    <row r="433" spans="1:27" ht="15">
      <c r="A433" s="66" t="s">
        <v>330</v>
      </c>
      <c r="B433" s="66" t="s">
        <v>638</v>
      </c>
      <c r="C433" s="67" t="s">
        <v>3495</v>
      </c>
      <c r="D433" s="68">
        <v>3</v>
      </c>
      <c r="E433" s="69"/>
      <c r="F433" s="70">
        <v>50</v>
      </c>
      <c r="G433" s="67"/>
      <c r="H433" s="71"/>
      <c r="I433" s="72"/>
      <c r="J433" s="72"/>
      <c r="K433" s="34" t="s">
        <v>65</v>
      </c>
      <c r="L433" s="79">
        <v>433</v>
      </c>
      <c r="M433" s="79"/>
      <c r="N433" s="74"/>
      <c r="O433" s="81" t="s">
        <v>653</v>
      </c>
      <c r="P433">
        <v>1</v>
      </c>
      <c r="Q433" s="80" t="str">
        <f>REPLACE(INDEX(GroupVertices[Group],MATCH(Edges[[#This Row],[Vertex 1]],GroupVertices[Vertex],0)),1,1,"")</f>
        <v>4</v>
      </c>
      <c r="R433" s="80" t="str">
        <f>REPLACE(INDEX(GroupVertices[Group],MATCH(Edges[[#This Row],[Vertex 2]],GroupVertices[Vertex],0)),1,1,"")</f>
        <v>4</v>
      </c>
      <c r="S433" s="34"/>
      <c r="T433" s="34"/>
      <c r="U433" s="34"/>
      <c r="V433" s="34"/>
      <c r="W433" s="34"/>
      <c r="X433" s="34"/>
      <c r="Y433" s="34"/>
      <c r="Z433" s="34"/>
      <c r="AA433" s="34"/>
    </row>
    <row r="434" spans="1:27" ht="15">
      <c r="A434" s="66" t="s">
        <v>330</v>
      </c>
      <c r="B434" s="66" t="s">
        <v>639</v>
      </c>
      <c r="C434" s="67" t="s">
        <v>3495</v>
      </c>
      <c r="D434" s="68">
        <v>3</v>
      </c>
      <c r="E434" s="69"/>
      <c r="F434" s="70">
        <v>50</v>
      </c>
      <c r="G434" s="67"/>
      <c r="H434" s="71"/>
      <c r="I434" s="72"/>
      <c r="J434" s="72"/>
      <c r="K434" s="34" t="s">
        <v>65</v>
      </c>
      <c r="L434" s="79">
        <v>434</v>
      </c>
      <c r="M434" s="79"/>
      <c r="N434" s="74"/>
      <c r="O434" s="81" t="s">
        <v>653</v>
      </c>
      <c r="P434">
        <v>1</v>
      </c>
      <c r="Q434" s="80" t="str">
        <f>REPLACE(INDEX(GroupVertices[Group],MATCH(Edges[[#This Row],[Vertex 1]],GroupVertices[Vertex],0)),1,1,"")</f>
        <v>4</v>
      </c>
      <c r="R434" s="80" t="str">
        <f>REPLACE(INDEX(GroupVertices[Group],MATCH(Edges[[#This Row],[Vertex 2]],GroupVertices[Vertex],0)),1,1,"")</f>
        <v>4</v>
      </c>
      <c r="S434" s="34"/>
      <c r="T434" s="34"/>
      <c r="U434" s="34"/>
      <c r="V434" s="34"/>
      <c r="W434" s="34"/>
      <c r="X434" s="34"/>
      <c r="Y434" s="34"/>
      <c r="Z434" s="34"/>
      <c r="AA434" s="34"/>
    </row>
    <row r="435" spans="1:27" ht="15">
      <c r="A435" s="66" t="s">
        <v>330</v>
      </c>
      <c r="B435" s="66" t="s">
        <v>640</v>
      </c>
      <c r="C435" s="67" t="s">
        <v>3495</v>
      </c>
      <c r="D435" s="68">
        <v>3</v>
      </c>
      <c r="E435" s="69"/>
      <c r="F435" s="70">
        <v>50</v>
      </c>
      <c r="G435" s="67"/>
      <c r="H435" s="71"/>
      <c r="I435" s="72"/>
      <c r="J435" s="72"/>
      <c r="K435" s="34" t="s">
        <v>65</v>
      </c>
      <c r="L435" s="79">
        <v>435</v>
      </c>
      <c r="M435" s="79"/>
      <c r="N435" s="74"/>
      <c r="O435" s="81" t="s">
        <v>653</v>
      </c>
      <c r="P435">
        <v>1</v>
      </c>
      <c r="Q435" s="80" t="str">
        <f>REPLACE(INDEX(GroupVertices[Group],MATCH(Edges[[#This Row],[Vertex 1]],GroupVertices[Vertex],0)),1,1,"")</f>
        <v>4</v>
      </c>
      <c r="R435" s="80" t="str">
        <f>REPLACE(INDEX(GroupVertices[Group],MATCH(Edges[[#This Row],[Vertex 2]],GroupVertices[Vertex],0)),1,1,"")</f>
        <v>4</v>
      </c>
      <c r="S435" s="34"/>
      <c r="T435" s="34"/>
      <c r="U435" s="34"/>
      <c r="V435" s="34"/>
      <c r="W435" s="34"/>
      <c r="X435" s="34"/>
      <c r="Y435" s="34"/>
      <c r="Z435" s="34"/>
      <c r="AA435" s="34"/>
    </row>
    <row r="436" spans="1:27" ht="15">
      <c r="A436" s="66" t="s">
        <v>330</v>
      </c>
      <c r="B436" s="66" t="s">
        <v>641</v>
      </c>
      <c r="C436" s="67" t="s">
        <v>3495</v>
      </c>
      <c r="D436" s="68">
        <v>3</v>
      </c>
      <c r="E436" s="69"/>
      <c r="F436" s="70">
        <v>50</v>
      </c>
      <c r="G436" s="67"/>
      <c r="H436" s="71"/>
      <c r="I436" s="72"/>
      <c r="J436" s="72"/>
      <c r="K436" s="34" t="s">
        <v>65</v>
      </c>
      <c r="L436" s="79">
        <v>436</v>
      </c>
      <c r="M436" s="79"/>
      <c r="N436" s="74"/>
      <c r="O436" s="81" t="s">
        <v>653</v>
      </c>
      <c r="P436">
        <v>1</v>
      </c>
      <c r="Q436" s="80" t="str">
        <f>REPLACE(INDEX(GroupVertices[Group],MATCH(Edges[[#This Row],[Vertex 1]],GroupVertices[Vertex],0)),1,1,"")</f>
        <v>4</v>
      </c>
      <c r="R436" s="80" t="str">
        <f>REPLACE(INDEX(GroupVertices[Group],MATCH(Edges[[#This Row],[Vertex 2]],GroupVertices[Vertex],0)),1,1,"")</f>
        <v>4</v>
      </c>
      <c r="S436" s="34"/>
      <c r="T436" s="34"/>
      <c r="U436" s="34"/>
      <c r="V436" s="34"/>
      <c r="W436" s="34"/>
      <c r="X436" s="34"/>
      <c r="Y436" s="34"/>
      <c r="Z436" s="34"/>
      <c r="AA436" s="34"/>
    </row>
    <row r="437" spans="1:27" ht="15">
      <c r="A437" s="66" t="s">
        <v>330</v>
      </c>
      <c r="B437" s="66" t="s">
        <v>417</v>
      </c>
      <c r="C437" s="67" t="s">
        <v>3495</v>
      </c>
      <c r="D437" s="68">
        <v>3</v>
      </c>
      <c r="E437" s="69"/>
      <c r="F437" s="70">
        <v>50</v>
      </c>
      <c r="G437" s="67"/>
      <c r="H437" s="71"/>
      <c r="I437" s="72"/>
      <c r="J437" s="72"/>
      <c r="K437" s="34" t="s">
        <v>65</v>
      </c>
      <c r="L437" s="79">
        <v>437</v>
      </c>
      <c r="M437" s="79"/>
      <c r="N437" s="74"/>
      <c r="O437" s="81" t="s">
        <v>653</v>
      </c>
      <c r="P437">
        <v>1</v>
      </c>
      <c r="Q437" s="80" t="str">
        <f>REPLACE(INDEX(GroupVertices[Group],MATCH(Edges[[#This Row],[Vertex 1]],GroupVertices[Vertex],0)),1,1,"")</f>
        <v>4</v>
      </c>
      <c r="R437" s="80" t="str">
        <f>REPLACE(INDEX(GroupVertices[Group],MATCH(Edges[[#This Row],[Vertex 2]],GroupVertices[Vertex],0)),1,1,"")</f>
        <v>6</v>
      </c>
      <c r="S437" s="34"/>
      <c r="T437" s="34"/>
      <c r="U437" s="34"/>
      <c r="V437" s="34"/>
      <c r="W437" s="34"/>
      <c r="X437" s="34"/>
      <c r="Y437" s="34"/>
      <c r="Z437" s="34"/>
      <c r="AA437" s="34"/>
    </row>
    <row r="438" spans="1:27" ht="15">
      <c r="A438" s="66" t="s">
        <v>330</v>
      </c>
      <c r="B438" s="66" t="s">
        <v>642</v>
      </c>
      <c r="C438" s="67" t="s">
        <v>3495</v>
      </c>
      <c r="D438" s="68">
        <v>3</v>
      </c>
      <c r="E438" s="69"/>
      <c r="F438" s="70">
        <v>50</v>
      </c>
      <c r="G438" s="67"/>
      <c r="H438" s="71"/>
      <c r="I438" s="72"/>
      <c r="J438" s="72"/>
      <c r="K438" s="34" t="s">
        <v>65</v>
      </c>
      <c r="L438" s="79">
        <v>438</v>
      </c>
      <c r="M438" s="79"/>
      <c r="N438" s="74"/>
      <c r="O438" s="81" t="s">
        <v>653</v>
      </c>
      <c r="P438">
        <v>1</v>
      </c>
      <c r="Q438" s="80" t="str">
        <f>REPLACE(INDEX(GroupVertices[Group],MATCH(Edges[[#This Row],[Vertex 1]],GroupVertices[Vertex],0)),1,1,"")</f>
        <v>4</v>
      </c>
      <c r="R438" s="80" t="str">
        <f>REPLACE(INDEX(GroupVertices[Group],MATCH(Edges[[#This Row],[Vertex 2]],GroupVertices[Vertex],0)),1,1,"")</f>
        <v>4</v>
      </c>
      <c r="S438" s="34"/>
      <c r="T438" s="34"/>
      <c r="U438" s="34"/>
      <c r="V438" s="34"/>
      <c r="W438" s="34"/>
      <c r="X438" s="34"/>
      <c r="Y438" s="34"/>
      <c r="Z438" s="34"/>
      <c r="AA438" s="34"/>
    </row>
    <row r="439" spans="1:27" ht="15">
      <c r="A439" s="66" t="s">
        <v>330</v>
      </c>
      <c r="B439" s="66" t="s">
        <v>643</v>
      </c>
      <c r="C439" s="67" t="s">
        <v>3495</v>
      </c>
      <c r="D439" s="68">
        <v>3</v>
      </c>
      <c r="E439" s="69"/>
      <c r="F439" s="70">
        <v>50</v>
      </c>
      <c r="G439" s="67"/>
      <c r="H439" s="71"/>
      <c r="I439" s="72"/>
      <c r="J439" s="72"/>
      <c r="K439" s="34" t="s">
        <v>65</v>
      </c>
      <c r="L439" s="79">
        <v>439</v>
      </c>
      <c r="M439" s="79"/>
      <c r="N439" s="74"/>
      <c r="O439" s="81" t="s">
        <v>653</v>
      </c>
      <c r="P439">
        <v>1</v>
      </c>
      <c r="Q439" s="80" t="str">
        <f>REPLACE(INDEX(GroupVertices[Group],MATCH(Edges[[#This Row],[Vertex 1]],GroupVertices[Vertex],0)),1,1,"")</f>
        <v>4</v>
      </c>
      <c r="R439" s="80" t="str">
        <f>REPLACE(INDEX(GroupVertices[Group],MATCH(Edges[[#This Row],[Vertex 2]],GroupVertices[Vertex],0)),1,1,"")</f>
        <v>4</v>
      </c>
      <c r="S439" s="34"/>
      <c r="T439" s="34"/>
      <c r="U439" s="34"/>
      <c r="V439" s="34"/>
      <c r="W439" s="34"/>
      <c r="X439" s="34"/>
      <c r="Y439" s="34"/>
      <c r="Z439" s="34"/>
      <c r="AA439" s="34"/>
    </row>
    <row r="440" spans="1:27" ht="15">
      <c r="A440" s="66" t="s">
        <v>330</v>
      </c>
      <c r="B440" s="66" t="s">
        <v>420</v>
      </c>
      <c r="C440" s="67" t="s">
        <v>3495</v>
      </c>
      <c r="D440" s="68">
        <v>3</v>
      </c>
      <c r="E440" s="69"/>
      <c r="F440" s="70">
        <v>50</v>
      </c>
      <c r="G440" s="67"/>
      <c r="H440" s="71"/>
      <c r="I440" s="72"/>
      <c r="J440" s="72"/>
      <c r="K440" s="34" t="s">
        <v>65</v>
      </c>
      <c r="L440" s="79">
        <v>440</v>
      </c>
      <c r="M440" s="79"/>
      <c r="N440" s="74"/>
      <c r="O440" s="81" t="s">
        <v>653</v>
      </c>
      <c r="P440">
        <v>1</v>
      </c>
      <c r="Q440" s="80" t="str">
        <f>REPLACE(INDEX(GroupVertices[Group],MATCH(Edges[[#This Row],[Vertex 1]],GroupVertices[Vertex],0)),1,1,"")</f>
        <v>4</v>
      </c>
      <c r="R440" s="80" t="str">
        <f>REPLACE(INDEX(GroupVertices[Group],MATCH(Edges[[#This Row],[Vertex 2]],GroupVertices[Vertex],0)),1,1,"")</f>
        <v>7</v>
      </c>
      <c r="S440" s="34"/>
      <c r="T440" s="34"/>
      <c r="U440" s="34"/>
      <c r="V440" s="34"/>
      <c r="W440" s="34"/>
      <c r="X440" s="34"/>
      <c r="Y440" s="34"/>
      <c r="Z440" s="34"/>
      <c r="AA440" s="34"/>
    </row>
    <row r="441" spans="1:27" ht="15">
      <c r="A441" s="66" t="s">
        <v>330</v>
      </c>
      <c r="B441" s="66" t="s">
        <v>644</v>
      </c>
      <c r="C441" s="67" t="s">
        <v>3495</v>
      </c>
      <c r="D441" s="68">
        <v>3</v>
      </c>
      <c r="E441" s="69"/>
      <c r="F441" s="70">
        <v>50</v>
      </c>
      <c r="G441" s="67"/>
      <c r="H441" s="71"/>
      <c r="I441" s="72"/>
      <c r="J441" s="72"/>
      <c r="K441" s="34" t="s">
        <v>65</v>
      </c>
      <c r="L441" s="79">
        <v>441</v>
      </c>
      <c r="M441" s="79"/>
      <c r="N441" s="74"/>
      <c r="O441" s="81" t="s">
        <v>653</v>
      </c>
      <c r="P441">
        <v>1</v>
      </c>
      <c r="Q441" s="80" t="str">
        <f>REPLACE(INDEX(GroupVertices[Group],MATCH(Edges[[#This Row],[Vertex 1]],GroupVertices[Vertex],0)),1,1,"")</f>
        <v>4</v>
      </c>
      <c r="R441" s="80" t="str">
        <f>REPLACE(INDEX(GroupVertices[Group],MATCH(Edges[[#This Row],[Vertex 2]],GroupVertices[Vertex],0)),1,1,"")</f>
        <v>4</v>
      </c>
      <c r="S441" s="34"/>
      <c r="T441" s="34"/>
      <c r="U441" s="34"/>
      <c r="V441" s="34"/>
      <c r="W441" s="34"/>
      <c r="X441" s="34"/>
      <c r="Y441" s="34"/>
      <c r="Z441" s="34"/>
      <c r="AA441" s="34"/>
    </row>
    <row r="442" spans="1:27" ht="15">
      <c r="A442" s="66" t="s">
        <v>330</v>
      </c>
      <c r="B442" s="66" t="s">
        <v>645</v>
      </c>
      <c r="C442" s="67" t="s">
        <v>3495</v>
      </c>
      <c r="D442" s="68">
        <v>3</v>
      </c>
      <c r="E442" s="69"/>
      <c r="F442" s="70">
        <v>50</v>
      </c>
      <c r="G442" s="67"/>
      <c r="H442" s="71"/>
      <c r="I442" s="72"/>
      <c r="J442" s="72"/>
      <c r="K442" s="34" t="s">
        <v>65</v>
      </c>
      <c r="L442" s="79">
        <v>442</v>
      </c>
      <c r="M442" s="79"/>
      <c r="N442" s="74"/>
      <c r="O442" s="81" t="s">
        <v>653</v>
      </c>
      <c r="P442">
        <v>1</v>
      </c>
      <c r="Q442" s="80" t="str">
        <f>REPLACE(INDEX(GroupVertices[Group],MATCH(Edges[[#This Row],[Vertex 1]],GroupVertices[Vertex],0)),1,1,"")</f>
        <v>4</v>
      </c>
      <c r="R442" s="80" t="str">
        <f>REPLACE(INDEX(GroupVertices[Group],MATCH(Edges[[#This Row],[Vertex 2]],GroupVertices[Vertex],0)),1,1,"")</f>
        <v>4</v>
      </c>
      <c r="S442" s="34"/>
      <c r="T442" s="34"/>
      <c r="U442" s="34"/>
      <c r="V442" s="34"/>
      <c r="W442" s="34"/>
      <c r="X442" s="34"/>
      <c r="Y442" s="34"/>
      <c r="Z442" s="34"/>
      <c r="AA442" s="34"/>
    </row>
    <row r="443" spans="1:27" ht="15">
      <c r="A443" s="66" t="s">
        <v>330</v>
      </c>
      <c r="B443" s="66" t="s">
        <v>419</v>
      </c>
      <c r="C443" s="67" t="s">
        <v>3495</v>
      </c>
      <c r="D443" s="68">
        <v>3</v>
      </c>
      <c r="E443" s="69"/>
      <c r="F443" s="70">
        <v>50</v>
      </c>
      <c r="G443" s="67"/>
      <c r="H443" s="71"/>
      <c r="I443" s="72"/>
      <c r="J443" s="72"/>
      <c r="K443" s="34" t="s">
        <v>65</v>
      </c>
      <c r="L443" s="79">
        <v>443</v>
      </c>
      <c r="M443" s="79"/>
      <c r="N443" s="74"/>
      <c r="O443" s="81" t="s">
        <v>653</v>
      </c>
      <c r="P443">
        <v>1</v>
      </c>
      <c r="Q443" s="80" t="str">
        <f>REPLACE(INDEX(GroupVertices[Group],MATCH(Edges[[#This Row],[Vertex 1]],GroupVertices[Vertex],0)),1,1,"")</f>
        <v>4</v>
      </c>
      <c r="R443" s="80" t="str">
        <f>REPLACE(INDEX(GroupVertices[Group],MATCH(Edges[[#This Row],[Vertex 2]],GroupVertices[Vertex],0)),1,1,"")</f>
        <v>6</v>
      </c>
      <c r="S443" s="34"/>
      <c r="T443" s="34"/>
      <c r="U443" s="34"/>
      <c r="V443" s="34"/>
      <c r="W443" s="34"/>
      <c r="X443" s="34"/>
      <c r="Y443" s="34"/>
      <c r="Z443" s="34"/>
      <c r="AA443" s="34"/>
    </row>
    <row r="444" spans="1:27" ht="15">
      <c r="A444" s="66" t="s">
        <v>330</v>
      </c>
      <c r="B444" s="66" t="s">
        <v>646</v>
      </c>
      <c r="C444" s="67" t="s">
        <v>3495</v>
      </c>
      <c r="D444" s="68">
        <v>3</v>
      </c>
      <c r="E444" s="69"/>
      <c r="F444" s="70">
        <v>50</v>
      </c>
      <c r="G444" s="67"/>
      <c r="H444" s="71"/>
      <c r="I444" s="72"/>
      <c r="J444" s="72"/>
      <c r="K444" s="34" t="s">
        <v>65</v>
      </c>
      <c r="L444" s="79">
        <v>444</v>
      </c>
      <c r="M444" s="79"/>
      <c r="N444" s="74"/>
      <c r="O444" s="81" t="s">
        <v>653</v>
      </c>
      <c r="P444">
        <v>1</v>
      </c>
      <c r="Q444" s="80" t="str">
        <f>REPLACE(INDEX(GroupVertices[Group],MATCH(Edges[[#This Row],[Vertex 1]],GroupVertices[Vertex],0)),1,1,"")</f>
        <v>4</v>
      </c>
      <c r="R444" s="80" t="str">
        <f>REPLACE(INDEX(GroupVertices[Group],MATCH(Edges[[#This Row],[Vertex 2]],GroupVertices[Vertex],0)),1,1,"")</f>
        <v>4</v>
      </c>
      <c r="S444" s="34"/>
      <c r="T444" s="34"/>
      <c r="U444" s="34"/>
      <c r="V444" s="34"/>
      <c r="W444" s="34"/>
      <c r="X444" s="34"/>
      <c r="Y444" s="34"/>
      <c r="Z444" s="34"/>
      <c r="AA444" s="34"/>
    </row>
    <row r="445" spans="1:27" ht="15">
      <c r="A445" s="66" t="s">
        <v>330</v>
      </c>
      <c r="B445" s="66" t="s">
        <v>421</v>
      </c>
      <c r="C445" s="67" t="s">
        <v>3495</v>
      </c>
      <c r="D445" s="68">
        <v>3</v>
      </c>
      <c r="E445" s="69"/>
      <c r="F445" s="70">
        <v>50</v>
      </c>
      <c r="G445" s="67"/>
      <c r="H445" s="71"/>
      <c r="I445" s="72"/>
      <c r="J445" s="72"/>
      <c r="K445" s="34" t="s">
        <v>65</v>
      </c>
      <c r="L445" s="79">
        <v>445</v>
      </c>
      <c r="M445" s="79"/>
      <c r="N445" s="74"/>
      <c r="O445" s="81" t="s">
        <v>653</v>
      </c>
      <c r="P445">
        <v>1</v>
      </c>
      <c r="Q445" s="80" t="str">
        <f>REPLACE(INDEX(GroupVertices[Group],MATCH(Edges[[#This Row],[Vertex 1]],GroupVertices[Vertex],0)),1,1,"")</f>
        <v>4</v>
      </c>
      <c r="R445" s="80" t="str">
        <f>REPLACE(INDEX(GroupVertices[Group],MATCH(Edges[[#This Row],[Vertex 2]],GroupVertices[Vertex],0)),1,1,"")</f>
        <v>4</v>
      </c>
      <c r="S445" s="34"/>
      <c r="T445" s="34"/>
      <c r="U445" s="34"/>
      <c r="V445" s="34"/>
      <c r="W445" s="34"/>
      <c r="X445" s="34"/>
      <c r="Y445" s="34"/>
      <c r="Z445" s="34"/>
      <c r="AA445" s="34"/>
    </row>
    <row r="446" spans="1:27" ht="15">
      <c r="A446" s="66" t="s">
        <v>330</v>
      </c>
      <c r="B446" s="66" t="s">
        <v>418</v>
      </c>
      <c r="C446" s="67" t="s">
        <v>3495</v>
      </c>
      <c r="D446" s="68">
        <v>3</v>
      </c>
      <c r="E446" s="69"/>
      <c r="F446" s="70">
        <v>50</v>
      </c>
      <c r="G446" s="67"/>
      <c r="H446" s="71"/>
      <c r="I446" s="72"/>
      <c r="J446" s="72"/>
      <c r="K446" s="34" t="s">
        <v>65</v>
      </c>
      <c r="L446" s="79">
        <v>446</v>
      </c>
      <c r="M446" s="79"/>
      <c r="N446" s="74"/>
      <c r="O446" s="81" t="s">
        <v>653</v>
      </c>
      <c r="P446">
        <v>1</v>
      </c>
      <c r="Q446" s="80" t="str">
        <f>REPLACE(INDEX(GroupVertices[Group],MATCH(Edges[[#This Row],[Vertex 1]],GroupVertices[Vertex],0)),1,1,"")</f>
        <v>4</v>
      </c>
      <c r="R446" s="80" t="str">
        <f>REPLACE(INDEX(GroupVertices[Group],MATCH(Edges[[#This Row],[Vertex 2]],GroupVertices[Vertex],0)),1,1,"")</f>
        <v>1</v>
      </c>
      <c r="S446" s="34"/>
      <c r="T446" s="34"/>
      <c r="U446" s="34"/>
      <c r="V446" s="34"/>
      <c r="W446" s="34"/>
      <c r="X446" s="34"/>
      <c r="Y446" s="34"/>
      <c r="Z446" s="34"/>
      <c r="AA446" s="34"/>
    </row>
    <row r="447" spans="1:27" ht="15">
      <c r="A447" s="66" t="s">
        <v>330</v>
      </c>
      <c r="B447" s="66" t="s">
        <v>647</v>
      </c>
      <c r="C447" s="67" t="s">
        <v>3495</v>
      </c>
      <c r="D447" s="68">
        <v>3</v>
      </c>
      <c r="E447" s="69"/>
      <c r="F447" s="70">
        <v>50</v>
      </c>
      <c r="G447" s="67"/>
      <c r="H447" s="71"/>
      <c r="I447" s="72"/>
      <c r="J447" s="72"/>
      <c r="K447" s="34" t="s">
        <v>65</v>
      </c>
      <c r="L447" s="79">
        <v>447</v>
      </c>
      <c r="M447" s="79"/>
      <c r="N447" s="74"/>
      <c r="O447" s="81" t="s">
        <v>653</v>
      </c>
      <c r="P447">
        <v>1</v>
      </c>
      <c r="Q447" s="80" t="str">
        <f>REPLACE(INDEX(GroupVertices[Group],MATCH(Edges[[#This Row],[Vertex 1]],GroupVertices[Vertex],0)),1,1,"")</f>
        <v>4</v>
      </c>
      <c r="R447" s="80" t="str">
        <f>REPLACE(INDEX(GroupVertices[Group],MATCH(Edges[[#This Row],[Vertex 2]],GroupVertices[Vertex],0)),1,1,"")</f>
        <v>4</v>
      </c>
      <c r="S447" s="34"/>
      <c r="T447" s="34"/>
      <c r="U447" s="34"/>
      <c r="V447" s="34"/>
      <c r="W447" s="34"/>
      <c r="X447" s="34"/>
      <c r="Y447" s="34"/>
      <c r="Z447" s="34"/>
      <c r="AA447" s="34"/>
    </row>
    <row r="448" spans="1:27" ht="15">
      <c r="A448" s="66" t="s">
        <v>330</v>
      </c>
      <c r="B448" s="66" t="s">
        <v>648</v>
      </c>
      <c r="C448" s="67" t="s">
        <v>3495</v>
      </c>
      <c r="D448" s="68">
        <v>3</v>
      </c>
      <c r="E448" s="69"/>
      <c r="F448" s="70">
        <v>50</v>
      </c>
      <c r="G448" s="67"/>
      <c r="H448" s="71"/>
      <c r="I448" s="72"/>
      <c r="J448" s="72"/>
      <c r="K448" s="34" t="s">
        <v>65</v>
      </c>
      <c r="L448" s="79">
        <v>448</v>
      </c>
      <c r="M448" s="79"/>
      <c r="N448" s="74"/>
      <c r="O448" s="81" t="s">
        <v>653</v>
      </c>
      <c r="P448">
        <v>1</v>
      </c>
      <c r="Q448" s="80" t="str">
        <f>REPLACE(INDEX(GroupVertices[Group],MATCH(Edges[[#This Row],[Vertex 1]],GroupVertices[Vertex],0)),1,1,"")</f>
        <v>4</v>
      </c>
      <c r="R448" s="80" t="str">
        <f>REPLACE(INDEX(GroupVertices[Group],MATCH(Edges[[#This Row],[Vertex 2]],GroupVertices[Vertex],0)),1,1,"")</f>
        <v>4</v>
      </c>
      <c r="S448" s="34"/>
      <c r="T448" s="34"/>
      <c r="U448" s="34"/>
      <c r="V448" s="34"/>
      <c r="W448" s="34"/>
      <c r="X448" s="34"/>
      <c r="Y448" s="34"/>
      <c r="Z448" s="34"/>
      <c r="AA448" s="34"/>
    </row>
    <row r="449" spans="1:27" ht="15">
      <c r="A449" s="66" t="s">
        <v>330</v>
      </c>
      <c r="B449" s="66" t="s">
        <v>538</v>
      </c>
      <c r="C449" s="67" t="s">
        <v>3495</v>
      </c>
      <c r="D449" s="68">
        <v>3</v>
      </c>
      <c r="E449" s="69"/>
      <c r="F449" s="70">
        <v>50</v>
      </c>
      <c r="G449" s="67"/>
      <c r="H449" s="71"/>
      <c r="I449" s="72"/>
      <c r="J449" s="72"/>
      <c r="K449" s="34" t="s">
        <v>65</v>
      </c>
      <c r="L449" s="79">
        <v>449</v>
      </c>
      <c r="M449" s="79"/>
      <c r="N449" s="74"/>
      <c r="O449" s="81" t="s">
        <v>653</v>
      </c>
      <c r="P449">
        <v>1</v>
      </c>
      <c r="Q449" s="80" t="str">
        <f>REPLACE(INDEX(GroupVertices[Group],MATCH(Edges[[#This Row],[Vertex 1]],GroupVertices[Vertex],0)),1,1,"")</f>
        <v>4</v>
      </c>
      <c r="R449" s="80" t="str">
        <f>REPLACE(INDEX(GroupVertices[Group],MATCH(Edges[[#This Row],[Vertex 2]],GroupVertices[Vertex],0)),1,1,"")</f>
        <v>1</v>
      </c>
      <c r="S449" s="34"/>
      <c r="T449" s="34"/>
      <c r="U449" s="34"/>
      <c r="V449" s="34"/>
      <c r="W449" s="34"/>
      <c r="X449" s="34"/>
      <c r="Y449" s="34"/>
      <c r="Z449" s="34"/>
      <c r="AA449" s="34"/>
    </row>
    <row r="450" spans="1:27" ht="15">
      <c r="A450" s="66" t="s">
        <v>330</v>
      </c>
      <c r="B450" s="66" t="s">
        <v>649</v>
      </c>
      <c r="C450" s="67" t="s">
        <v>3495</v>
      </c>
      <c r="D450" s="68">
        <v>3</v>
      </c>
      <c r="E450" s="69"/>
      <c r="F450" s="70">
        <v>50</v>
      </c>
      <c r="G450" s="67"/>
      <c r="H450" s="71"/>
      <c r="I450" s="72"/>
      <c r="J450" s="72"/>
      <c r="K450" s="34" t="s">
        <v>65</v>
      </c>
      <c r="L450" s="79">
        <v>450</v>
      </c>
      <c r="M450" s="79"/>
      <c r="N450" s="74"/>
      <c r="O450" s="81" t="s">
        <v>653</v>
      </c>
      <c r="P450">
        <v>1</v>
      </c>
      <c r="Q450" s="80" t="str">
        <f>REPLACE(INDEX(GroupVertices[Group],MATCH(Edges[[#This Row],[Vertex 1]],GroupVertices[Vertex],0)),1,1,"")</f>
        <v>4</v>
      </c>
      <c r="R450" s="80" t="str">
        <f>REPLACE(INDEX(GroupVertices[Group],MATCH(Edges[[#This Row],[Vertex 2]],GroupVertices[Vertex],0)),1,1,"")</f>
        <v>4</v>
      </c>
      <c r="S450" s="34"/>
      <c r="T450" s="34"/>
      <c r="U450" s="34"/>
      <c r="V450" s="34"/>
      <c r="W450" s="34"/>
      <c r="X450" s="34"/>
      <c r="Y450" s="34"/>
      <c r="Z450" s="34"/>
      <c r="AA450" s="34"/>
    </row>
    <row r="451" spans="1:27" ht="15">
      <c r="A451" s="66" t="s">
        <v>330</v>
      </c>
      <c r="B451" s="66" t="s">
        <v>650</v>
      </c>
      <c r="C451" s="67" t="s">
        <v>3495</v>
      </c>
      <c r="D451" s="68">
        <v>3</v>
      </c>
      <c r="E451" s="69"/>
      <c r="F451" s="70">
        <v>50</v>
      </c>
      <c r="G451" s="67"/>
      <c r="H451" s="71"/>
      <c r="I451" s="72"/>
      <c r="J451" s="72"/>
      <c r="K451" s="34" t="s">
        <v>65</v>
      </c>
      <c r="L451" s="79">
        <v>451</v>
      </c>
      <c r="M451" s="79"/>
      <c r="N451" s="74"/>
      <c r="O451" s="81" t="s">
        <v>653</v>
      </c>
      <c r="P451">
        <v>1</v>
      </c>
      <c r="Q451" s="80" t="str">
        <f>REPLACE(INDEX(GroupVertices[Group],MATCH(Edges[[#This Row],[Vertex 1]],GroupVertices[Vertex],0)),1,1,"")</f>
        <v>4</v>
      </c>
      <c r="R451" s="80" t="str">
        <f>REPLACE(INDEX(GroupVertices[Group],MATCH(Edges[[#This Row],[Vertex 2]],GroupVertices[Vertex],0)),1,1,"")</f>
        <v>4</v>
      </c>
      <c r="S451" s="34"/>
      <c r="T451" s="34"/>
      <c r="U451" s="34"/>
      <c r="V451" s="34"/>
      <c r="W451" s="34"/>
      <c r="X451" s="34"/>
      <c r="Y451" s="34"/>
      <c r="Z451" s="34"/>
      <c r="AA451" s="34"/>
    </row>
    <row r="452" spans="1:27" ht="15">
      <c r="A452" s="66" t="s">
        <v>330</v>
      </c>
      <c r="B452" s="66" t="s">
        <v>651</v>
      </c>
      <c r="C452" s="67" t="s">
        <v>3495</v>
      </c>
      <c r="D452" s="68">
        <v>3</v>
      </c>
      <c r="E452" s="69"/>
      <c r="F452" s="70">
        <v>50</v>
      </c>
      <c r="G452" s="67"/>
      <c r="H452" s="71"/>
      <c r="I452" s="72"/>
      <c r="J452" s="72"/>
      <c r="K452" s="34" t="s">
        <v>65</v>
      </c>
      <c r="L452" s="79">
        <v>452</v>
      </c>
      <c r="M452" s="79"/>
      <c r="N452" s="74"/>
      <c r="O452" s="81" t="s">
        <v>653</v>
      </c>
      <c r="P452">
        <v>1</v>
      </c>
      <c r="Q452" s="80" t="str">
        <f>REPLACE(INDEX(GroupVertices[Group],MATCH(Edges[[#This Row],[Vertex 1]],GroupVertices[Vertex],0)),1,1,"")</f>
        <v>4</v>
      </c>
      <c r="R452" s="80" t="str">
        <f>REPLACE(INDEX(GroupVertices[Group],MATCH(Edges[[#This Row],[Vertex 2]],GroupVertices[Vertex],0)),1,1,"")</f>
        <v>4</v>
      </c>
      <c r="S452" s="34"/>
      <c r="T452" s="34"/>
      <c r="U452" s="34"/>
      <c r="V452" s="34"/>
      <c r="W452" s="34"/>
      <c r="X452" s="34"/>
      <c r="Y452" s="34"/>
      <c r="Z452" s="34"/>
      <c r="AA452"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2"/>
    <dataValidation allowBlank="1" showErrorMessage="1" sqref="N2:N4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2"/>
    <dataValidation allowBlank="1" showInputMessage="1" promptTitle="Edge Color" prompt="To select an optional edge color, right-click and select Select Color on the right-click menu." sqref="C3:C452"/>
    <dataValidation allowBlank="1" showInputMessage="1" promptTitle="Edge Width" prompt="Enter an optional edge width between 1 and 10." errorTitle="Invalid Edge Width" error="The optional edge width must be a whole number between 1 and 10." sqref="D3:D452"/>
    <dataValidation allowBlank="1" showInputMessage="1" promptTitle="Edge Opacity" prompt="Enter an optional edge opacity between 0 (transparent) and 100 (opaque)." errorTitle="Invalid Edge Opacity" error="The optional edge opacity must be a whole number between 0 and 10." sqref="F3:F4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2">
      <formula1>ValidEdgeVisibilities</formula1>
    </dataValidation>
    <dataValidation allowBlank="1" showInputMessage="1" showErrorMessage="1" promptTitle="Vertex 1 Name" prompt="Enter the name of the edge's first vertex." sqref="A3:A452"/>
    <dataValidation allowBlank="1" showInputMessage="1" showErrorMessage="1" promptTitle="Vertex 2 Name" prompt="Enter the name of the edge's second vertex." sqref="B3:B452"/>
    <dataValidation allowBlank="1" showInputMessage="1" showErrorMessage="1" promptTitle="Edge Label" prompt="Enter an optional edge label." errorTitle="Invalid Edge Visibility" error="You have entered an unrecognized edge visibility.  Try selecting from the drop-down list instead." sqref="H3:H4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F62FF-64A8-4DDF-8639-4DBE46A17F24}">
  <dimension ref="A1:C4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3338</v>
      </c>
      <c r="B2" s="117" t="s">
        <v>3339</v>
      </c>
      <c r="C2" s="52" t="s">
        <v>3340</v>
      </c>
    </row>
    <row r="3" spans="1:3" ht="15">
      <c r="A3" s="116" t="s">
        <v>2049</v>
      </c>
      <c r="B3" s="116" t="s">
        <v>2049</v>
      </c>
      <c r="C3" s="34">
        <v>79</v>
      </c>
    </row>
    <row r="4" spans="1:3" ht="15">
      <c r="A4" s="116" t="s">
        <v>2049</v>
      </c>
      <c r="B4" s="116" t="s">
        <v>2050</v>
      </c>
      <c r="C4" s="34">
        <v>1</v>
      </c>
    </row>
    <row r="5" spans="1:3" ht="15">
      <c r="A5" s="116" t="s">
        <v>2049</v>
      </c>
      <c r="B5" s="116" t="s">
        <v>2051</v>
      </c>
      <c r="C5" s="34">
        <v>2</v>
      </c>
    </row>
    <row r="6" spans="1:3" ht="15">
      <c r="A6" s="116" t="s">
        <v>2049</v>
      </c>
      <c r="B6" s="116" t="s">
        <v>2052</v>
      </c>
      <c r="C6" s="34">
        <v>3</v>
      </c>
    </row>
    <row r="7" spans="1:3" ht="15">
      <c r="A7" s="116" t="s">
        <v>2049</v>
      </c>
      <c r="B7" s="116" t="s">
        <v>2053</v>
      </c>
      <c r="C7" s="34">
        <v>3</v>
      </c>
    </row>
    <row r="8" spans="1:3" ht="15">
      <c r="A8" s="116" t="s">
        <v>2049</v>
      </c>
      <c r="B8" s="116" t="s">
        <v>2054</v>
      </c>
      <c r="C8" s="34">
        <v>3</v>
      </c>
    </row>
    <row r="9" spans="1:3" ht="15">
      <c r="A9" s="116" t="s">
        <v>2049</v>
      </c>
      <c r="B9" s="116" t="s">
        <v>2055</v>
      </c>
      <c r="C9" s="34">
        <v>2</v>
      </c>
    </row>
    <row r="10" spans="1:3" ht="15">
      <c r="A10" s="116" t="s">
        <v>2049</v>
      </c>
      <c r="B10" s="116" t="s">
        <v>2056</v>
      </c>
      <c r="C10" s="34">
        <v>7</v>
      </c>
    </row>
    <row r="11" spans="1:3" ht="15">
      <c r="A11" s="116" t="s">
        <v>2050</v>
      </c>
      <c r="B11" s="116" t="s">
        <v>2050</v>
      </c>
      <c r="C11" s="34">
        <v>50</v>
      </c>
    </row>
    <row r="12" spans="1:3" ht="15">
      <c r="A12" s="116" t="s">
        <v>2051</v>
      </c>
      <c r="B12" s="116" t="s">
        <v>2051</v>
      </c>
      <c r="C12" s="34">
        <v>46</v>
      </c>
    </row>
    <row r="13" spans="1:3" ht="15">
      <c r="A13" s="116" t="s">
        <v>2051</v>
      </c>
      <c r="B13" s="116" t="s">
        <v>2052</v>
      </c>
      <c r="C13" s="34">
        <v>1</v>
      </c>
    </row>
    <row r="14" spans="1:3" ht="15">
      <c r="A14" s="116" t="s">
        <v>2051</v>
      </c>
      <c r="B14" s="116" t="s">
        <v>2054</v>
      </c>
      <c r="C14" s="34">
        <v>2</v>
      </c>
    </row>
    <row r="15" spans="1:3" ht="15">
      <c r="A15" s="116" t="s">
        <v>2051</v>
      </c>
      <c r="B15" s="116" t="s">
        <v>2055</v>
      </c>
      <c r="C15" s="34">
        <v>1</v>
      </c>
    </row>
    <row r="16" spans="1:3" ht="15">
      <c r="A16" s="116" t="s">
        <v>2052</v>
      </c>
      <c r="B16" s="116" t="s">
        <v>2049</v>
      </c>
      <c r="C16" s="34">
        <v>3</v>
      </c>
    </row>
    <row r="17" spans="1:3" ht="15">
      <c r="A17" s="116" t="s">
        <v>2052</v>
      </c>
      <c r="B17" s="116" t="s">
        <v>2051</v>
      </c>
      <c r="C17" s="34">
        <v>1</v>
      </c>
    </row>
    <row r="18" spans="1:3" ht="15">
      <c r="A18" s="116" t="s">
        <v>2052</v>
      </c>
      <c r="B18" s="116" t="s">
        <v>2052</v>
      </c>
      <c r="C18" s="34">
        <v>39</v>
      </c>
    </row>
    <row r="19" spans="1:3" ht="15">
      <c r="A19" s="116" t="s">
        <v>2052</v>
      </c>
      <c r="B19" s="116" t="s">
        <v>2053</v>
      </c>
      <c r="C19" s="34">
        <v>2</v>
      </c>
    </row>
    <row r="20" spans="1:3" ht="15">
      <c r="A20" s="116" t="s">
        <v>2052</v>
      </c>
      <c r="B20" s="116" t="s">
        <v>2054</v>
      </c>
      <c r="C20" s="34">
        <v>2</v>
      </c>
    </row>
    <row r="21" spans="1:3" ht="15">
      <c r="A21" s="116" t="s">
        <v>2052</v>
      </c>
      <c r="B21" s="116" t="s">
        <v>2055</v>
      </c>
      <c r="C21" s="34">
        <v>3</v>
      </c>
    </row>
    <row r="22" spans="1:3" ht="15">
      <c r="A22" s="116" t="s">
        <v>2053</v>
      </c>
      <c r="B22" s="116" t="s">
        <v>2049</v>
      </c>
      <c r="C22" s="34">
        <v>4</v>
      </c>
    </row>
    <row r="23" spans="1:3" ht="15">
      <c r="A23" s="116" t="s">
        <v>2053</v>
      </c>
      <c r="B23" s="116" t="s">
        <v>2052</v>
      </c>
      <c r="C23" s="34">
        <v>2</v>
      </c>
    </row>
    <row r="24" spans="1:3" ht="15">
      <c r="A24" s="116" t="s">
        <v>2053</v>
      </c>
      <c r="B24" s="116" t="s">
        <v>2053</v>
      </c>
      <c r="C24" s="34">
        <v>39</v>
      </c>
    </row>
    <row r="25" spans="1:3" ht="15">
      <c r="A25" s="116" t="s">
        <v>2053</v>
      </c>
      <c r="B25" s="116" t="s">
        <v>2054</v>
      </c>
      <c r="C25" s="34">
        <v>1</v>
      </c>
    </row>
    <row r="26" spans="1:3" ht="15">
      <c r="A26" s="116" t="s">
        <v>2053</v>
      </c>
      <c r="B26" s="116" t="s">
        <v>2055</v>
      </c>
      <c r="C26" s="34">
        <v>3</v>
      </c>
    </row>
    <row r="27" spans="1:3" ht="15">
      <c r="A27" s="116" t="s">
        <v>2053</v>
      </c>
      <c r="B27" s="116" t="s">
        <v>2056</v>
      </c>
      <c r="C27" s="34">
        <v>1</v>
      </c>
    </row>
    <row r="28" spans="1:3" ht="15">
      <c r="A28" s="116" t="s">
        <v>2054</v>
      </c>
      <c r="B28" s="116" t="s">
        <v>2049</v>
      </c>
      <c r="C28" s="34">
        <v>5</v>
      </c>
    </row>
    <row r="29" spans="1:3" ht="15">
      <c r="A29" s="116" t="s">
        <v>2054</v>
      </c>
      <c r="B29" s="116" t="s">
        <v>2050</v>
      </c>
      <c r="C29" s="34">
        <v>1</v>
      </c>
    </row>
    <row r="30" spans="1:3" ht="15">
      <c r="A30" s="116" t="s">
        <v>2054</v>
      </c>
      <c r="B30" s="116" t="s">
        <v>2052</v>
      </c>
      <c r="C30" s="34">
        <v>2</v>
      </c>
    </row>
    <row r="31" spans="1:3" ht="15">
      <c r="A31" s="116" t="s">
        <v>2054</v>
      </c>
      <c r="B31" s="116" t="s">
        <v>2053</v>
      </c>
      <c r="C31" s="34">
        <v>1</v>
      </c>
    </row>
    <row r="32" spans="1:3" ht="15">
      <c r="A32" s="116" t="s">
        <v>2054</v>
      </c>
      <c r="B32" s="116" t="s">
        <v>2054</v>
      </c>
      <c r="C32" s="34">
        <v>36</v>
      </c>
    </row>
    <row r="33" spans="1:3" ht="15">
      <c r="A33" s="116" t="s">
        <v>2054</v>
      </c>
      <c r="B33" s="116" t="s">
        <v>2055</v>
      </c>
      <c r="C33" s="34">
        <v>2</v>
      </c>
    </row>
    <row r="34" spans="1:3" ht="15">
      <c r="A34" s="116" t="s">
        <v>2054</v>
      </c>
      <c r="B34" s="116" t="s">
        <v>2056</v>
      </c>
      <c r="C34" s="34">
        <v>3</v>
      </c>
    </row>
    <row r="35" spans="1:3" ht="15">
      <c r="A35" s="116" t="s">
        <v>2055</v>
      </c>
      <c r="B35" s="116" t="s">
        <v>2049</v>
      </c>
      <c r="C35" s="34">
        <v>9</v>
      </c>
    </row>
    <row r="36" spans="1:3" ht="15">
      <c r="A36" s="116" t="s">
        <v>2055</v>
      </c>
      <c r="B36" s="116" t="s">
        <v>2051</v>
      </c>
      <c r="C36" s="34">
        <v>1</v>
      </c>
    </row>
    <row r="37" spans="1:3" ht="15">
      <c r="A37" s="116" t="s">
        <v>2055</v>
      </c>
      <c r="B37" s="116" t="s">
        <v>2052</v>
      </c>
      <c r="C37" s="34">
        <v>2</v>
      </c>
    </row>
    <row r="38" spans="1:3" ht="15">
      <c r="A38" s="116" t="s">
        <v>2055</v>
      </c>
      <c r="B38" s="116" t="s">
        <v>2053</v>
      </c>
      <c r="C38" s="34">
        <v>2</v>
      </c>
    </row>
    <row r="39" spans="1:3" ht="15">
      <c r="A39" s="116" t="s">
        <v>2055</v>
      </c>
      <c r="B39" s="116" t="s">
        <v>2054</v>
      </c>
      <c r="C39" s="34">
        <v>3</v>
      </c>
    </row>
    <row r="40" spans="1:3" ht="15">
      <c r="A40" s="116" t="s">
        <v>2055</v>
      </c>
      <c r="B40" s="116" t="s">
        <v>2055</v>
      </c>
      <c r="C40" s="34">
        <v>28</v>
      </c>
    </row>
    <row r="41" spans="1:3" ht="15">
      <c r="A41" s="116" t="s">
        <v>2055</v>
      </c>
      <c r="B41" s="116" t="s">
        <v>2056</v>
      </c>
      <c r="C41" s="34">
        <v>5</v>
      </c>
    </row>
    <row r="42" spans="1:3" ht="15">
      <c r="A42" s="116" t="s">
        <v>2056</v>
      </c>
      <c r="B42" s="116" t="s">
        <v>2049</v>
      </c>
      <c r="C42" s="34">
        <v>12</v>
      </c>
    </row>
    <row r="43" spans="1:3" ht="15">
      <c r="A43" s="116" t="s">
        <v>2056</v>
      </c>
      <c r="B43" s="116" t="s">
        <v>2051</v>
      </c>
      <c r="C43" s="34">
        <v>1</v>
      </c>
    </row>
    <row r="44" spans="1:3" ht="15">
      <c r="A44" s="116" t="s">
        <v>2056</v>
      </c>
      <c r="B44" s="116" t="s">
        <v>2052</v>
      </c>
      <c r="C44" s="34">
        <v>2</v>
      </c>
    </row>
    <row r="45" spans="1:3" ht="15">
      <c r="A45" s="116" t="s">
        <v>2056</v>
      </c>
      <c r="B45" s="116" t="s">
        <v>2053</v>
      </c>
      <c r="C45" s="34">
        <v>2</v>
      </c>
    </row>
    <row r="46" spans="1:3" ht="15">
      <c r="A46" s="116" t="s">
        <v>2056</v>
      </c>
      <c r="B46" s="116" t="s">
        <v>2054</v>
      </c>
      <c r="C46" s="34">
        <v>2</v>
      </c>
    </row>
    <row r="47" spans="1:3" ht="15">
      <c r="A47" s="116" t="s">
        <v>2056</v>
      </c>
      <c r="B47" s="116" t="s">
        <v>2055</v>
      </c>
      <c r="C47" s="34">
        <v>5</v>
      </c>
    </row>
    <row r="48" spans="1:3" ht="15">
      <c r="A48" s="116" t="s">
        <v>2056</v>
      </c>
      <c r="B48" s="116" t="s">
        <v>2056</v>
      </c>
      <c r="C48" s="34">
        <v>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5960A-E30A-45E2-A99E-B324C8657F3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3358</v>
      </c>
      <c r="B1" s="13" t="s">
        <v>17</v>
      </c>
    </row>
    <row r="2" spans="1:2" ht="15">
      <c r="A2" s="80" t="s">
        <v>3359</v>
      </c>
      <c r="B2" s="80" t="s">
        <v>3365</v>
      </c>
    </row>
    <row r="3" spans="1:2" ht="15">
      <c r="A3" s="80" t="s">
        <v>3360</v>
      </c>
      <c r="B3" s="80" t="s">
        <v>3366</v>
      </c>
    </row>
    <row r="4" spans="1:2" ht="15">
      <c r="A4" s="80" t="s">
        <v>3361</v>
      </c>
      <c r="B4" s="80" t="s">
        <v>3367</v>
      </c>
    </row>
    <row r="5" spans="1:2" ht="15">
      <c r="A5" s="80" t="s">
        <v>3362</v>
      </c>
      <c r="B5" s="80" t="s">
        <v>3368</v>
      </c>
    </row>
    <row r="6" spans="1:2" ht="15">
      <c r="A6" s="80" t="s">
        <v>3363</v>
      </c>
      <c r="B6" s="80" t="s">
        <v>3369</v>
      </c>
    </row>
    <row r="7" spans="1:2" ht="15">
      <c r="A7" s="80" t="s">
        <v>3364</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0B850-47B3-4C4C-B7E1-4E2F03CFF68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3370</v>
      </c>
      <c r="B1" s="13" t="s">
        <v>34</v>
      </c>
    </row>
    <row r="2" spans="1:2" ht="15">
      <c r="A2" s="111" t="s">
        <v>329</v>
      </c>
      <c r="B2" s="80">
        <v>35868.168421</v>
      </c>
    </row>
    <row r="3" spans="1:2" ht="15">
      <c r="A3" s="111" t="s">
        <v>324</v>
      </c>
      <c r="B3" s="80">
        <v>29890</v>
      </c>
    </row>
    <row r="4" spans="1:2" ht="15">
      <c r="A4" s="111" t="s">
        <v>322</v>
      </c>
      <c r="B4" s="80">
        <v>28425.819048</v>
      </c>
    </row>
    <row r="5" spans="1:2" ht="15">
      <c r="A5" s="111" t="s">
        <v>413</v>
      </c>
      <c r="B5" s="80">
        <v>28000</v>
      </c>
    </row>
    <row r="6" spans="1:2" ht="15">
      <c r="A6" s="111" t="s">
        <v>323</v>
      </c>
      <c r="B6" s="80">
        <v>26357.8</v>
      </c>
    </row>
    <row r="7" spans="1:2" ht="15">
      <c r="A7" s="111" t="s">
        <v>330</v>
      </c>
      <c r="B7" s="80">
        <v>26147.249373</v>
      </c>
    </row>
    <row r="8" spans="1:2" ht="15">
      <c r="A8" s="111" t="s">
        <v>328</v>
      </c>
      <c r="B8" s="80">
        <v>24599.649373</v>
      </c>
    </row>
    <row r="9" spans="1:2" ht="15">
      <c r="A9" s="111" t="s">
        <v>325</v>
      </c>
      <c r="B9" s="80">
        <v>17225.915372</v>
      </c>
    </row>
    <row r="10" spans="1:2" ht="15">
      <c r="A10" s="111" t="s">
        <v>327</v>
      </c>
      <c r="B10" s="80">
        <v>15651.671679</v>
      </c>
    </row>
    <row r="11" spans="1:2" ht="15">
      <c r="A11" s="111" t="s">
        <v>326</v>
      </c>
      <c r="B11" s="80">
        <v>14634.8066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2323A-D92A-43BF-9DCB-EA5394814A60}">
  <dimension ref="A1:R2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s>
  <sheetData>
    <row r="1" spans="1:18" ht="15" customHeight="1">
      <c r="A1" s="13" t="s">
        <v>3371</v>
      </c>
      <c r="B1" s="13" t="s">
        <v>3372</v>
      </c>
      <c r="C1" s="13" t="s">
        <v>3373</v>
      </c>
      <c r="D1" s="13" t="s">
        <v>3375</v>
      </c>
      <c r="E1" s="13" t="s">
        <v>3374</v>
      </c>
      <c r="F1" s="13" t="s">
        <v>3377</v>
      </c>
      <c r="G1" s="13" t="s">
        <v>3376</v>
      </c>
      <c r="H1" s="13" t="s">
        <v>3379</v>
      </c>
      <c r="I1" s="13" t="s">
        <v>3378</v>
      </c>
      <c r="J1" s="13" t="s">
        <v>3381</v>
      </c>
      <c r="K1" s="13" t="s">
        <v>3380</v>
      </c>
      <c r="L1" s="13" t="s">
        <v>3383</v>
      </c>
      <c r="M1" s="13" t="s">
        <v>3382</v>
      </c>
      <c r="N1" s="13" t="s">
        <v>3385</v>
      </c>
      <c r="O1" s="13" t="s">
        <v>3384</v>
      </c>
      <c r="P1" s="13" t="s">
        <v>3387</v>
      </c>
      <c r="Q1" s="13" t="s">
        <v>3386</v>
      </c>
      <c r="R1" s="13" t="s">
        <v>3388</v>
      </c>
    </row>
    <row r="2" spans="1:18" ht="15">
      <c r="A2" s="112" t="s">
        <v>2077</v>
      </c>
      <c r="B2" s="112">
        <v>413</v>
      </c>
      <c r="C2" s="112" t="s">
        <v>2085</v>
      </c>
      <c r="D2" s="112">
        <v>114</v>
      </c>
      <c r="E2" s="112" t="s">
        <v>2077</v>
      </c>
      <c r="F2" s="112">
        <v>369</v>
      </c>
      <c r="G2" s="112" t="s">
        <v>2078</v>
      </c>
      <c r="H2" s="112">
        <v>278</v>
      </c>
      <c r="I2" s="112" t="s">
        <v>2082</v>
      </c>
      <c r="J2" s="112">
        <v>73</v>
      </c>
      <c r="K2" s="112" t="s">
        <v>2082</v>
      </c>
      <c r="L2" s="112">
        <v>36</v>
      </c>
      <c r="M2" s="112" t="s">
        <v>2080</v>
      </c>
      <c r="N2" s="112">
        <v>96</v>
      </c>
      <c r="O2" s="112" t="s">
        <v>2083</v>
      </c>
      <c r="P2" s="112">
        <v>26</v>
      </c>
      <c r="Q2" s="112" t="s">
        <v>2089</v>
      </c>
      <c r="R2" s="112">
        <v>41</v>
      </c>
    </row>
    <row r="3" spans="1:18" ht="15">
      <c r="A3" s="112" t="s">
        <v>2078</v>
      </c>
      <c r="B3" s="112">
        <v>322</v>
      </c>
      <c r="C3" s="112" t="s">
        <v>2088</v>
      </c>
      <c r="D3" s="112">
        <v>99</v>
      </c>
      <c r="E3" s="112" t="s">
        <v>2093</v>
      </c>
      <c r="F3" s="112">
        <v>82</v>
      </c>
      <c r="G3" s="112" t="s">
        <v>2079</v>
      </c>
      <c r="H3" s="112">
        <v>237</v>
      </c>
      <c r="I3" s="112" t="s">
        <v>2148</v>
      </c>
      <c r="J3" s="112">
        <v>26</v>
      </c>
      <c r="K3" s="112" t="s">
        <v>2108</v>
      </c>
      <c r="L3" s="112">
        <v>34</v>
      </c>
      <c r="M3" s="112" t="s">
        <v>2091</v>
      </c>
      <c r="N3" s="112">
        <v>69</v>
      </c>
      <c r="O3" s="112" t="s">
        <v>2090</v>
      </c>
      <c r="P3" s="112">
        <v>26</v>
      </c>
      <c r="Q3" s="112" t="s">
        <v>2096</v>
      </c>
      <c r="R3" s="112">
        <v>35</v>
      </c>
    </row>
    <row r="4" spans="1:18" ht="15">
      <c r="A4" s="112" t="s">
        <v>2079</v>
      </c>
      <c r="B4" s="112">
        <v>255</v>
      </c>
      <c r="C4" s="112" t="s">
        <v>2092</v>
      </c>
      <c r="D4" s="112">
        <v>68</v>
      </c>
      <c r="E4" s="112" t="s">
        <v>2102</v>
      </c>
      <c r="F4" s="112">
        <v>52</v>
      </c>
      <c r="G4" s="112" t="s">
        <v>2081</v>
      </c>
      <c r="H4" s="112">
        <v>106</v>
      </c>
      <c r="I4" s="112" t="s">
        <v>2187</v>
      </c>
      <c r="J4" s="112">
        <v>17</v>
      </c>
      <c r="K4" s="112" t="s">
        <v>2134</v>
      </c>
      <c r="L4" s="112">
        <v>33</v>
      </c>
      <c r="M4" s="112" t="s">
        <v>2107</v>
      </c>
      <c r="N4" s="112">
        <v>48</v>
      </c>
      <c r="O4" s="112" t="s">
        <v>2080</v>
      </c>
      <c r="P4" s="112">
        <v>23</v>
      </c>
      <c r="Q4" s="112" t="s">
        <v>2083</v>
      </c>
      <c r="R4" s="112">
        <v>35</v>
      </c>
    </row>
    <row r="5" spans="1:18" ht="15">
      <c r="A5" s="112" t="s">
        <v>2080</v>
      </c>
      <c r="B5" s="112">
        <v>185</v>
      </c>
      <c r="C5" s="112" t="s">
        <v>2084</v>
      </c>
      <c r="D5" s="112">
        <v>67</v>
      </c>
      <c r="E5" s="112" t="s">
        <v>2081</v>
      </c>
      <c r="F5" s="112">
        <v>48</v>
      </c>
      <c r="G5" s="112" t="s">
        <v>2087</v>
      </c>
      <c r="H5" s="112">
        <v>73</v>
      </c>
      <c r="I5" s="112" t="s">
        <v>2156</v>
      </c>
      <c r="J5" s="112">
        <v>15</v>
      </c>
      <c r="K5" s="112" t="s">
        <v>2141</v>
      </c>
      <c r="L5" s="112">
        <v>30</v>
      </c>
      <c r="M5" s="112" t="s">
        <v>2101</v>
      </c>
      <c r="N5" s="112">
        <v>47</v>
      </c>
      <c r="O5" s="112" t="s">
        <v>2089</v>
      </c>
      <c r="P5" s="112">
        <v>22</v>
      </c>
      <c r="Q5" s="112" t="s">
        <v>2080</v>
      </c>
      <c r="R5" s="112">
        <v>33</v>
      </c>
    </row>
    <row r="6" spans="1:18" ht="15">
      <c r="A6" s="112" t="s">
        <v>2081</v>
      </c>
      <c r="B6" s="112">
        <v>172</v>
      </c>
      <c r="C6" s="112" t="s">
        <v>2103</v>
      </c>
      <c r="D6" s="112">
        <v>49</v>
      </c>
      <c r="E6" s="112" t="s">
        <v>2114</v>
      </c>
      <c r="F6" s="112">
        <v>44</v>
      </c>
      <c r="G6" s="112" t="s">
        <v>2095</v>
      </c>
      <c r="H6" s="112">
        <v>62</v>
      </c>
      <c r="I6" s="112" t="s">
        <v>2133</v>
      </c>
      <c r="J6" s="112">
        <v>14</v>
      </c>
      <c r="K6" s="112" t="s">
        <v>2145</v>
      </c>
      <c r="L6" s="112">
        <v>19</v>
      </c>
      <c r="M6" s="112" t="s">
        <v>2112</v>
      </c>
      <c r="N6" s="112">
        <v>45</v>
      </c>
      <c r="O6" s="112" t="s">
        <v>2094</v>
      </c>
      <c r="P6" s="112">
        <v>18</v>
      </c>
      <c r="Q6" s="112" t="s">
        <v>2094</v>
      </c>
      <c r="R6" s="112">
        <v>15</v>
      </c>
    </row>
    <row r="7" spans="1:18" ht="15">
      <c r="A7" s="112" t="s">
        <v>2082</v>
      </c>
      <c r="B7" s="112">
        <v>138</v>
      </c>
      <c r="C7" s="112" t="s">
        <v>2100</v>
      </c>
      <c r="D7" s="112">
        <v>48</v>
      </c>
      <c r="E7" s="112" t="s">
        <v>2110</v>
      </c>
      <c r="F7" s="112">
        <v>43</v>
      </c>
      <c r="G7" s="112" t="s">
        <v>2086</v>
      </c>
      <c r="H7" s="112">
        <v>50</v>
      </c>
      <c r="I7" s="112" t="s">
        <v>2138</v>
      </c>
      <c r="J7" s="112">
        <v>13</v>
      </c>
      <c r="K7" s="112" t="s">
        <v>2186</v>
      </c>
      <c r="L7" s="112">
        <v>17</v>
      </c>
      <c r="M7" s="112" t="s">
        <v>2097</v>
      </c>
      <c r="N7" s="112">
        <v>39</v>
      </c>
      <c r="O7" s="112" t="s">
        <v>2082</v>
      </c>
      <c r="P7" s="112">
        <v>17</v>
      </c>
      <c r="Q7" s="112" t="s">
        <v>2086</v>
      </c>
      <c r="R7" s="112">
        <v>15</v>
      </c>
    </row>
    <row r="8" spans="1:18" ht="15">
      <c r="A8" s="112" t="s">
        <v>2083</v>
      </c>
      <c r="B8" s="112">
        <v>130</v>
      </c>
      <c r="C8" s="112" t="s">
        <v>2099</v>
      </c>
      <c r="D8" s="112">
        <v>47</v>
      </c>
      <c r="E8" s="112" t="s">
        <v>2111</v>
      </c>
      <c r="F8" s="112">
        <v>43</v>
      </c>
      <c r="G8" s="112" t="s">
        <v>2135</v>
      </c>
      <c r="H8" s="112">
        <v>32</v>
      </c>
      <c r="I8" s="112" t="s">
        <v>2140</v>
      </c>
      <c r="J8" s="112">
        <v>11</v>
      </c>
      <c r="K8" s="112" t="s">
        <v>2086</v>
      </c>
      <c r="L8" s="112">
        <v>12</v>
      </c>
      <c r="M8" s="112" t="s">
        <v>2109</v>
      </c>
      <c r="N8" s="112">
        <v>38</v>
      </c>
      <c r="O8" s="112" t="s">
        <v>2086</v>
      </c>
      <c r="P8" s="112">
        <v>15</v>
      </c>
      <c r="Q8" s="112" t="s">
        <v>2090</v>
      </c>
      <c r="R8" s="112">
        <v>13</v>
      </c>
    </row>
    <row r="9" spans="1:18" ht="15">
      <c r="A9" s="112" t="s">
        <v>2084</v>
      </c>
      <c r="B9" s="112">
        <v>123</v>
      </c>
      <c r="C9" s="112" t="s">
        <v>2104</v>
      </c>
      <c r="D9" s="112">
        <v>46</v>
      </c>
      <c r="E9" s="112" t="s">
        <v>2115</v>
      </c>
      <c r="F9" s="112">
        <v>43</v>
      </c>
      <c r="G9" s="112" t="s">
        <v>2131</v>
      </c>
      <c r="H9" s="112">
        <v>31</v>
      </c>
      <c r="I9" s="112" t="s">
        <v>2250</v>
      </c>
      <c r="J9" s="112">
        <v>11</v>
      </c>
      <c r="K9" s="112" t="s">
        <v>2201</v>
      </c>
      <c r="L9" s="112">
        <v>10</v>
      </c>
      <c r="M9" s="112" t="s">
        <v>2117</v>
      </c>
      <c r="N9" s="112">
        <v>30</v>
      </c>
      <c r="O9" s="112" t="s">
        <v>2221</v>
      </c>
      <c r="P9" s="112">
        <v>13</v>
      </c>
      <c r="Q9" s="112" t="s">
        <v>2168</v>
      </c>
      <c r="R9" s="112">
        <v>12</v>
      </c>
    </row>
    <row r="10" spans="1:18" ht="15">
      <c r="A10" s="112" t="s">
        <v>2085</v>
      </c>
      <c r="B10" s="112">
        <v>115</v>
      </c>
      <c r="C10" s="112" t="s">
        <v>2113</v>
      </c>
      <c r="D10" s="112">
        <v>43</v>
      </c>
      <c r="E10" s="112" t="s">
        <v>2116</v>
      </c>
      <c r="F10" s="112">
        <v>43</v>
      </c>
      <c r="G10" s="112" t="s">
        <v>2106</v>
      </c>
      <c r="H10" s="112">
        <v>26</v>
      </c>
      <c r="I10" s="112" t="s">
        <v>2249</v>
      </c>
      <c r="J10" s="112">
        <v>11</v>
      </c>
      <c r="K10" s="112" t="s">
        <v>2231</v>
      </c>
      <c r="L10" s="112">
        <v>9</v>
      </c>
      <c r="M10" s="112" t="s">
        <v>2136</v>
      </c>
      <c r="N10" s="112">
        <v>27</v>
      </c>
      <c r="O10" s="112" t="s">
        <v>2096</v>
      </c>
      <c r="P10" s="112">
        <v>12</v>
      </c>
      <c r="Q10" s="112" t="s">
        <v>2163</v>
      </c>
      <c r="R10" s="112">
        <v>12</v>
      </c>
    </row>
    <row r="11" spans="1:18" ht="15">
      <c r="A11" s="112" t="s">
        <v>2086</v>
      </c>
      <c r="B11" s="112">
        <v>111</v>
      </c>
      <c r="C11" s="112" t="s">
        <v>2122</v>
      </c>
      <c r="D11" s="112">
        <v>42</v>
      </c>
      <c r="E11" s="112" t="s">
        <v>2124</v>
      </c>
      <c r="F11" s="112">
        <v>41</v>
      </c>
      <c r="G11" s="112" t="s">
        <v>2130</v>
      </c>
      <c r="H11" s="112">
        <v>22</v>
      </c>
      <c r="I11" s="112" t="s">
        <v>2305</v>
      </c>
      <c r="J11" s="112">
        <v>9</v>
      </c>
      <c r="K11" s="112" t="s">
        <v>2302</v>
      </c>
      <c r="L11" s="112">
        <v>9</v>
      </c>
      <c r="M11" s="112" t="s">
        <v>2083</v>
      </c>
      <c r="N11" s="112">
        <v>26</v>
      </c>
      <c r="O11" s="112" t="s">
        <v>2081</v>
      </c>
      <c r="P11" s="112">
        <v>10</v>
      </c>
      <c r="Q11" s="112" t="s">
        <v>2127</v>
      </c>
      <c r="R11" s="112">
        <v>8</v>
      </c>
    </row>
    <row r="14" spans="1:18" ht="15" customHeight="1">
      <c r="A14" s="13" t="s">
        <v>3398</v>
      </c>
      <c r="B14" s="13" t="s">
        <v>3372</v>
      </c>
      <c r="C14" s="13" t="s">
        <v>3409</v>
      </c>
      <c r="D14" s="13" t="s">
        <v>3375</v>
      </c>
      <c r="E14" s="13" t="s">
        <v>3417</v>
      </c>
      <c r="F14" s="13" t="s">
        <v>3377</v>
      </c>
      <c r="G14" s="13" t="s">
        <v>3424</v>
      </c>
      <c r="H14" s="13" t="s">
        <v>3379</v>
      </c>
      <c r="I14" s="13" t="s">
        <v>3432</v>
      </c>
      <c r="J14" s="13" t="s">
        <v>3381</v>
      </c>
      <c r="K14" s="13" t="s">
        <v>3443</v>
      </c>
      <c r="L14" s="13" t="s">
        <v>3383</v>
      </c>
      <c r="M14" s="13" t="s">
        <v>3454</v>
      </c>
      <c r="N14" s="13" t="s">
        <v>3385</v>
      </c>
      <c r="O14" s="13" t="s">
        <v>3465</v>
      </c>
      <c r="P14" s="13" t="s">
        <v>3387</v>
      </c>
      <c r="Q14" s="13" t="s">
        <v>3475</v>
      </c>
      <c r="R14" s="13" t="s">
        <v>3388</v>
      </c>
    </row>
    <row r="15" spans="1:18" ht="15">
      <c r="A15" s="112" t="s">
        <v>3399</v>
      </c>
      <c r="B15" s="112">
        <v>122</v>
      </c>
      <c r="C15" s="112" t="s">
        <v>3401</v>
      </c>
      <c r="D15" s="112">
        <v>96</v>
      </c>
      <c r="E15" s="112" t="s">
        <v>3402</v>
      </c>
      <c r="F15" s="112">
        <v>82</v>
      </c>
      <c r="G15" s="112" t="s">
        <v>3399</v>
      </c>
      <c r="H15" s="112">
        <v>117</v>
      </c>
      <c r="I15" s="112" t="s">
        <v>3433</v>
      </c>
      <c r="J15" s="112">
        <v>14</v>
      </c>
      <c r="K15" s="112" t="s">
        <v>3444</v>
      </c>
      <c r="L15" s="112">
        <v>33</v>
      </c>
      <c r="M15" s="112" t="s">
        <v>3455</v>
      </c>
      <c r="N15" s="112">
        <v>30</v>
      </c>
      <c r="O15" s="112" t="s">
        <v>3466</v>
      </c>
      <c r="P15" s="112">
        <v>7</v>
      </c>
      <c r="Q15" s="112" t="s">
        <v>3460</v>
      </c>
      <c r="R15" s="112">
        <v>10</v>
      </c>
    </row>
    <row r="16" spans="1:18" ht="15">
      <c r="A16" s="112" t="s">
        <v>3400</v>
      </c>
      <c r="B16" s="112">
        <v>105</v>
      </c>
      <c r="C16" s="112" t="s">
        <v>3406</v>
      </c>
      <c r="D16" s="112">
        <v>46</v>
      </c>
      <c r="E16" s="112" t="s">
        <v>3404</v>
      </c>
      <c r="F16" s="112">
        <v>44</v>
      </c>
      <c r="G16" s="112" t="s">
        <v>3400</v>
      </c>
      <c r="H16" s="112">
        <v>99</v>
      </c>
      <c r="I16" s="112" t="s">
        <v>3434</v>
      </c>
      <c r="J16" s="112">
        <v>11</v>
      </c>
      <c r="K16" s="112" t="s">
        <v>3445</v>
      </c>
      <c r="L16" s="112">
        <v>27</v>
      </c>
      <c r="M16" s="112" t="s">
        <v>3456</v>
      </c>
      <c r="N16" s="112">
        <v>30</v>
      </c>
      <c r="O16" s="112" t="s">
        <v>3467</v>
      </c>
      <c r="P16" s="112">
        <v>6</v>
      </c>
      <c r="Q16" s="112" t="s">
        <v>3457</v>
      </c>
      <c r="R16" s="112">
        <v>8</v>
      </c>
    </row>
    <row r="17" spans="1:18" ht="15">
      <c r="A17" s="112" t="s">
        <v>3401</v>
      </c>
      <c r="B17" s="112">
        <v>96</v>
      </c>
      <c r="C17" s="112" t="s">
        <v>3405</v>
      </c>
      <c r="D17" s="112">
        <v>45</v>
      </c>
      <c r="E17" s="112" t="s">
        <v>3407</v>
      </c>
      <c r="F17" s="112">
        <v>43</v>
      </c>
      <c r="G17" s="112" t="s">
        <v>3403</v>
      </c>
      <c r="H17" s="112">
        <v>56</v>
      </c>
      <c r="I17" s="112" t="s">
        <v>3435</v>
      </c>
      <c r="J17" s="112">
        <v>9</v>
      </c>
      <c r="K17" s="112" t="s">
        <v>3446</v>
      </c>
      <c r="L17" s="112">
        <v>25</v>
      </c>
      <c r="M17" s="112" t="s">
        <v>3457</v>
      </c>
      <c r="N17" s="112">
        <v>25</v>
      </c>
      <c r="O17" s="112" t="s">
        <v>3468</v>
      </c>
      <c r="P17" s="112">
        <v>5</v>
      </c>
      <c r="Q17" s="112" t="s">
        <v>3476</v>
      </c>
      <c r="R17" s="112">
        <v>8</v>
      </c>
    </row>
    <row r="18" spans="1:18" ht="15">
      <c r="A18" s="112" t="s">
        <v>3402</v>
      </c>
      <c r="B18" s="112">
        <v>88</v>
      </c>
      <c r="C18" s="112" t="s">
        <v>3410</v>
      </c>
      <c r="D18" s="112">
        <v>41</v>
      </c>
      <c r="E18" s="112" t="s">
        <v>3408</v>
      </c>
      <c r="F18" s="112">
        <v>42</v>
      </c>
      <c r="G18" s="112" t="s">
        <v>3425</v>
      </c>
      <c r="H18" s="112">
        <v>31</v>
      </c>
      <c r="I18" s="112" t="s">
        <v>3436</v>
      </c>
      <c r="J18" s="112">
        <v>9</v>
      </c>
      <c r="K18" s="112" t="s">
        <v>3447</v>
      </c>
      <c r="L18" s="112">
        <v>19</v>
      </c>
      <c r="M18" s="112" t="s">
        <v>3458</v>
      </c>
      <c r="N18" s="112">
        <v>23</v>
      </c>
      <c r="O18" s="112" t="s">
        <v>3460</v>
      </c>
      <c r="P18" s="112">
        <v>5</v>
      </c>
      <c r="Q18" s="112" t="s">
        <v>3472</v>
      </c>
      <c r="R18" s="112">
        <v>8</v>
      </c>
    </row>
    <row r="19" spans="1:18" ht="15">
      <c r="A19" s="112" t="s">
        <v>3403</v>
      </c>
      <c r="B19" s="112">
        <v>60</v>
      </c>
      <c r="C19" s="112" t="s">
        <v>3411</v>
      </c>
      <c r="D19" s="112">
        <v>40</v>
      </c>
      <c r="E19" s="112" t="s">
        <v>3418</v>
      </c>
      <c r="F19" s="112">
        <v>41</v>
      </c>
      <c r="G19" s="112" t="s">
        <v>3426</v>
      </c>
      <c r="H19" s="112">
        <v>31</v>
      </c>
      <c r="I19" s="112" t="s">
        <v>3437</v>
      </c>
      <c r="J19" s="112">
        <v>8</v>
      </c>
      <c r="K19" s="112" t="s">
        <v>3448</v>
      </c>
      <c r="L19" s="112">
        <v>17</v>
      </c>
      <c r="M19" s="112" t="s">
        <v>3459</v>
      </c>
      <c r="N19" s="112">
        <v>13</v>
      </c>
      <c r="O19" s="112" t="s">
        <v>3469</v>
      </c>
      <c r="P19" s="112">
        <v>4</v>
      </c>
      <c r="Q19" s="112" t="s">
        <v>3459</v>
      </c>
      <c r="R19" s="112">
        <v>7</v>
      </c>
    </row>
    <row r="20" spans="1:18" ht="15">
      <c r="A20" s="112" t="s">
        <v>3404</v>
      </c>
      <c r="B20" s="112">
        <v>49</v>
      </c>
      <c r="C20" s="112" t="s">
        <v>3412</v>
      </c>
      <c r="D20" s="112">
        <v>39</v>
      </c>
      <c r="E20" s="112" t="s">
        <v>3419</v>
      </c>
      <c r="F20" s="112">
        <v>41</v>
      </c>
      <c r="G20" s="112" t="s">
        <v>3427</v>
      </c>
      <c r="H20" s="112">
        <v>29</v>
      </c>
      <c r="I20" s="112" t="s">
        <v>3438</v>
      </c>
      <c r="J20" s="112">
        <v>7</v>
      </c>
      <c r="K20" s="112" t="s">
        <v>3449</v>
      </c>
      <c r="L20" s="112">
        <v>4</v>
      </c>
      <c r="M20" s="112" t="s">
        <v>3460</v>
      </c>
      <c r="N20" s="112">
        <v>12</v>
      </c>
      <c r="O20" s="112" t="s">
        <v>3470</v>
      </c>
      <c r="P20" s="112">
        <v>4</v>
      </c>
      <c r="Q20" s="112" t="s">
        <v>3477</v>
      </c>
      <c r="R20" s="112">
        <v>6</v>
      </c>
    </row>
    <row r="21" spans="1:18" ht="15">
      <c r="A21" s="112" t="s">
        <v>3405</v>
      </c>
      <c r="B21" s="112">
        <v>48</v>
      </c>
      <c r="C21" s="112" t="s">
        <v>3413</v>
      </c>
      <c r="D21" s="112">
        <v>35</v>
      </c>
      <c r="E21" s="112" t="s">
        <v>3420</v>
      </c>
      <c r="F21" s="112">
        <v>40</v>
      </c>
      <c r="G21" s="112" t="s">
        <v>3428</v>
      </c>
      <c r="H21" s="112">
        <v>24</v>
      </c>
      <c r="I21" s="112" t="s">
        <v>3439</v>
      </c>
      <c r="J21" s="112">
        <v>6</v>
      </c>
      <c r="K21" s="112" t="s">
        <v>3450</v>
      </c>
      <c r="L21" s="112">
        <v>4</v>
      </c>
      <c r="M21" s="112" t="s">
        <v>3461</v>
      </c>
      <c r="N21" s="112">
        <v>12</v>
      </c>
      <c r="O21" s="112" t="s">
        <v>3471</v>
      </c>
      <c r="P21" s="112">
        <v>4</v>
      </c>
      <c r="Q21" s="112" t="s">
        <v>3478</v>
      </c>
      <c r="R21" s="112">
        <v>5</v>
      </c>
    </row>
    <row r="22" spans="1:18" ht="15">
      <c r="A22" s="112" t="s">
        <v>3406</v>
      </c>
      <c r="B22" s="112">
        <v>46</v>
      </c>
      <c r="C22" s="112" t="s">
        <v>3414</v>
      </c>
      <c r="D22" s="112">
        <v>23</v>
      </c>
      <c r="E22" s="112" t="s">
        <v>3421</v>
      </c>
      <c r="F22" s="112">
        <v>40</v>
      </c>
      <c r="G22" s="112" t="s">
        <v>3429</v>
      </c>
      <c r="H22" s="112">
        <v>19</v>
      </c>
      <c r="I22" s="112" t="s">
        <v>3440</v>
      </c>
      <c r="J22" s="112">
        <v>6</v>
      </c>
      <c r="K22" s="112" t="s">
        <v>3451</v>
      </c>
      <c r="L22" s="112">
        <v>3</v>
      </c>
      <c r="M22" s="112" t="s">
        <v>3462</v>
      </c>
      <c r="N22" s="112">
        <v>12</v>
      </c>
      <c r="O22" s="112" t="s">
        <v>3472</v>
      </c>
      <c r="P22" s="112">
        <v>4</v>
      </c>
      <c r="Q22" s="112" t="s">
        <v>3455</v>
      </c>
      <c r="R22" s="112">
        <v>4</v>
      </c>
    </row>
    <row r="23" spans="1:18" ht="15">
      <c r="A23" s="112" t="s">
        <v>3407</v>
      </c>
      <c r="B23" s="112">
        <v>45</v>
      </c>
      <c r="C23" s="112" t="s">
        <v>3415</v>
      </c>
      <c r="D23" s="112">
        <v>22</v>
      </c>
      <c r="E23" s="112" t="s">
        <v>3422</v>
      </c>
      <c r="F23" s="112">
        <v>40</v>
      </c>
      <c r="G23" s="112" t="s">
        <v>3430</v>
      </c>
      <c r="H23" s="112">
        <v>18</v>
      </c>
      <c r="I23" s="112" t="s">
        <v>3441</v>
      </c>
      <c r="J23" s="112">
        <v>6</v>
      </c>
      <c r="K23" s="112" t="s">
        <v>3452</v>
      </c>
      <c r="L23" s="112">
        <v>3</v>
      </c>
      <c r="M23" s="112" t="s">
        <v>3463</v>
      </c>
      <c r="N23" s="112">
        <v>12</v>
      </c>
      <c r="O23" s="112" t="s">
        <v>3473</v>
      </c>
      <c r="P23" s="112">
        <v>4</v>
      </c>
      <c r="Q23" s="112" t="s">
        <v>3479</v>
      </c>
      <c r="R23" s="112">
        <v>4</v>
      </c>
    </row>
    <row r="24" spans="1:18" ht="15">
      <c r="A24" s="112" t="s">
        <v>3408</v>
      </c>
      <c r="B24" s="112">
        <v>44</v>
      </c>
      <c r="C24" s="112" t="s">
        <v>3416</v>
      </c>
      <c r="D24" s="112">
        <v>20</v>
      </c>
      <c r="E24" s="112" t="s">
        <v>3423</v>
      </c>
      <c r="F24" s="112">
        <v>40</v>
      </c>
      <c r="G24" s="112" t="s">
        <v>3431</v>
      </c>
      <c r="H24" s="112">
        <v>16</v>
      </c>
      <c r="I24" s="112" t="s">
        <v>3442</v>
      </c>
      <c r="J24" s="112">
        <v>5</v>
      </c>
      <c r="K24" s="112" t="s">
        <v>3453</v>
      </c>
      <c r="L24" s="112">
        <v>3</v>
      </c>
      <c r="M24" s="112" t="s">
        <v>3464</v>
      </c>
      <c r="N24" s="112">
        <v>10</v>
      </c>
      <c r="O24" s="112" t="s">
        <v>3474</v>
      </c>
      <c r="P24" s="112">
        <v>3</v>
      </c>
      <c r="Q24" s="112" t="s">
        <v>3480</v>
      </c>
      <c r="R24" s="112">
        <v>4</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333"/>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 min="48" max="48" width="18.57421875" style="0" bestFit="1" customWidth="1"/>
    <col min="49" max="49" width="22.28125" style="0" bestFit="1" customWidth="1"/>
    <col min="50" max="50" width="17.421875" style="0" bestFit="1" customWidth="1"/>
    <col min="51" max="51" width="15.57421875" style="0" bestFit="1" customWidth="1"/>
    <col min="52" max="53" width="17.7109375" style="0" bestFit="1" customWidth="1"/>
    <col min="54" max="54" width="19.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654</v>
      </c>
      <c r="AE2" s="13" t="s">
        <v>655</v>
      </c>
      <c r="AF2" s="13" t="s">
        <v>656</v>
      </c>
      <c r="AG2" s="13" t="s">
        <v>657</v>
      </c>
      <c r="AH2" s="13" t="s">
        <v>658</v>
      </c>
      <c r="AI2" s="13" t="s">
        <v>659</v>
      </c>
      <c r="AJ2" s="13" t="s">
        <v>660</v>
      </c>
      <c r="AK2" s="13" t="s">
        <v>661</v>
      </c>
      <c r="AL2" s="13" t="s">
        <v>662</v>
      </c>
      <c r="AM2" s="13" t="s">
        <v>663</v>
      </c>
      <c r="AN2" s="13" t="s">
        <v>664</v>
      </c>
      <c r="AO2" s="13" t="s">
        <v>2065</v>
      </c>
      <c r="AP2" s="115" t="s">
        <v>3327</v>
      </c>
      <c r="AQ2" s="115" t="s">
        <v>3328</v>
      </c>
      <c r="AR2" s="115" t="s">
        <v>3329</v>
      </c>
      <c r="AS2" s="115" t="s">
        <v>3330</v>
      </c>
      <c r="AT2" s="115" t="s">
        <v>3331</v>
      </c>
      <c r="AU2" s="115" t="s">
        <v>3332</v>
      </c>
      <c r="AV2" s="115" t="s">
        <v>3333</v>
      </c>
      <c r="AW2" s="115" t="s">
        <v>3334</v>
      </c>
      <c r="AX2" s="115" t="s">
        <v>3336</v>
      </c>
      <c r="AY2" s="115" t="s">
        <v>3490</v>
      </c>
      <c r="AZ2" s="115" t="s">
        <v>3492</v>
      </c>
      <c r="BA2" s="115" t="s">
        <v>3493</v>
      </c>
      <c r="BB2" s="115" t="s">
        <v>3494</v>
      </c>
      <c r="BC2" s="3"/>
      <c r="BD2" s="3"/>
    </row>
    <row r="3" spans="1:56" ht="15" customHeight="1">
      <c r="A3" s="66" t="s">
        <v>322</v>
      </c>
      <c r="B3" s="67"/>
      <c r="C3" s="67"/>
      <c r="D3" s="68">
        <v>179.54832875364775</v>
      </c>
      <c r="E3" s="70"/>
      <c r="F3" s="96" t="str">
        <f>HYPERLINK("https://i.ytimg.com/vi/y2WtUMvNjzQ/default.jpg")</f>
        <v>https://i.ytimg.com/vi/y2WtUMvNjzQ/default.jpg</v>
      </c>
      <c r="G3" s="67"/>
      <c r="H3" s="71" t="s">
        <v>994</v>
      </c>
      <c r="I3" s="72"/>
      <c r="J3" s="72" t="s">
        <v>75</v>
      </c>
      <c r="K3" s="71" t="s">
        <v>994</v>
      </c>
      <c r="L3" s="75">
        <v>6249.75</v>
      </c>
      <c r="M3" s="76">
        <v>5156.17138671875</v>
      </c>
      <c r="N3" s="76">
        <v>7987.62353515625</v>
      </c>
      <c r="O3" s="77"/>
      <c r="P3" s="78"/>
      <c r="Q3" s="78"/>
      <c r="R3" s="48"/>
      <c r="S3" s="48">
        <v>5</v>
      </c>
      <c r="T3" s="48">
        <v>50</v>
      </c>
      <c r="U3" s="49">
        <v>28425.819048</v>
      </c>
      <c r="V3" s="49">
        <v>0.001289</v>
      </c>
      <c r="W3" s="49">
        <v>0.01859</v>
      </c>
      <c r="X3" s="49">
        <v>21.225893</v>
      </c>
      <c r="Y3" s="49">
        <v>0.0069881201956673656</v>
      </c>
      <c r="Z3" s="49">
        <v>0.018518518518518517</v>
      </c>
      <c r="AA3" s="73">
        <v>3</v>
      </c>
      <c r="AB3" s="73"/>
      <c r="AC3" s="74"/>
      <c r="AD3" s="80" t="s">
        <v>994</v>
      </c>
      <c r="AE3" s="80" t="s">
        <v>1322</v>
      </c>
      <c r="AF3" s="80" t="s">
        <v>1634</v>
      </c>
      <c r="AG3" s="80" t="s">
        <v>1635</v>
      </c>
      <c r="AH3" s="80" t="s">
        <v>2046</v>
      </c>
      <c r="AI3" s="80">
        <v>1124429</v>
      </c>
      <c r="AJ3" s="80">
        <v>12817</v>
      </c>
      <c r="AK3" s="80">
        <v>47830</v>
      </c>
      <c r="AL3" s="80">
        <v>1934</v>
      </c>
      <c r="AM3" s="80" t="s">
        <v>2047</v>
      </c>
      <c r="AN3" s="98" t="str">
        <f>HYPERLINK("https://www.youtube.com/watch?v=y2WtUMvNjzQ")</f>
        <v>https://www.youtube.com/watch?v=y2WtUMvNjzQ</v>
      </c>
      <c r="AO3" s="80" t="str">
        <f>REPLACE(INDEX(GroupVertices[Group],MATCH(Vertices[[#This Row],[Vertex]],GroupVertices[Vertex],0)),1,1,"")</f>
        <v>3</v>
      </c>
      <c r="AP3" s="48">
        <v>2</v>
      </c>
      <c r="AQ3" s="49">
        <v>3.076923076923077</v>
      </c>
      <c r="AR3" s="48">
        <v>1</v>
      </c>
      <c r="AS3" s="49">
        <v>1.5384615384615385</v>
      </c>
      <c r="AT3" s="48">
        <v>0</v>
      </c>
      <c r="AU3" s="49">
        <v>0</v>
      </c>
      <c r="AV3" s="48">
        <v>62</v>
      </c>
      <c r="AW3" s="49">
        <v>95.38461538461539</v>
      </c>
      <c r="AX3" s="48">
        <v>65</v>
      </c>
      <c r="AY3" s="119" t="s">
        <v>3491</v>
      </c>
      <c r="AZ3" s="119" t="s">
        <v>3491</v>
      </c>
      <c r="BA3" s="119" t="s">
        <v>3491</v>
      </c>
      <c r="BB3" s="119" t="s">
        <v>3491</v>
      </c>
      <c r="BC3" s="3"/>
      <c r="BD3" s="3"/>
    </row>
    <row r="4" spans="1:59" ht="15">
      <c r="A4" s="66" t="s">
        <v>652</v>
      </c>
      <c r="B4" s="67"/>
      <c r="C4" s="67"/>
      <c r="D4" s="68">
        <v>150.6541921066747</v>
      </c>
      <c r="E4" s="70"/>
      <c r="F4" s="96" t="str">
        <f>HYPERLINK("https://i.ytimg.com/vi/-F1EOli_nn4/default.jpg")</f>
        <v>https://i.ytimg.com/vi/-F1EOli_nn4/default.jpg</v>
      </c>
      <c r="G4" s="67"/>
      <c r="H4" s="71" t="s">
        <v>665</v>
      </c>
      <c r="I4" s="72"/>
      <c r="J4" s="72" t="s">
        <v>159</v>
      </c>
      <c r="K4" s="71" t="s">
        <v>665</v>
      </c>
      <c r="L4" s="75">
        <v>1250.75</v>
      </c>
      <c r="M4" s="76">
        <v>6418.4580078125</v>
      </c>
      <c r="N4" s="76">
        <v>9174.390625</v>
      </c>
      <c r="O4" s="77"/>
      <c r="P4" s="78"/>
      <c r="Q4" s="78"/>
      <c r="R4" s="82"/>
      <c r="S4" s="48">
        <v>1</v>
      </c>
      <c r="T4" s="48">
        <v>0</v>
      </c>
      <c r="U4" s="49">
        <v>0</v>
      </c>
      <c r="V4" s="49">
        <v>0.000905</v>
      </c>
      <c r="W4" s="49">
        <v>0.001373</v>
      </c>
      <c r="X4" s="49">
        <v>0.484111</v>
      </c>
      <c r="Y4" s="49">
        <v>0</v>
      </c>
      <c r="Z4" s="49">
        <v>0</v>
      </c>
      <c r="AA4" s="73">
        <v>4</v>
      </c>
      <c r="AB4" s="73"/>
      <c r="AC4" s="74"/>
      <c r="AD4" s="80" t="s">
        <v>665</v>
      </c>
      <c r="AE4" s="80" t="s">
        <v>995</v>
      </c>
      <c r="AF4" s="80" t="s">
        <v>1323</v>
      </c>
      <c r="AG4" s="80" t="s">
        <v>1635</v>
      </c>
      <c r="AH4" s="80" t="s">
        <v>1718</v>
      </c>
      <c r="AI4" s="80">
        <v>800054</v>
      </c>
      <c r="AJ4" s="80">
        <v>3634</v>
      </c>
      <c r="AK4" s="80">
        <v>36999</v>
      </c>
      <c r="AL4" s="80">
        <v>177</v>
      </c>
      <c r="AM4" s="80" t="s">
        <v>2047</v>
      </c>
      <c r="AN4" s="98" t="str">
        <f>HYPERLINK("https://www.youtube.com/watch?v=-F1EOli_nn4")</f>
        <v>https://www.youtube.com/watch?v=-F1EOli_nn4</v>
      </c>
      <c r="AO4" s="80" t="str">
        <f>REPLACE(INDEX(GroupVertices[Group],MATCH(Vertices[[#This Row],[Vertex]],GroupVertices[Vertex],0)),1,1,"")</f>
        <v>3</v>
      </c>
      <c r="AP4" s="48">
        <v>0</v>
      </c>
      <c r="AQ4" s="49">
        <v>0</v>
      </c>
      <c r="AR4" s="48">
        <v>2</v>
      </c>
      <c r="AS4" s="49">
        <v>2.73972602739726</v>
      </c>
      <c r="AT4" s="48">
        <v>0</v>
      </c>
      <c r="AU4" s="49">
        <v>0</v>
      </c>
      <c r="AV4" s="48">
        <v>71</v>
      </c>
      <c r="AW4" s="49">
        <v>97.26027397260275</v>
      </c>
      <c r="AX4" s="48">
        <v>73</v>
      </c>
      <c r="AY4" s="48"/>
      <c r="AZ4" s="48"/>
      <c r="BA4" s="48"/>
      <c r="BB4" s="48"/>
      <c r="BC4" s="2"/>
      <c r="BD4" s="3"/>
      <c r="BE4" s="3"/>
      <c r="BF4" s="3"/>
      <c r="BG4" s="3"/>
    </row>
    <row r="5" spans="1:59" ht="15">
      <c r="A5" s="66" t="s">
        <v>331</v>
      </c>
      <c r="B5" s="67"/>
      <c r="C5" s="67"/>
      <c r="D5" s="68">
        <v>121.5077912747792</v>
      </c>
      <c r="E5" s="70"/>
      <c r="F5" s="96" t="str">
        <f>HYPERLINK("https://i.ytimg.com/vi/zXdy4Q8xlH0/default.jpg")</f>
        <v>https://i.ytimg.com/vi/zXdy4Q8xlH0/default.jpg</v>
      </c>
      <c r="G5" s="67"/>
      <c r="H5" s="71" t="s">
        <v>666</v>
      </c>
      <c r="I5" s="72"/>
      <c r="J5" s="72" t="s">
        <v>159</v>
      </c>
      <c r="K5" s="71" t="s">
        <v>666</v>
      </c>
      <c r="L5" s="75">
        <v>1250.75</v>
      </c>
      <c r="M5" s="76">
        <v>3684.3056640625</v>
      </c>
      <c r="N5" s="76">
        <v>8956.6220703125</v>
      </c>
      <c r="O5" s="77"/>
      <c r="P5" s="78"/>
      <c r="Q5" s="78"/>
      <c r="R5" s="82"/>
      <c r="S5" s="48">
        <v>1</v>
      </c>
      <c r="T5" s="48">
        <v>0</v>
      </c>
      <c r="U5" s="49">
        <v>0</v>
      </c>
      <c r="V5" s="49">
        <v>0.000905</v>
      </c>
      <c r="W5" s="49">
        <v>0.001373</v>
      </c>
      <c r="X5" s="49">
        <v>0.484111</v>
      </c>
      <c r="Y5" s="49">
        <v>0</v>
      </c>
      <c r="Z5" s="49">
        <v>0</v>
      </c>
      <c r="AA5" s="73">
        <v>5</v>
      </c>
      <c r="AB5" s="73"/>
      <c r="AC5" s="74"/>
      <c r="AD5" s="80" t="s">
        <v>666</v>
      </c>
      <c r="AE5" s="80" t="s">
        <v>996</v>
      </c>
      <c r="AF5" s="80" t="s">
        <v>1324</v>
      </c>
      <c r="AG5" s="80" t="s">
        <v>1635</v>
      </c>
      <c r="AH5" s="80" t="s">
        <v>1719</v>
      </c>
      <c r="AI5" s="80">
        <v>472847</v>
      </c>
      <c r="AJ5" s="80">
        <v>976</v>
      </c>
      <c r="AK5" s="80">
        <v>14212</v>
      </c>
      <c r="AL5" s="80">
        <v>95</v>
      </c>
      <c r="AM5" s="80" t="s">
        <v>2047</v>
      </c>
      <c r="AN5" s="98" t="str">
        <f>HYPERLINK("https://www.youtube.com/watch?v=zXdy4Q8xlH0")</f>
        <v>https://www.youtube.com/watch?v=zXdy4Q8xlH0</v>
      </c>
      <c r="AO5" s="80" t="str">
        <f>REPLACE(INDEX(GroupVertices[Group],MATCH(Vertices[[#This Row],[Vertex]],GroupVertices[Vertex],0)),1,1,"")</f>
        <v>3</v>
      </c>
      <c r="AP5" s="48">
        <v>2</v>
      </c>
      <c r="AQ5" s="49">
        <v>2.898550724637681</v>
      </c>
      <c r="AR5" s="48">
        <v>5</v>
      </c>
      <c r="AS5" s="49">
        <v>7.246376811594203</v>
      </c>
      <c r="AT5" s="48">
        <v>0</v>
      </c>
      <c r="AU5" s="49">
        <v>0</v>
      </c>
      <c r="AV5" s="48">
        <v>62</v>
      </c>
      <c r="AW5" s="49">
        <v>89.85507246376811</v>
      </c>
      <c r="AX5" s="48">
        <v>69</v>
      </c>
      <c r="AY5" s="48"/>
      <c r="AZ5" s="48"/>
      <c r="BA5" s="48"/>
      <c r="BB5" s="48"/>
      <c r="BC5" s="2"/>
      <c r="BD5" s="3"/>
      <c r="BE5" s="3"/>
      <c r="BF5" s="3"/>
      <c r="BG5" s="3"/>
    </row>
    <row r="6" spans="1:59" ht="15">
      <c r="A6" s="66" t="s">
        <v>332</v>
      </c>
      <c r="B6" s="67"/>
      <c r="C6" s="67"/>
      <c r="D6" s="68">
        <v>173.8613391271681</v>
      </c>
      <c r="E6" s="70"/>
      <c r="F6" s="96" t="str">
        <f>HYPERLINK("https://i.ytimg.com/vi/w1RHoTayPNc/default.jpg")</f>
        <v>https://i.ytimg.com/vi/w1RHoTayPNc/default.jpg</v>
      </c>
      <c r="G6" s="67"/>
      <c r="H6" s="71" t="s">
        <v>667</v>
      </c>
      <c r="I6" s="72"/>
      <c r="J6" s="72" t="s">
        <v>159</v>
      </c>
      <c r="K6" s="71" t="s">
        <v>667</v>
      </c>
      <c r="L6" s="75">
        <v>1250.75</v>
      </c>
      <c r="M6" s="76">
        <v>6178.53173828125</v>
      </c>
      <c r="N6" s="76">
        <v>9493.240234375</v>
      </c>
      <c r="O6" s="77"/>
      <c r="P6" s="78"/>
      <c r="Q6" s="78"/>
      <c r="R6" s="82"/>
      <c r="S6" s="48">
        <v>1</v>
      </c>
      <c r="T6" s="48">
        <v>0</v>
      </c>
      <c r="U6" s="49">
        <v>0</v>
      </c>
      <c r="V6" s="49">
        <v>0.000905</v>
      </c>
      <c r="W6" s="49">
        <v>0.001373</v>
      </c>
      <c r="X6" s="49">
        <v>0.484111</v>
      </c>
      <c r="Y6" s="49">
        <v>0</v>
      </c>
      <c r="Z6" s="49">
        <v>0</v>
      </c>
      <c r="AA6" s="73">
        <v>6</v>
      </c>
      <c r="AB6" s="73"/>
      <c r="AC6" s="74"/>
      <c r="AD6" s="80" t="s">
        <v>667</v>
      </c>
      <c r="AE6" s="80" t="s">
        <v>997</v>
      </c>
      <c r="AF6" s="80" t="s">
        <v>1325</v>
      </c>
      <c r="AG6" s="80" t="s">
        <v>1635</v>
      </c>
      <c r="AH6" s="80" t="s">
        <v>1720</v>
      </c>
      <c r="AI6" s="80">
        <v>1060585</v>
      </c>
      <c r="AJ6" s="80">
        <v>8646</v>
      </c>
      <c r="AK6" s="80">
        <v>46793</v>
      </c>
      <c r="AL6" s="80">
        <v>361</v>
      </c>
      <c r="AM6" s="80" t="s">
        <v>2047</v>
      </c>
      <c r="AN6" s="98" t="str">
        <f>HYPERLINK("https://www.youtube.com/watch?v=w1RHoTayPNc")</f>
        <v>https://www.youtube.com/watch?v=w1RHoTayPNc</v>
      </c>
      <c r="AO6" s="80" t="str">
        <f>REPLACE(INDEX(GroupVertices[Group],MATCH(Vertices[[#This Row],[Vertex]],GroupVertices[Vertex],0)),1,1,"")</f>
        <v>3</v>
      </c>
      <c r="AP6" s="48">
        <v>0</v>
      </c>
      <c r="AQ6" s="49">
        <v>0</v>
      </c>
      <c r="AR6" s="48">
        <v>1</v>
      </c>
      <c r="AS6" s="49">
        <v>1.492537313432836</v>
      </c>
      <c r="AT6" s="48">
        <v>0</v>
      </c>
      <c r="AU6" s="49">
        <v>0</v>
      </c>
      <c r="AV6" s="48">
        <v>66</v>
      </c>
      <c r="AW6" s="49">
        <v>98.50746268656717</v>
      </c>
      <c r="AX6" s="48">
        <v>67</v>
      </c>
      <c r="AY6" s="48"/>
      <c r="AZ6" s="48"/>
      <c r="BA6" s="48"/>
      <c r="BB6" s="48"/>
      <c r="BC6" s="2"/>
      <c r="BD6" s="3"/>
      <c r="BE6" s="3"/>
      <c r="BF6" s="3"/>
      <c r="BG6" s="3"/>
    </row>
    <row r="7" spans="1:59" ht="15">
      <c r="A7" s="66" t="s">
        <v>333</v>
      </c>
      <c r="B7" s="67"/>
      <c r="C7" s="67"/>
      <c r="D7" s="68">
        <v>343.18467654639426</v>
      </c>
      <c r="E7" s="70"/>
      <c r="F7" s="96" t="str">
        <f>HYPERLINK("https://i.ytimg.com/vi/IbSCM1GAjA4/default.jpg")</f>
        <v>https://i.ytimg.com/vi/IbSCM1GAjA4/default.jpg</v>
      </c>
      <c r="G7" s="67"/>
      <c r="H7" s="71" t="s">
        <v>668</v>
      </c>
      <c r="I7" s="72"/>
      <c r="J7" s="72" t="s">
        <v>159</v>
      </c>
      <c r="K7" s="71" t="s">
        <v>668</v>
      </c>
      <c r="L7" s="75">
        <v>1250.75</v>
      </c>
      <c r="M7" s="76">
        <v>5897.49755859375</v>
      </c>
      <c r="N7" s="76">
        <v>9007.9599609375</v>
      </c>
      <c r="O7" s="77"/>
      <c r="P7" s="78"/>
      <c r="Q7" s="78"/>
      <c r="R7" s="82"/>
      <c r="S7" s="48">
        <v>1</v>
      </c>
      <c r="T7" s="48">
        <v>0</v>
      </c>
      <c r="U7" s="49">
        <v>0</v>
      </c>
      <c r="V7" s="49">
        <v>0.000905</v>
      </c>
      <c r="W7" s="49">
        <v>0.001373</v>
      </c>
      <c r="X7" s="49">
        <v>0.484111</v>
      </c>
      <c r="Y7" s="49">
        <v>0</v>
      </c>
      <c r="Z7" s="49">
        <v>0</v>
      </c>
      <c r="AA7" s="73">
        <v>7</v>
      </c>
      <c r="AB7" s="73"/>
      <c r="AC7" s="74"/>
      <c r="AD7" s="80" t="s">
        <v>668</v>
      </c>
      <c r="AE7" s="80" t="s">
        <v>998</v>
      </c>
      <c r="AF7" s="80" t="s">
        <v>1326</v>
      </c>
      <c r="AG7" s="80" t="s">
        <v>1635</v>
      </c>
      <c r="AH7" s="80" t="s">
        <v>1721</v>
      </c>
      <c r="AI7" s="80">
        <v>2961464</v>
      </c>
      <c r="AJ7" s="80">
        <v>13407</v>
      </c>
      <c r="AK7" s="80">
        <v>91601</v>
      </c>
      <c r="AL7" s="80">
        <v>776</v>
      </c>
      <c r="AM7" s="80" t="s">
        <v>2047</v>
      </c>
      <c r="AN7" s="98" t="str">
        <f>HYPERLINK("https://www.youtube.com/watch?v=IbSCM1GAjA4")</f>
        <v>https://www.youtube.com/watch?v=IbSCM1GAjA4</v>
      </c>
      <c r="AO7" s="80" t="str">
        <f>REPLACE(INDEX(GroupVertices[Group],MATCH(Vertices[[#This Row],[Vertex]],GroupVertices[Vertex],0)),1,1,"")</f>
        <v>3</v>
      </c>
      <c r="AP7" s="48">
        <v>0</v>
      </c>
      <c r="AQ7" s="49">
        <v>0</v>
      </c>
      <c r="AR7" s="48">
        <v>1</v>
      </c>
      <c r="AS7" s="49">
        <v>1.8518518518518519</v>
      </c>
      <c r="AT7" s="48">
        <v>0</v>
      </c>
      <c r="AU7" s="49">
        <v>0</v>
      </c>
      <c r="AV7" s="48">
        <v>53</v>
      </c>
      <c r="AW7" s="49">
        <v>98.14814814814815</v>
      </c>
      <c r="AX7" s="48">
        <v>54</v>
      </c>
      <c r="AY7" s="48"/>
      <c r="AZ7" s="48"/>
      <c r="BA7" s="48"/>
      <c r="BB7" s="48"/>
      <c r="BC7" s="2"/>
      <c r="BD7" s="3"/>
      <c r="BE7" s="3"/>
      <c r="BF7" s="3"/>
      <c r="BG7" s="3"/>
    </row>
    <row r="8" spans="1:59" ht="15">
      <c r="A8" s="66" t="s">
        <v>334</v>
      </c>
      <c r="B8" s="67"/>
      <c r="C8" s="67"/>
      <c r="D8" s="68">
        <v>124.31984214124022</v>
      </c>
      <c r="E8" s="70"/>
      <c r="F8" s="96" t="str">
        <f>HYPERLINK("https://i.ytimg.com/vi/D1GZrZKaw0o/default.jpg")</f>
        <v>https://i.ytimg.com/vi/D1GZrZKaw0o/default.jpg</v>
      </c>
      <c r="G8" s="67"/>
      <c r="H8" s="71" t="s">
        <v>669</v>
      </c>
      <c r="I8" s="72"/>
      <c r="J8" s="72" t="s">
        <v>159</v>
      </c>
      <c r="K8" s="71" t="s">
        <v>669</v>
      </c>
      <c r="L8" s="75">
        <v>1250.75</v>
      </c>
      <c r="M8" s="76">
        <v>6863.21875</v>
      </c>
      <c r="N8" s="76">
        <v>8180.2548828125</v>
      </c>
      <c r="O8" s="77"/>
      <c r="P8" s="78"/>
      <c r="Q8" s="78"/>
      <c r="R8" s="82"/>
      <c r="S8" s="48">
        <v>1</v>
      </c>
      <c r="T8" s="48">
        <v>0</v>
      </c>
      <c r="U8" s="49">
        <v>0</v>
      </c>
      <c r="V8" s="49">
        <v>0.000905</v>
      </c>
      <c r="W8" s="49">
        <v>0.001373</v>
      </c>
      <c r="X8" s="49">
        <v>0.484111</v>
      </c>
      <c r="Y8" s="49">
        <v>0</v>
      </c>
      <c r="Z8" s="49">
        <v>0</v>
      </c>
      <c r="AA8" s="73">
        <v>8</v>
      </c>
      <c r="AB8" s="73"/>
      <c r="AC8" s="74"/>
      <c r="AD8" s="80" t="s">
        <v>669</v>
      </c>
      <c r="AE8" s="80" t="s">
        <v>999</v>
      </c>
      <c r="AF8" s="80" t="s">
        <v>1327</v>
      </c>
      <c r="AG8" s="80" t="s">
        <v>1635</v>
      </c>
      <c r="AH8" s="80" t="s">
        <v>1722</v>
      </c>
      <c r="AI8" s="80">
        <v>504416</v>
      </c>
      <c r="AJ8" s="80">
        <v>1593</v>
      </c>
      <c r="AK8" s="80">
        <v>17081</v>
      </c>
      <c r="AL8" s="80">
        <v>117</v>
      </c>
      <c r="AM8" s="80" t="s">
        <v>2047</v>
      </c>
      <c r="AN8" s="98" t="str">
        <f>HYPERLINK("https://www.youtube.com/watch?v=D1GZrZKaw0o")</f>
        <v>https://www.youtube.com/watch?v=D1GZrZKaw0o</v>
      </c>
      <c r="AO8" s="80" t="str">
        <f>REPLACE(INDEX(GroupVertices[Group],MATCH(Vertices[[#This Row],[Vertex]],GroupVertices[Vertex],0)),1,1,"")</f>
        <v>3</v>
      </c>
      <c r="AP8" s="48">
        <v>1</v>
      </c>
      <c r="AQ8" s="49">
        <v>1.6129032258064515</v>
      </c>
      <c r="AR8" s="48">
        <v>0</v>
      </c>
      <c r="AS8" s="49">
        <v>0</v>
      </c>
      <c r="AT8" s="48">
        <v>0</v>
      </c>
      <c r="AU8" s="49">
        <v>0</v>
      </c>
      <c r="AV8" s="48">
        <v>61</v>
      </c>
      <c r="AW8" s="49">
        <v>98.38709677419355</v>
      </c>
      <c r="AX8" s="48">
        <v>62</v>
      </c>
      <c r="AY8" s="48"/>
      <c r="AZ8" s="48"/>
      <c r="BA8" s="48"/>
      <c r="BB8" s="48"/>
      <c r="BC8" s="2"/>
      <c r="BD8" s="3"/>
      <c r="BE8" s="3"/>
      <c r="BF8" s="3"/>
      <c r="BG8" s="3"/>
    </row>
    <row r="9" spans="1:59" ht="15">
      <c r="A9" s="66" t="s">
        <v>335</v>
      </c>
      <c r="B9" s="67"/>
      <c r="C9" s="67"/>
      <c r="D9" s="68">
        <v>128.53431084930415</v>
      </c>
      <c r="E9" s="70"/>
      <c r="F9" s="96" t="str">
        <f>HYPERLINK("https://i.ytimg.com/vi/KeruO5AC7ec/default.jpg")</f>
        <v>https://i.ytimg.com/vi/KeruO5AC7ec/default.jpg</v>
      </c>
      <c r="G9" s="67"/>
      <c r="H9" s="71" t="s">
        <v>670</v>
      </c>
      <c r="I9" s="72"/>
      <c r="J9" s="72" t="s">
        <v>159</v>
      </c>
      <c r="K9" s="71" t="s">
        <v>670</v>
      </c>
      <c r="L9" s="75">
        <v>1250.75</v>
      </c>
      <c r="M9" s="76">
        <v>3662.34765625</v>
      </c>
      <c r="N9" s="76">
        <v>7090.08544921875</v>
      </c>
      <c r="O9" s="77"/>
      <c r="P9" s="78"/>
      <c r="Q9" s="78"/>
      <c r="R9" s="82"/>
      <c r="S9" s="48">
        <v>1</v>
      </c>
      <c r="T9" s="48">
        <v>0</v>
      </c>
      <c r="U9" s="49">
        <v>0</v>
      </c>
      <c r="V9" s="49">
        <v>0.000905</v>
      </c>
      <c r="W9" s="49">
        <v>0.001373</v>
      </c>
      <c r="X9" s="49">
        <v>0.484111</v>
      </c>
      <c r="Y9" s="49">
        <v>0</v>
      </c>
      <c r="Z9" s="49">
        <v>0</v>
      </c>
      <c r="AA9" s="73">
        <v>9</v>
      </c>
      <c r="AB9" s="73"/>
      <c r="AC9" s="74"/>
      <c r="AD9" s="80" t="s">
        <v>670</v>
      </c>
      <c r="AE9" s="80" t="s">
        <v>1000</v>
      </c>
      <c r="AF9" s="80" t="s">
        <v>1328</v>
      </c>
      <c r="AG9" s="80" t="s">
        <v>1635</v>
      </c>
      <c r="AH9" s="80" t="s">
        <v>1723</v>
      </c>
      <c r="AI9" s="80">
        <v>551729</v>
      </c>
      <c r="AJ9" s="80">
        <v>1130</v>
      </c>
      <c r="AK9" s="80">
        <v>16088</v>
      </c>
      <c r="AL9" s="80">
        <v>119</v>
      </c>
      <c r="AM9" s="80" t="s">
        <v>2047</v>
      </c>
      <c r="AN9" s="98" t="str">
        <f>HYPERLINK("https://www.youtube.com/watch?v=KeruO5AC7ec")</f>
        <v>https://www.youtube.com/watch?v=KeruO5AC7ec</v>
      </c>
      <c r="AO9" s="80" t="str">
        <f>REPLACE(INDEX(GroupVertices[Group],MATCH(Vertices[[#This Row],[Vertex]],GroupVertices[Vertex],0)),1,1,"")</f>
        <v>3</v>
      </c>
      <c r="AP9" s="48">
        <v>1</v>
      </c>
      <c r="AQ9" s="49">
        <v>1.5873015873015872</v>
      </c>
      <c r="AR9" s="48">
        <v>11</v>
      </c>
      <c r="AS9" s="49">
        <v>17.46031746031746</v>
      </c>
      <c r="AT9" s="48">
        <v>0</v>
      </c>
      <c r="AU9" s="49">
        <v>0</v>
      </c>
      <c r="AV9" s="48">
        <v>51</v>
      </c>
      <c r="AW9" s="49">
        <v>80.95238095238095</v>
      </c>
      <c r="AX9" s="48">
        <v>63</v>
      </c>
      <c r="AY9" s="48"/>
      <c r="AZ9" s="48"/>
      <c r="BA9" s="48"/>
      <c r="BB9" s="48"/>
      <c r="BC9" s="2"/>
      <c r="BD9" s="3"/>
      <c r="BE9" s="3"/>
      <c r="BF9" s="3"/>
      <c r="BG9" s="3"/>
    </row>
    <row r="10" spans="1:59" ht="15">
      <c r="A10" s="66" t="s">
        <v>336</v>
      </c>
      <c r="B10" s="67"/>
      <c r="C10" s="67"/>
      <c r="D10" s="68">
        <v>396.2085238308247</v>
      </c>
      <c r="E10" s="70"/>
      <c r="F10" s="96" t="str">
        <f>HYPERLINK("https://i.ytimg.com/vi/LzpCldPiT0c/default.jpg")</f>
        <v>https://i.ytimg.com/vi/LzpCldPiT0c/default.jpg</v>
      </c>
      <c r="G10" s="67"/>
      <c r="H10" s="71" t="s">
        <v>671</v>
      </c>
      <c r="I10" s="72"/>
      <c r="J10" s="72" t="s">
        <v>159</v>
      </c>
      <c r="K10" s="71" t="s">
        <v>671</v>
      </c>
      <c r="L10" s="75">
        <v>1250.75</v>
      </c>
      <c r="M10" s="76">
        <v>6845.015625</v>
      </c>
      <c r="N10" s="76">
        <v>7767.13232421875</v>
      </c>
      <c r="O10" s="77"/>
      <c r="P10" s="78"/>
      <c r="Q10" s="78"/>
      <c r="R10" s="82"/>
      <c r="S10" s="48">
        <v>1</v>
      </c>
      <c r="T10" s="48">
        <v>0</v>
      </c>
      <c r="U10" s="49">
        <v>0</v>
      </c>
      <c r="V10" s="49">
        <v>0.000905</v>
      </c>
      <c r="W10" s="49">
        <v>0.001373</v>
      </c>
      <c r="X10" s="49">
        <v>0.484111</v>
      </c>
      <c r="Y10" s="49">
        <v>0</v>
      </c>
      <c r="Z10" s="49">
        <v>0</v>
      </c>
      <c r="AA10" s="73">
        <v>10</v>
      </c>
      <c r="AB10" s="73"/>
      <c r="AC10" s="74"/>
      <c r="AD10" s="80" t="s">
        <v>671</v>
      </c>
      <c r="AE10" s="80" t="s">
        <v>1001</v>
      </c>
      <c r="AF10" s="80" t="s">
        <v>1329</v>
      </c>
      <c r="AG10" s="80" t="s">
        <v>1635</v>
      </c>
      <c r="AH10" s="80" t="s">
        <v>1724</v>
      </c>
      <c r="AI10" s="80">
        <v>3556727</v>
      </c>
      <c r="AJ10" s="80">
        <v>10599</v>
      </c>
      <c r="AK10" s="80">
        <v>193119</v>
      </c>
      <c r="AL10" s="80">
        <v>1216</v>
      </c>
      <c r="AM10" s="80" t="s">
        <v>2047</v>
      </c>
      <c r="AN10" s="98" t="str">
        <f>HYPERLINK("https://www.youtube.com/watch?v=LzpCldPiT0c")</f>
        <v>https://www.youtube.com/watch?v=LzpCldPiT0c</v>
      </c>
      <c r="AO10" s="80" t="str">
        <f>REPLACE(INDEX(GroupVertices[Group],MATCH(Vertices[[#This Row],[Vertex]],GroupVertices[Vertex],0)),1,1,"")</f>
        <v>3</v>
      </c>
      <c r="AP10" s="48">
        <v>1</v>
      </c>
      <c r="AQ10" s="49">
        <v>1.4285714285714286</v>
      </c>
      <c r="AR10" s="48">
        <v>0</v>
      </c>
      <c r="AS10" s="49">
        <v>0</v>
      </c>
      <c r="AT10" s="48">
        <v>0</v>
      </c>
      <c r="AU10" s="49">
        <v>0</v>
      </c>
      <c r="AV10" s="48">
        <v>69</v>
      </c>
      <c r="AW10" s="49">
        <v>98.57142857142857</v>
      </c>
      <c r="AX10" s="48">
        <v>70</v>
      </c>
      <c r="AY10" s="48"/>
      <c r="AZ10" s="48"/>
      <c r="BA10" s="48"/>
      <c r="BB10" s="48"/>
      <c r="BC10" s="2"/>
      <c r="BD10" s="3"/>
      <c r="BE10" s="3"/>
      <c r="BF10" s="3"/>
      <c r="BG10" s="3"/>
    </row>
    <row r="11" spans="1:59" ht="15">
      <c r="A11" s="66" t="s">
        <v>337</v>
      </c>
      <c r="B11" s="67"/>
      <c r="C11" s="67"/>
      <c r="D11" s="68">
        <v>444.1960841267905</v>
      </c>
      <c r="E11" s="70"/>
      <c r="F11" s="96" t="str">
        <f>HYPERLINK("https://i.ytimg.com/vi/GZzO9PanHLU/default.jpg")</f>
        <v>https://i.ytimg.com/vi/GZzO9PanHLU/default.jpg</v>
      </c>
      <c r="G11" s="67"/>
      <c r="H11" s="71" t="s">
        <v>672</v>
      </c>
      <c r="I11" s="72"/>
      <c r="J11" s="72" t="s">
        <v>159</v>
      </c>
      <c r="K11" s="71" t="s">
        <v>672</v>
      </c>
      <c r="L11" s="75">
        <v>1250.75</v>
      </c>
      <c r="M11" s="76">
        <v>4165.82763671875</v>
      </c>
      <c r="N11" s="76">
        <v>7186.74951171875</v>
      </c>
      <c r="O11" s="77"/>
      <c r="P11" s="78"/>
      <c r="Q11" s="78"/>
      <c r="R11" s="82"/>
      <c r="S11" s="48">
        <v>1</v>
      </c>
      <c r="T11" s="48">
        <v>0</v>
      </c>
      <c r="U11" s="49">
        <v>0</v>
      </c>
      <c r="V11" s="49">
        <v>0.000905</v>
      </c>
      <c r="W11" s="49">
        <v>0.001373</v>
      </c>
      <c r="X11" s="49">
        <v>0.484111</v>
      </c>
      <c r="Y11" s="49">
        <v>0</v>
      </c>
      <c r="Z11" s="49">
        <v>0</v>
      </c>
      <c r="AA11" s="73">
        <v>11</v>
      </c>
      <c r="AB11" s="73"/>
      <c r="AC11" s="74"/>
      <c r="AD11" s="80" t="s">
        <v>672</v>
      </c>
      <c r="AE11" s="80" t="s">
        <v>1002</v>
      </c>
      <c r="AF11" s="80" t="s">
        <v>1330</v>
      </c>
      <c r="AG11" s="80" t="s">
        <v>1635</v>
      </c>
      <c r="AH11" s="80" t="s">
        <v>1725</v>
      </c>
      <c r="AI11" s="80">
        <v>4095451</v>
      </c>
      <c r="AJ11" s="80">
        <v>12265</v>
      </c>
      <c r="AK11" s="80">
        <v>189856</v>
      </c>
      <c r="AL11" s="80">
        <v>2676</v>
      </c>
      <c r="AM11" s="80" t="s">
        <v>2047</v>
      </c>
      <c r="AN11" s="98" t="str">
        <f>HYPERLINK("https://www.youtube.com/watch?v=GZzO9PanHLU")</f>
        <v>https://www.youtube.com/watch?v=GZzO9PanHLU</v>
      </c>
      <c r="AO11" s="80" t="str">
        <f>REPLACE(INDEX(GroupVertices[Group],MATCH(Vertices[[#This Row],[Vertex]],GroupVertices[Vertex],0)),1,1,"")</f>
        <v>3</v>
      </c>
      <c r="AP11" s="48">
        <v>0</v>
      </c>
      <c r="AQ11" s="49">
        <v>0</v>
      </c>
      <c r="AR11" s="48">
        <v>2</v>
      </c>
      <c r="AS11" s="49">
        <v>3.0303030303030303</v>
      </c>
      <c r="AT11" s="48">
        <v>0</v>
      </c>
      <c r="AU11" s="49">
        <v>0</v>
      </c>
      <c r="AV11" s="48">
        <v>64</v>
      </c>
      <c r="AW11" s="49">
        <v>96.96969696969697</v>
      </c>
      <c r="AX11" s="48">
        <v>66</v>
      </c>
      <c r="AY11" s="48"/>
      <c r="AZ11" s="48"/>
      <c r="BA11" s="48"/>
      <c r="BB11" s="48"/>
      <c r="BC11" s="2"/>
      <c r="BD11" s="3"/>
      <c r="BE11" s="3"/>
      <c r="BF11" s="3"/>
      <c r="BG11" s="3"/>
    </row>
    <row r="12" spans="1:59" ht="15">
      <c r="A12" s="66" t="s">
        <v>338</v>
      </c>
      <c r="B12" s="67"/>
      <c r="C12" s="67"/>
      <c r="D12" s="68">
        <v>235.79460158672066</v>
      </c>
      <c r="E12" s="70"/>
      <c r="F12" s="96" t="str">
        <f>HYPERLINK("https://i.ytimg.com/vi/3cYbYBsLMSo/default.jpg")</f>
        <v>https://i.ytimg.com/vi/3cYbYBsLMSo/default.jpg</v>
      </c>
      <c r="G12" s="67"/>
      <c r="H12" s="71" t="s">
        <v>673</v>
      </c>
      <c r="I12" s="72"/>
      <c r="J12" s="72" t="s">
        <v>159</v>
      </c>
      <c r="K12" s="71" t="s">
        <v>673</v>
      </c>
      <c r="L12" s="75">
        <v>1250.75</v>
      </c>
      <c r="M12" s="76">
        <v>4182.0283203125</v>
      </c>
      <c r="N12" s="76">
        <v>6465.91259765625</v>
      </c>
      <c r="O12" s="77"/>
      <c r="P12" s="78"/>
      <c r="Q12" s="78"/>
      <c r="R12" s="82"/>
      <c r="S12" s="48">
        <v>1</v>
      </c>
      <c r="T12" s="48">
        <v>0</v>
      </c>
      <c r="U12" s="49">
        <v>0</v>
      </c>
      <c r="V12" s="49">
        <v>0.000905</v>
      </c>
      <c r="W12" s="49">
        <v>0.001373</v>
      </c>
      <c r="X12" s="49">
        <v>0.484111</v>
      </c>
      <c r="Y12" s="49">
        <v>0</v>
      </c>
      <c r="Z12" s="49">
        <v>0</v>
      </c>
      <c r="AA12" s="73">
        <v>12</v>
      </c>
      <c r="AB12" s="73"/>
      <c r="AC12" s="74"/>
      <c r="AD12" s="80" t="s">
        <v>673</v>
      </c>
      <c r="AE12" s="80" t="s">
        <v>1003</v>
      </c>
      <c r="AF12" s="80" t="s">
        <v>1331</v>
      </c>
      <c r="AG12" s="80" t="s">
        <v>1635</v>
      </c>
      <c r="AH12" s="80" t="s">
        <v>1726</v>
      </c>
      <c r="AI12" s="80">
        <v>1755868</v>
      </c>
      <c r="AJ12" s="80">
        <v>6410</v>
      </c>
      <c r="AK12" s="80">
        <v>77826</v>
      </c>
      <c r="AL12" s="80">
        <v>326</v>
      </c>
      <c r="AM12" s="80" t="s">
        <v>2047</v>
      </c>
      <c r="AN12" s="98" t="str">
        <f>HYPERLINK("https://www.youtube.com/watch?v=3cYbYBsLMSo")</f>
        <v>https://www.youtube.com/watch?v=3cYbYBsLMSo</v>
      </c>
      <c r="AO12" s="80" t="str">
        <f>REPLACE(INDEX(GroupVertices[Group],MATCH(Vertices[[#This Row],[Vertex]],GroupVertices[Vertex],0)),1,1,"")</f>
        <v>3</v>
      </c>
      <c r="AP12" s="48">
        <v>2</v>
      </c>
      <c r="AQ12" s="49">
        <v>2.6315789473684212</v>
      </c>
      <c r="AR12" s="48">
        <v>0</v>
      </c>
      <c r="AS12" s="49">
        <v>0</v>
      </c>
      <c r="AT12" s="48">
        <v>0</v>
      </c>
      <c r="AU12" s="49">
        <v>0</v>
      </c>
      <c r="AV12" s="48">
        <v>74</v>
      </c>
      <c r="AW12" s="49">
        <v>97.36842105263158</v>
      </c>
      <c r="AX12" s="48">
        <v>76</v>
      </c>
      <c r="AY12" s="48"/>
      <c r="AZ12" s="48"/>
      <c r="BA12" s="48"/>
      <c r="BB12" s="48"/>
      <c r="BC12" s="2"/>
      <c r="BD12" s="3"/>
      <c r="BE12" s="3"/>
      <c r="BF12" s="3"/>
      <c r="BG12" s="3"/>
    </row>
    <row r="13" spans="1:59" ht="15">
      <c r="A13" s="66" t="s">
        <v>339</v>
      </c>
      <c r="B13" s="67"/>
      <c r="C13" s="67"/>
      <c r="D13" s="68">
        <v>466.7393452114692</v>
      </c>
      <c r="E13" s="70"/>
      <c r="F13" s="96" t="str">
        <f>HYPERLINK("https://i.ytimg.com/vi/dlnx89ZiAOE/default.jpg")</f>
        <v>https://i.ytimg.com/vi/dlnx89ZiAOE/default.jpg</v>
      </c>
      <c r="G13" s="67"/>
      <c r="H13" s="71" t="s">
        <v>674</v>
      </c>
      <c r="I13" s="72"/>
      <c r="J13" s="72" t="s">
        <v>159</v>
      </c>
      <c r="K13" s="71" t="s">
        <v>674</v>
      </c>
      <c r="L13" s="75">
        <v>1250.75</v>
      </c>
      <c r="M13" s="76">
        <v>4627.0361328125</v>
      </c>
      <c r="N13" s="76">
        <v>7553.025390625</v>
      </c>
      <c r="O13" s="77"/>
      <c r="P13" s="78"/>
      <c r="Q13" s="78"/>
      <c r="R13" s="82"/>
      <c r="S13" s="48">
        <v>1</v>
      </c>
      <c r="T13" s="48">
        <v>0</v>
      </c>
      <c r="U13" s="49">
        <v>0</v>
      </c>
      <c r="V13" s="49">
        <v>0.000905</v>
      </c>
      <c r="W13" s="49">
        <v>0.001373</v>
      </c>
      <c r="X13" s="49">
        <v>0.484111</v>
      </c>
      <c r="Y13" s="49">
        <v>0</v>
      </c>
      <c r="Z13" s="49">
        <v>0</v>
      </c>
      <c r="AA13" s="73">
        <v>13</v>
      </c>
      <c r="AB13" s="73"/>
      <c r="AC13" s="74"/>
      <c r="AD13" s="80" t="s">
        <v>674</v>
      </c>
      <c r="AE13" s="80" t="s">
        <v>1004</v>
      </c>
      <c r="AF13" s="80" t="s">
        <v>1332</v>
      </c>
      <c r="AG13" s="80" t="s">
        <v>1635</v>
      </c>
      <c r="AH13" s="80" t="s">
        <v>1727</v>
      </c>
      <c r="AI13" s="80">
        <v>4348529</v>
      </c>
      <c r="AJ13" s="80">
        <v>17390</v>
      </c>
      <c r="AK13" s="80">
        <v>164994</v>
      </c>
      <c r="AL13" s="80">
        <v>1302</v>
      </c>
      <c r="AM13" s="80" t="s">
        <v>2047</v>
      </c>
      <c r="AN13" s="98" t="str">
        <f>HYPERLINK("https://www.youtube.com/watch?v=dlnx89ZiAOE")</f>
        <v>https://www.youtube.com/watch?v=dlnx89ZiAOE</v>
      </c>
      <c r="AO13" s="80" t="str">
        <f>REPLACE(INDEX(GroupVertices[Group],MATCH(Vertices[[#This Row],[Vertex]],GroupVertices[Vertex],0)),1,1,"")</f>
        <v>3</v>
      </c>
      <c r="AP13" s="48">
        <v>0</v>
      </c>
      <c r="AQ13" s="49">
        <v>0</v>
      </c>
      <c r="AR13" s="48">
        <v>1</v>
      </c>
      <c r="AS13" s="49">
        <v>2.0408163265306123</v>
      </c>
      <c r="AT13" s="48">
        <v>0</v>
      </c>
      <c r="AU13" s="49">
        <v>0</v>
      </c>
      <c r="AV13" s="48">
        <v>48</v>
      </c>
      <c r="AW13" s="49">
        <v>97.95918367346938</v>
      </c>
      <c r="AX13" s="48">
        <v>49</v>
      </c>
      <c r="AY13" s="48"/>
      <c r="AZ13" s="48"/>
      <c r="BA13" s="48"/>
      <c r="BB13" s="48"/>
      <c r="BC13" s="2"/>
      <c r="BD13" s="3"/>
      <c r="BE13" s="3"/>
      <c r="BF13" s="3"/>
      <c r="BG13" s="3"/>
    </row>
    <row r="14" spans="1:59" ht="15">
      <c r="A14" s="66" t="s">
        <v>340</v>
      </c>
      <c r="B14" s="67"/>
      <c r="C14" s="67"/>
      <c r="D14" s="68">
        <v>148.37330343466735</v>
      </c>
      <c r="E14" s="70"/>
      <c r="F14" s="96" t="str">
        <f>HYPERLINK("https://i.ytimg.com/vi/jNL0_FSrOPY/default.jpg")</f>
        <v>https://i.ytimg.com/vi/jNL0_FSrOPY/default.jpg</v>
      </c>
      <c r="G14" s="67"/>
      <c r="H14" s="71" t="s">
        <v>675</v>
      </c>
      <c r="I14" s="72"/>
      <c r="J14" s="72" t="s">
        <v>159</v>
      </c>
      <c r="K14" s="71" t="s">
        <v>675</v>
      </c>
      <c r="L14" s="75">
        <v>1250.75</v>
      </c>
      <c r="M14" s="76">
        <v>4651.33447265625</v>
      </c>
      <c r="N14" s="76">
        <v>9776.5849609375</v>
      </c>
      <c r="O14" s="77"/>
      <c r="P14" s="78"/>
      <c r="Q14" s="78"/>
      <c r="R14" s="82"/>
      <c r="S14" s="48">
        <v>1</v>
      </c>
      <c r="T14" s="48">
        <v>0</v>
      </c>
      <c r="U14" s="49">
        <v>0</v>
      </c>
      <c r="V14" s="49">
        <v>0.000905</v>
      </c>
      <c r="W14" s="49">
        <v>0.001373</v>
      </c>
      <c r="X14" s="49">
        <v>0.484111</v>
      </c>
      <c r="Y14" s="49">
        <v>0</v>
      </c>
      <c r="Z14" s="49">
        <v>0</v>
      </c>
      <c r="AA14" s="73">
        <v>14</v>
      </c>
      <c r="AB14" s="73"/>
      <c r="AC14" s="74"/>
      <c r="AD14" s="80" t="s">
        <v>675</v>
      </c>
      <c r="AE14" s="80" t="s">
        <v>1005</v>
      </c>
      <c r="AF14" s="80" t="s">
        <v>1333</v>
      </c>
      <c r="AG14" s="80" t="s">
        <v>1635</v>
      </c>
      <c r="AH14" s="80" t="s">
        <v>1728</v>
      </c>
      <c r="AI14" s="80">
        <v>774448</v>
      </c>
      <c r="AJ14" s="80">
        <v>4501</v>
      </c>
      <c r="AK14" s="80">
        <v>41087</v>
      </c>
      <c r="AL14" s="80">
        <v>628</v>
      </c>
      <c r="AM14" s="80" t="s">
        <v>2047</v>
      </c>
      <c r="AN14" s="98" t="str">
        <f>HYPERLINK("https://www.youtube.com/watch?v=jNL0_FSrOPY")</f>
        <v>https://www.youtube.com/watch?v=jNL0_FSrOPY</v>
      </c>
      <c r="AO14" s="80" t="str">
        <f>REPLACE(INDEX(GroupVertices[Group],MATCH(Vertices[[#This Row],[Vertex]],GroupVertices[Vertex],0)),1,1,"")</f>
        <v>3</v>
      </c>
      <c r="AP14" s="48">
        <v>0</v>
      </c>
      <c r="AQ14" s="49">
        <v>0</v>
      </c>
      <c r="AR14" s="48">
        <v>8</v>
      </c>
      <c r="AS14" s="49">
        <v>12.903225806451612</v>
      </c>
      <c r="AT14" s="48">
        <v>0</v>
      </c>
      <c r="AU14" s="49">
        <v>0</v>
      </c>
      <c r="AV14" s="48">
        <v>54</v>
      </c>
      <c r="AW14" s="49">
        <v>87.09677419354838</v>
      </c>
      <c r="AX14" s="48">
        <v>62</v>
      </c>
      <c r="AY14" s="48"/>
      <c r="AZ14" s="48"/>
      <c r="BA14" s="48"/>
      <c r="BB14" s="48"/>
      <c r="BC14" s="2"/>
      <c r="BD14" s="3"/>
      <c r="BE14" s="3"/>
      <c r="BF14" s="3"/>
      <c r="BG14" s="3"/>
    </row>
    <row r="15" spans="1:59" ht="15">
      <c r="A15" s="66" t="s">
        <v>341</v>
      </c>
      <c r="B15" s="67"/>
      <c r="C15" s="67"/>
      <c r="D15" s="68">
        <v>239.03243734157482</v>
      </c>
      <c r="E15" s="70"/>
      <c r="F15" s="96" t="str">
        <f>HYPERLINK("https://i.ytimg.com/vi/uJRlvg_JG_g/default.jpg")</f>
        <v>https://i.ytimg.com/vi/uJRlvg_JG_g/default.jpg</v>
      </c>
      <c r="G15" s="67"/>
      <c r="H15" s="71" t="s">
        <v>676</v>
      </c>
      <c r="I15" s="72"/>
      <c r="J15" s="72" t="s">
        <v>159</v>
      </c>
      <c r="K15" s="71" t="s">
        <v>676</v>
      </c>
      <c r="L15" s="75">
        <v>1250.75</v>
      </c>
      <c r="M15" s="76">
        <v>6160.05419921875</v>
      </c>
      <c r="N15" s="76">
        <v>8437.7236328125</v>
      </c>
      <c r="O15" s="77"/>
      <c r="P15" s="78"/>
      <c r="Q15" s="78"/>
      <c r="R15" s="82"/>
      <c r="S15" s="48">
        <v>1</v>
      </c>
      <c r="T15" s="48">
        <v>0</v>
      </c>
      <c r="U15" s="49">
        <v>0</v>
      </c>
      <c r="V15" s="49">
        <v>0.000905</v>
      </c>
      <c r="W15" s="49">
        <v>0.001373</v>
      </c>
      <c r="X15" s="49">
        <v>0.484111</v>
      </c>
      <c r="Y15" s="49">
        <v>0</v>
      </c>
      <c r="Z15" s="49">
        <v>0</v>
      </c>
      <c r="AA15" s="73">
        <v>15</v>
      </c>
      <c r="AB15" s="73"/>
      <c r="AC15" s="74"/>
      <c r="AD15" s="80" t="s">
        <v>676</v>
      </c>
      <c r="AE15" s="80" t="s">
        <v>1006</v>
      </c>
      <c r="AF15" s="80" t="s">
        <v>1334</v>
      </c>
      <c r="AG15" s="80" t="s">
        <v>1635</v>
      </c>
      <c r="AH15" s="80" t="s">
        <v>1729</v>
      </c>
      <c r="AI15" s="80">
        <v>1792217</v>
      </c>
      <c r="AJ15" s="80">
        <v>5087</v>
      </c>
      <c r="AK15" s="80">
        <v>82709</v>
      </c>
      <c r="AL15" s="80">
        <v>772</v>
      </c>
      <c r="AM15" s="80" t="s">
        <v>2047</v>
      </c>
      <c r="AN15" s="98" t="str">
        <f>HYPERLINK("https://www.youtube.com/watch?v=uJRlvg_JG_g")</f>
        <v>https://www.youtube.com/watch?v=uJRlvg_JG_g</v>
      </c>
      <c r="AO15" s="80" t="str">
        <f>REPLACE(INDEX(GroupVertices[Group],MATCH(Vertices[[#This Row],[Vertex]],GroupVertices[Vertex],0)),1,1,"")</f>
        <v>3</v>
      </c>
      <c r="AP15" s="48">
        <v>0</v>
      </c>
      <c r="AQ15" s="49">
        <v>0</v>
      </c>
      <c r="AR15" s="48">
        <v>3</v>
      </c>
      <c r="AS15" s="49">
        <v>9.375</v>
      </c>
      <c r="AT15" s="48">
        <v>0</v>
      </c>
      <c r="AU15" s="49">
        <v>0</v>
      </c>
      <c r="AV15" s="48">
        <v>29</v>
      </c>
      <c r="AW15" s="49">
        <v>90.625</v>
      </c>
      <c r="AX15" s="48">
        <v>32</v>
      </c>
      <c r="AY15" s="48"/>
      <c r="AZ15" s="48"/>
      <c r="BA15" s="48"/>
      <c r="BB15" s="48"/>
      <c r="BC15" s="2"/>
      <c r="BD15" s="3"/>
      <c r="BE15" s="3"/>
      <c r="BF15" s="3"/>
      <c r="BG15" s="3"/>
    </row>
    <row r="16" spans="1:59" ht="15">
      <c r="A16" s="66" t="s">
        <v>342</v>
      </c>
      <c r="B16" s="67"/>
      <c r="C16" s="67"/>
      <c r="D16" s="68">
        <v>503.9431460600181</v>
      </c>
      <c r="E16" s="70"/>
      <c r="F16" s="96" t="str">
        <f>HYPERLINK("https://i.ytimg.com/vi/j3Xj6SNIY94/default.jpg")</f>
        <v>https://i.ytimg.com/vi/j3Xj6SNIY94/default.jpg</v>
      </c>
      <c r="G16" s="67"/>
      <c r="H16" s="71" t="s">
        <v>677</v>
      </c>
      <c r="I16" s="72"/>
      <c r="J16" s="72" t="s">
        <v>159</v>
      </c>
      <c r="K16" s="71" t="s">
        <v>677</v>
      </c>
      <c r="L16" s="75">
        <v>1250.75</v>
      </c>
      <c r="M16" s="76">
        <v>3901.302001953125</v>
      </c>
      <c r="N16" s="76">
        <v>6733.77587890625</v>
      </c>
      <c r="O16" s="77"/>
      <c r="P16" s="78"/>
      <c r="Q16" s="78"/>
      <c r="R16" s="82"/>
      <c r="S16" s="48">
        <v>1</v>
      </c>
      <c r="T16" s="48">
        <v>0</v>
      </c>
      <c r="U16" s="49">
        <v>0</v>
      </c>
      <c r="V16" s="49">
        <v>0.000905</v>
      </c>
      <c r="W16" s="49">
        <v>0.001373</v>
      </c>
      <c r="X16" s="49">
        <v>0.484111</v>
      </c>
      <c r="Y16" s="49">
        <v>0</v>
      </c>
      <c r="Z16" s="49">
        <v>0</v>
      </c>
      <c r="AA16" s="73">
        <v>16</v>
      </c>
      <c r="AB16" s="73"/>
      <c r="AC16" s="74"/>
      <c r="AD16" s="80" t="s">
        <v>677</v>
      </c>
      <c r="AE16" s="80" t="s">
        <v>1007</v>
      </c>
      <c r="AF16" s="80" t="s">
        <v>1335</v>
      </c>
      <c r="AG16" s="80" t="s">
        <v>1635</v>
      </c>
      <c r="AH16" s="80" t="s">
        <v>1730</v>
      </c>
      <c r="AI16" s="80">
        <v>4766191</v>
      </c>
      <c r="AJ16" s="80">
        <v>11257</v>
      </c>
      <c r="AK16" s="80">
        <v>161336</v>
      </c>
      <c r="AL16" s="80">
        <v>1630</v>
      </c>
      <c r="AM16" s="80" t="s">
        <v>2047</v>
      </c>
      <c r="AN16" s="98" t="str">
        <f>HYPERLINK("https://www.youtube.com/watch?v=j3Xj6SNIY94")</f>
        <v>https://www.youtube.com/watch?v=j3Xj6SNIY94</v>
      </c>
      <c r="AO16" s="80" t="str">
        <f>REPLACE(INDEX(GroupVertices[Group],MATCH(Vertices[[#This Row],[Vertex]],GroupVertices[Vertex],0)),1,1,"")</f>
        <v>3</v>
      </c>
      <c r="AP16" s="48">
        <v>5</v>
      </c>
      <c r="AQ16" s="49">
        <v>7.462686567164179</v>
      </c>
      <c r="AR16" s="48">
        <v>1</v>
      </c>
      <c r="AS16" s="49">
        <v>1.492537313432836</v>
      </c>
      <c r="AT16" s="48">
        <v>0</v>
      </c>
      <c r="AU16" s="49">
        <v>0</v>
      </c>
      <c r="AV16" s="48">
        <v>61</v>
      </c>
      <c r="AW16" s="49">
        <v>91.04477611940298</v>
      </c>
      <c r="AX16" s="48">
        <v>67</v>
      </c>
      <c r="AY16" s="48"/>
      <c r="AZ16" s="48"/>
      <c r="BA16" s="48"/>
      <c r="BB16" s="48"/>
      <c r="BC16" s="2"/>
      <c r="BD16" s="3"/>
      <c r="BE16" s="3"/>
      <c r="BF16" s="3"/>
      <c r="BG16" s="3"/>
    </row>
    <row r="17" spans="1:59" ht="15">
      <c r="A17" s="66" t="s">
        <v>343</v>
      </c>
      <c r="B17" s="67"/>
      <c r="C17" s="67"/>
      <c r="D17" s="68">
        <v>315.62481434361393</v>
      </c>
      <c r="E17" s="70"/>
      <c r="F17" s="96" t="str">
        <f>HYPERLINK("https://i.ytimg.com/vi/t4Gcrc9lMog/default.jpg")</f>
        <v>https://i.ytimg.com/vi/t4Gcrc9lMog/default.jpg</v>
      </c>
      <c r="G17" s="67"/>
      <c r="H17" s="71" t="s">
        <v>678</v>
      </c>
      <c r="I17" s="72"/>
      <c r="J17" s="72" t="s">
        <v>159</v>
      </c>
      <c r="K17" s="71" t="s">
        <v>678</v>
      </c>
      <c r="L17" s="75">
        <v>1250.75</v>
      </c>
      <c r="M17" s="76">
        <v>5839.763671875</v>
      </c>
      <c r="N17" s="76">
        <v>9670.3583984375</v>
      </c>
      <c r="O17" s="77"/>
      <c r="P17" s="78"/>
      <c r="Q17" s="78"/>
      <c r="R17" s="82"/>
      <c r="S17" s="48">
        <v>1</v>
      </c>
      <c r="T17" s="48">
        <v>0</v>
      </c>
      <c r="U17" s="49">
        <v>0</v>
      </c>
      <c r="V17" s="49">
        <v>0.000905</v>
      </c>
      <c r="W17" s="49">
        <v>0.001373</v>
      </c>
      <c r="X17" s="49">
        <v>0.484111</v>
      </c>
      <c r="Y17" s="49">
        <v>0</v>
      </c>
      <c r="Z17" s="49">
        <v>0</v>
      </c>
      <c r="AA17" s="73">
        <v>17</v>
      </c>
      <c r="AB17" s="73"/>
      <c r="AC17" s="74"/>
      <c r="AD17" s="80" t="s">
        <v>678</v>
      </c>
      <c r="AE17" s="80" t="s">
        <v>1008</v>
      </c>
      <c r="AF17" s="80" t="s">
        <v>1336</v>
      </c>
      <c r="AG17" s="80" t="s">
        <v>1635</v>
      </c>
      <c r="AH17" s="80" t="s">
        <v>1731</v>
      </c>
      <c r="AI17" s="80">
        <v>2652068</v>
      </c>
      <c r="AJ17" s="80">
        <v>6361</v>
      </c>
      <c r="AK17" s="80">
        <v>70056</v>
      </c>
      <c r="AL17" s="80">
        <v>1095</v>
      </c>
      <c r="AM17" s="80" t="s">
        <v>2047</v>
      </c>
      <c r="AN17" s="98" t="str">
        <f>HYPERLINK("https://www.youtube.com/watch?v=t4Gcrc9lMog")</f>
        <v>https://www.youtube.com/watch?v=t4Gcrc9lMog</v>
      </c>
      <c r="AO17" s="80" t="str">
        <f>REPLACE(INDEX(GroupVertices[Group],MATCH(Vertices[[#This Row],[Vertex]],GroupVertices[Vertex],0)),1,1,"")</f>
        <v>3</v>
      </c>
      <c r="AP17" s="48">
        <v>9</v>
      </c>
      <c r="AQ17" s="49">
        <v>11.39240506329114</v>
      </c>
      <c r="AR17" s="48">
        <v>6</v>
      </c>
      <c r="AS17" s="49">
        <v>7.594936708860759</v>
      </c>
      <c r="AT17" s="48">
        <v>0</v>
      </c>
      <c r="AU17" s="49">
        <v>0</v>
      </c>
      <c r="AV17" s="48">
        <v>64</v>
      </c>
      <c r="AW17" s="49">
        <v>81.0126582278481</v>
      </c>
      <c r="AX17" s="48">
        <v>79</v>
      </c>
      <c r="AY17" s="48"/>
      <c r="AZ17" s="48"/>
      <c r="BA17" s="48"/>
      <c r="BB17" s="48"/>
      <c r="BC17" s="2"/>
      <c r="BD17" s="3"/>
      <c r="BE17" s="3"/>
      <c r="BF17" s="3"/>
      <c r="BG17" s="3"/>
    </row>
    <row r="18" spans="1:59" ht="15">
      <c r="A18" s="66" t="s">
        <v>344</v>
      </c>
      <c r="B18" s="67"/>
      <c r="C18" s="67"/>
      <c r="D18" s="68">
        <v>181.0491759470654</v>
      </c>
      <c r="E18" s="70"/>
      <c r="F18" s="96" t="str">
        <f>HYPERLINK("https://i.ytimg.com/vi/C5KcjucOLHE/default.jpg")</f>
        <v>https://i.ytimg.com/vi/C5KcjucOLHE/default.jpg</v>
      </c>
      <c r="G18" s="67"/>
      <c r="H18" s="71" t="s">
        <v>679</v>
      </c>
      <c r="I18" s="72"/>
      <c r="J18" s="72" t="s">
        <v>159</v>
      </c>
      <c r="K18" s="71" t="s">
        <v>679</v>
      </c>
      <c r="L18" s="75">
        <v>1250.75</v>
      </c>
      <c r="M18" s="76">
        <v>6668.447265625</v>
      </c>
      <c r="N18" s="76">
        <v>8890.9853515625</v>
      </c>
      <c r="O18" s="77"/>
      <c r="P18" s="78"/>
      <c r="Q18" s="78"/>
      <c r="R18" s="82"/>
      <c r="S18" s="48">
        <v>1</v>
      </c>
      <c r="T18" s="48">
        <v>0</v>
      </c>
      <c r="U18" s="49">
        <v>0</v>
      </c>
      <c r="V18" s="49">
        <v>0.000905</v>
      </c>
      <c r="W18" s="49">
        <v>0.001373</v>
      </c>
      <c r="X18" s="49">
        <v>0.484111</v>
      </c>
      <c r="Y18" s="49">
        <v>0</v>
      </c>
      <c r="Z18" s="49">
        <v>0</v>
      </c>
      <c r="AA18" s="73">
        <v>18</v>
      </c>
      <c r="AB18" s="73"/>
      <c r="AC18" s="74"/>
      <c r="AD18" s="80" t="s">
        <v>679</v>
      </c>
      <c r="AE18" s="80" t="s">
        <v>1009</v>
      </c>
      <c r="AF18" s="80" t="s">
        <v>1337</v>
      </c>
      <c r="AG18" s="80" t="s">
        <v>1635</v>
      </c>
      <c r="AH18" s="80" t="s">
        <v>1732</v>
      </c>
      <c r="AI18" s="80">
        <v>1141278</v>
      </c>
      <c r="AJ18" s="80">
        <v>4827</v>
      </c>
      <c r="AK18" s="80">
        <v>47056</v>
      </c>
      <c r="AL18" s="80">
        <v>168</v>
      </c>
      <c r="AM18" s="80" t="s">
        <v>2047</v>
      </c>
      <c r="AN18" s="98" t="str">
        <f>HYPERLINK("https://www.youtube.com/watch?v=C5KcjucOLHE")</f>
        <v>https://www.youtube.com/watch?v=C5KcjucOLHE</v>
      </c>
      <c r="AO18" s="80" t="str">
        <f>REPLACE(INDEX(GroupVertices[Group],MATCH(Vertices[[#This Row],[Vertex]],GroupVertices[Vertex],0)),1,1,"")</f>
        <v>3</v>
      </c>
      <c r="AP18" s="48">
        <v>1</v>
      </c>
      <c r="AQ18" s="49">
        <v>1.5151515151515151</v>
      </c>
      <c r="AR18" s="48">
        <v>0</v>
      </c>
      <c r="AS18" s="49">
        <v>0</v>
      </c>
      <c r="AT18" s="48">
        <v>0</v>
      </c>
      <c r="AU18" s="49">
        <v>0</v>
      </c>
      <c r="AV18" s="48">
        <v>65</v>
      </c>
      <c r="AW18" s="49">
        <v>98.48484848484848</v>
      </c>
      <c r="AX18" s="48">
        <v>66</v>
      </c>
      <c r="AY18" s="48"/>
      <c r="AZ18" s="48"/>
      <c r="BA18" s="48"/>
      <c r="BB18" s="48"/>
      <c r="BC18" s="2"/>
      <c r="BD18" s="3"/>
      <c r="BE18" s="3"/>
      <c r="BF18" s="3"/>
      <c r="BG18" s="3"/>
    </row>
    <row r="19" spans="1:59" ht="15">
      <c r="A19" s="66" t="s">
        <v>345</v>
      </c>
      <c r="B19" s="67"/>
      <c r="C19" s="67"/>
      <c r="D19" s="68">
        <v>477.8571409207008</v>
      </c>
      <c r="E19" s="70"/>
      <c r="F19" s="96" t="str">
        <f>HYPERLINK("https://i.ytimg.com/vi/OBSfullrLFk/default.jpg")</f>
        <v>https://i.ytimg.com/vi/OBSfullrLFk/default.jpg</v>
      </c>
      <c r="G19" s="67"/>
      <c r="H19" s="71" t="s">
        <v>680</v>
      </c>
      <c r="I19" s="72"/>
      <c r="J19" s="72" t="s">
        <v>159</v>
      </c>
      <c r="K19" s="71" t="s">
        <v>680</v>
      </c>
      <c r="L19" s="75">
        <v>1250.75</v>
      </c>
      <c r="M19" s="76">
        <v>5267.39013671875</v>
      </c>
      <c r="N19" s="76">
        <v>6097.65625</v>
      </c>
      <c r="O19" s="77"/>
      <c r="P19" s="78"/>
      <c r="Q19" s="78"/>
      <c r="R19" s="82"/>
      <c r="S19" s="48">
        <v>1</v>
      </c>
      <c r="T19" s="48">
        <v>0</v>
      </c>
      <c r="U19" s="49">
        <v>0</v>
      </c>
      <c r="V19" s="49">
        <v>0.000905</v>
      </c>
      <c r="W19" s="49">
        <v>0.001373</v>
      </c>
      <c r="X19" s="49">
        <v>0.484111</v>
      </c>
      <c r="Y19" s="49">
        <v>0</v>
      </c>
      <c r="Z19" s="49">
        <v>0</v>
      </c>
      <c r="AA19" s="73">
        <v>19</v>
      </c>
      <c r="AB19" s="73"/>
      <c r="AC19" s="74"/>
      <c r="AD19" s="80" t="s">
        <v>680</v>
      </c>
      <c r="AE19" s="80" t="s">
        <v>1010</v>
      </c>
      <c r="AF19" s="80" t="s">
        <v>1338</v>
      </c>
      <c r="AG19" s="80" t="s">
        <v>1635</v>
      </c>
      <c r="AH19" s="80" t="s">
        <v>1733</v>
      </c>
      <c r="AI19" s="80">
        <v>4473341</v>
      </c>
      <c r="AJ19" s="80">
        <v>15344</v>
      </c>
      <c r="AK19" s="80">
        <v>188947</v>
      </c>
      <c r="AL19" s="80">
        <v>1049</v>
      </c>
      <c r="AM19" s="80" t="s">
        <v>2047</v>
      </c>
      <c r="AN19" s="98" t="str">
        <f>HYPERLINK("https://www.youtube.com/watch?v=OBSfullrLFk")</f>
        <v>https://www.youtube.com/watch?v=OBSfullrLFk</v>
      </c>
      <c r="AO19" s="80" t="str">
        <f>REPLACE(INDEX(GroupVertices[Group],MATCH(Vertices[[#This Row],[Vertex]],GroupVertices[Vertex],0)),1,1,"")</f>
        <v>3</v>
      </c>
      <c r="AP19" s="48">
        <v>3</v>
      </c>
      <c r="AQ19" s="49">
        <v>4.054054054054054</v>
      </c>
      <c r="AR19" s="48">
        <v>0</v>
      </c>
      <c r="AS19" s="49">
        <v>0</v>
      </c>
      <c r="AT19" s="48">
        <v>0</v>
      </c>
      <c r="AU19" s="49">
        <v>0</v>
      </c>
      <c r="AV19" s="48">
        <v>71</v>
      </c>
      <c r="AW19" s="49">
        <v>95.94594594594595</v>
      </c>
      <c r="AX19" s="48">
        <v>74</v>
      </c>
      <c r="AY19" s="48"/>
      <c r="AZ19" s="48"/>
      <c r="BA19" s="48"/>
      <c r="BB19" s="48"/>
      <c r="BC19" s="2"/>
      <c r="BD19" s="3"/>
      <c r="BE19" s="3"/>
      <c r="BF19" s="3"/>
      <c r="BG19" s="3"/>
    </row>
    <row r="20" spans="1:59" ht="15">
      <c r="A20" s="66" t="s">
        <v>346</v>
      </c>
      <c r="B20" s="67"/>
      <c r="C20" s="67"/>
      <c r="D20" s="68">
        <v>226.96161390830173</v>
      </c>
      <c r="E20" s="70"/>
      <c r="F20" s="96" t="str">
        <f>HYPERLINK("https://i.ytimg.com/vi/pg1Cotr1fME/default.jpg")</f>
        <v>https://i.ytimg.com/vi/pg1Cotr1fME/default.jpg</v>
      </c>
      <c r="G20" s="67"/>
      <c r="H20" s="71" t="s">
        <v>681</v>
      </c>
      <c r="I20" s="72"/>
      <c r="J20" s="72" t="s">
        <v>159</v>
      </c>
      <c r="K20" s="71" t="s">
        <v>681</v>
      </c>
      <c r="L20" s="75">
        <v>1250.75</v>
      </c>
      <c r="M20" s="76">
        <v>4193.640625</v>
      </c>
      <c r="N20" s="76">
        <v>8967.32421875</v>
      </c>
      <c r="O20" s="77"/>
      <c r="P20" s="78"/>
      <c r="Q20" s="78"/>
      <c r="R20" s="82"/>
      <c r="S20" s="48">
        <v>1</v>
      </c>
      <c r="T20" s="48">
        <v>0</v>
      </c>
      <c r="U20" s="49">
        <v>0</v>
      </c>
      <c r="V20" s="49">
        <v>0.000905</v>
      </c>
      <c r="W20" s="49">
        <v>0.001373</v>
      </c>
      <c r="X20" s="49">
        <v>0.484111</v>
      </c>
      <c r="Y20" s="49">
        <v>0</v>
      </c>
      <c r="Z20" s="49">
        <v>0</v>
      </c>
      <c r="AA20" s="73">
        <v>20</v>
      </c>
      <c r="AB20" s="73"/>
      <c r="AC20" s="74"/>
      <c r="AD20" s="80" t="s">
        <v>681</v>
      </c>
      <c r="AE20" s="80" t="s">
        <v>1011</v>
      </c>
      <c r="AF20" s="80" t="s">
        <v>1339</v>
      </c>
      <c r="AG20" s="80" t="s">
        <v>1635</v>
      </c>
      <c r="AH20" s="80" t="s">
        <v>1734</v>
      </c>
      <c r="AI20" s="80">
        <v>1656706</v>
      </c>
      <c r="AJ20" s="80">
        <v>9970</v>
      </c>
      <c r="AK20" s="80">
        <v>62054</v>
      </c>
      <c r="AL20" s="80">
        <v>374</v>
      </c>
      <c r="AM20" s="80" t="s">
        <v>2047</v>
      </c>
      <c r="AN20" s="98" t="str">
        <f>HYPERLINK("https://www.youtube.com/watch?v=pg1Cotr1fME")</f>
        <v>https://www.youtube.com/watch?v=pg1Cotr1fME</v>
      </c>
      <c r="AO20" s="80" t="str">
        <f>REPLACE(INDEX(GroupVertices[Group],MATCH(Vertices[[#This Row],[Vertex]],GroupVertices[Vertex],0)),1,1,"")</f>
        <v>3</v>
      </c>
      <c r="AP20" s="48">
        <v>1</v>
      </c>
      <c r="AQ20" s="49">
        <v>5.555555555555555</v>
      </c>
      <c r="AR20" s="48">
        <v>0</v>
      </c>
      <c r="AS20" s="49">
        <v>0</v>
      </c>
      <c r="AT20" s="48">
        <v>0</v>
      </c>
      <c r="AU20" s="49">
        <v>0</v>
      </c>
      <c r="AV20" s="48">
        <v>17</v>
      </c>
      <c r="AW20" s="49">
        <v>94.44444444444444</v>
      </c>
      <c r="AX20" s="48">
        <v>18</v>
      </c>
      <c r="AY20" s="48"/>
      <c r="AZ20" s="48"/>
      <c r="BA20" s="48"/>
      <c r="BB20" s="48"/>
      <c r="BC20" s="2"/>
      <c r="BD20" s="3"/>
      <c r="BE20" s="3"/>
      <c r="BF20" s="3"/>
      <c r="BG20" s="3"/>
    </row>
    <row r="21" spans="1:59" ht="15">
      <c r="A21" s="66" t="s">
        <v>347</v>
      </c>
      <c r="B21" s="67"/>
      <c r="C21" s="67"/>
      <c r="D21" s="68">
        <v>238.00298212083013</v>
      </c>
      <c r="E21" s="70"/>
      <c r="F21" s="96" t="str">
        <f>HYPERLINK("https://i.ytimg.com/vi/mVb_OPns8ZQ/default.jpg")</f>
        <v>https://i.ytimg.com/vi/mVb_OPns8ZQ/default.jpg</v>
      </c>
      <c r="G21" s="67"/>
      <c r="H21" s="71" t="s">
        <v>682</v>
      </c>
      <c r="I21" s="72"/>
      <c r="J21" s="72" t="s">
        <v>159</v>
      </c>
      <c r="K21" s="71" t="s">
        <v>682</v>
      </c>
      <c r="L21" s="75">
        <v>1250.75</v>
      </c>
      <c r="M21" s="76">
        <v>5046.29296875</v>
      </c>
      <c r="N21" s="76">
        <v>9854.505859375</v>
      </c>
      <c r="O21" s="77"/>
      <c r="P21" s="78"/>
      <c r="Q21" s="78"/>
      <c r="R21" s="82"/>
      <c r="S21" s="48">
        <v>1</v>
      </c>
      <c r="T21" s="48">
        <v>0</v>
      </c>
      <c r="U21" s="49">
        <v>0</v>
      </c>
      <c r="V21" s="49">
        <v>0.000905</v>
      </c>
      <c r="W21" s="49">
        <v>0.001373</v>
      </c>
      <c r="X21" s="49">
        <v>0.484111</v>
      </c>
      <c r="Y21" s="49">
        <v>0</v>
      </c>
      <c r="Z21" s="49">
        <v>0</v>
      </c>
      <c r="AA21" s="73">
        <v>21</v>
      </c>
      <c r="AB21" s="73"/>
      <c r="AC21" s="74"/>
      <c r="AD21" s="80" t="s">
        <v>682</v>
      </c>
      <c r="AE21" s="80" t="s">
        <v>1012</v>
      </c>
      <c r="AF21" s="80" t="s">
        <v>1340</v>
      </c>
      <c r="AG21" s="80" t="s">
        <v>1635</v>
      </c>
      <c r="AH21" s="80" t="s">
        <v>1735</v>
      </c>
      <c r="AI21" s="80">
        <v>1780660</v>
      </c>
      <c r="AJ21" s="80">
        <v>7115</v>
      </c>
      <c r="AK21" s="80">
        <v>55571</v>
      </c>
      <c r="AL21" s="80">
        <v>422</v>
      </c>
      <c r="AM21" s="80" t="s">
        <v>2047</v>
      </c>
      <c r="AN21" s="98" t="str">
        <f>HYPERLINK("https://www.youtube.com/watch?v=mVb_OPns8ZQ")</f>
        <v>https://www.youtube.com/watch?v=mVb_OPns8ZQ</v>
      </c>
      <c r="AO21" s="80" t="str">
        <f>REPLACE(INDEX(GroupVertices[Group],MATCH(Vertices[[#This Row],[Vertex]],GroupVertices[Vertex],0)),1,1,"")</f>
        <v>3</v>
      </c>
      <c r="AP21" s="48">
        <v>1</v>
      </c>
      <c r="AQ21" s="49">
        <v>1.492537313432836</v>
      </c>
      <c r="AR21" s="48">
        <v>2</v>
      </c>
      <c r="AS21" s="49">
        <v>2.985074626865672</v>
      </c>
      <c r="AT21" s="48">
        <v>0</v>
      </c>
      <c r="AU21" s="49">
        <v>0</v>
      </c>
      <c r="AV21" s="48">
        <v>64</v>
      </c>
      <c r="AW21" s="49">
        <v>95.5223880597015</v>
      </c>
      <c r="AX21" s="48">
        <v>67</v>
      </c>
      <c r="AY21" s="48"/>
      <c r="AZ21" s="48"/>
      <c r="BA21" s="48"/>
      <c r="BB21" s="48"/>
      <c r="BC21" s="2"/>
      <c r="BD21" s="3"/>
      <c r="BE21" s="3"/>
      <c r="BF21" s="3"/>
      <c r="BG21" s="3"/>
    </row>
    <row r="22" spans="1:59" ht="15">
      <c r="A22" s="66" t="s">
        <v>348</v>
      </c>
      <c r="B22" s="67"/>
      <c r="C22" s="67"/>
      <c r="D22" s="68">
        <v>201.18853393905243</v>
      </c>
      <c r="E22" s="70"/>
      <c r="F22" s="96" t="str">
        <f>HYPERLINK("https://i.ytimg.com/vi/peUVLEUj-AM/default.jpg")</f>
        <v>https://i.ytimg.com/vi/peUVLEUj-AM/default.jpg</v>
      </c>
      <c r="G22" s="67"/>
      <c r="H22" s="71" t="s">
        <v>683</v>
      </c>
      <c r="I22" s="72"/>
      <c r="J22" s="72" t="s">
        <v>159</v>
      </c>
      <c r="K22" s="71" t="s">
        <v>683</v>
      </c>
      <c r="L22" s="75">
        <v>1250.75</v>
      </c>
      <c r="M22" s="76">
        <v>6367.59521484375</v>
      </c>
      <c r="N22" s="76">
        <v>7762.1630859375</v>
      </c>
      <c r="O22" s="77"/>
      <c r="P22" s="78"/>
      <c r="Q22" s="78"/>
      <c r="R22" s="82"/>
      <c r="S22" s="48">
        <v>1</v>
      </c>
      <c r="T22" s="48">
        <v>0</v>
      </c>
      <c r="U22" s="49">
        <v>0</v>
      </c>
      <c r="V22" s="49">
        <v>0.000905</v>
      </c>
      <c r="W22" s="49">
        <v>0.001373</v>
      </c>
      <c r="X22" s="49">
        <v>0.484111</v>
      </c>
      <c r="Y22" s="49">
        <v>0</v>
      </c>
      <c r="Z22" s="49">
        <v>0</v>
      </c>
      <c r="AA22" s="73">
        <v>22</v>
      </c>
      <c r="AB22" s="73"/>
      <c r="AC22" s="74"/>
      <c r="AD22" s="80" t="s">
        <v>683</v>
      </c>
      <c r="AE22" s="80" t="s">
        <v>1013</v>
      </c>
      <c r="AF22" s="80" t="s">
        <v>1341</v>
      </c>
      <c r="AG22" s="80" t="s">
        <v>1635</v>
      </c>
      <c r="AH22" s="80" t="s">
        <v>1736</v>
      </c>
      <c r="AI22" s="80">
        <v>1367369</v>
      </c>
      <c r="AJ22" s="80">
        <v>2522</v>
      </c>
      <c r="AK22" s="80">
        <v>57856</v>
      </c>
      <c r="AL22" s="80">
        <v>422</v>
      </c>
      <c r="AM22" s="80" t="s">
        <v>2047</v>
      </c>
      <c r="AN22" s="98" t="str">
        <f>HYPERLINK("https://www.youtube.com/watch?v=peUVLEUj-AM")</f>
        <v>https://www.youtube.com/watch?v=peUVLEUj-AM</v>
      </c>
      <c r="AO22" s="80" t="str">
        <f>REPLACE(INDEX(GroupVertices[Group],MATCH(Vertices[[#This Row],[Vertex]],GroupVertices[Vertex],0)),1,1,"")</f>
        <v>3</v>
      </c>
      <c r="AP22" s="48">
        <v>3</v>
      </c>
      <c r="AQ22" s="49">
        <v>3.3333333333333335</v>
      </c>
      <c r="AR22" s="48">
        <v>1</v>
      </c>
      <c r="AS22" s="49">
        <v>1.1111111111111112</v>
      </c>
      <c r="AT22" s="48">
        <v>0</v>
      </c>
      <c r="AU22" s="49">
        <v>0</v>
      </c>
      <c r="AV22" s="48">
        <v>86</v>
      </c>
      <c r="AW22" s="49">
        <v>95.55555555555556</v>
      </c>
      <c r="AX22" s="48">
        <v>90</v>
      </c>
      <c r="AY22" s="48"/>
      <c r="AZ22" s="48"/>
      <c r="BA22" s="48"/>
      <c r="BB22" s="48"/>
      <c r="BC22" s="2"/>
      <c r="BD22" s="3"/>
      <c r="BE22" s="3"/>
      <c r="BF22" s="3"/>
      <c r="BG22" s="3"/>
    </row>
    <row r="23" spans="1:59" ht="15">
      <c r="A23" s="66" t="s">
        <v>349</v>
      </c>
      <c r="B23" s="67"/>
      <c r="C23" s="67"/>
      <c r="D23" s="68">
        <v>399.32387962301345</v>
      </c>
      <c r="E23" s="70"/>
      <c r="F23" s="96" t="str">
        <f>HYPERLINK("https://i.ytimg.com/vi/9qYzmfo1xp0/default.jpg")</f>
        <v>https://i.ytimg.com/vi/9qYzmfo1xp0/default.jpg</v>
      </c>
      <c r="G23" s="67"/>
      <c r="H23" s="71" t="s">
        <v>684</v>
      </c>
      <c r="I23" s="72"/>
      <c r="J23" s="72" t="s">
        <v>159</v>
      </c>
      <c r="K23" s="71" t="s">
        <v>684</v>
      </c>
      <c r="L23" s="75">
        <v>1250.75</v>
      </c>
      <c r="M23" s="76">
        <v>4328.85546875</v>
      </c>
      <c r="N23" s="76">
        <v>8157.89306640625</v>
      </c>
      <c r="O23" s="77"/>
      <c r="P23" s="78"/>
      <c r="Q23" s="78"/>
      <c r="R23" s="82"/>
      <c r="S23" s="48">
        <v>1</v>
      </c>
      <c r="T23" s="48">
        <v>0</v>
      </c>
      <c r="U23" s="49">
        <v>0</v>
      </c>
      <c r="V23" s="49">
        <v>0.000905</v>
      </c>
      <c r="W23" s="49">
        <v>0.001373</v>
      </c>
      <c r="X23" s="49">
        <v>0.484111</v>
      </c>
      <c r="Y23" s="49">
        <v>0</v>
      </c>
      <c r="Z23" s="49">
        <v>0</v>
      </c>
      <c r="AA23" s="73">
        <v>23</v>
      </c>
      <c r="AB23" s="73"/>
      <c r="AC23" s="74"/>
      <c r="AD23" s="80" t="s">
        <v>684</v>
      </c>
      <c r="AE23" s="80" t="s">
        <v>1014</v>
      </c>
      <c r="AF23" s="80" t="s">
        <v>1342</v>
      </c>
      <c r="AG23" s="80" t="s">
        <v>1635</v>
      </c>
      <c r="AH23" s="80" t="s">
        <v>1737</v>
      </c>
      <c r="AI23" s="80">
        <v>3591701</v>
      </c>
      <c r="AJ23" s="80">
        <v>7136</v>
      </c>
      <c r="AK23" s="80">
        <v>97230</v>
      </c>
      <c r="AL23" s="80">
        <v>1009</v>
      </c>
      <c r="AM23" s="80" t="s">
        <v>2047</v>
      </c>
      <c r="AN23" s="98" t="str">
        <f>HYPERLINK("https://www.youtube.com/watch?v=9qYzmfo1xp0")</f>
        <v>https://www.youtube.com/watch?v=9qYzmfo1xp0</v>
      </c>
      <c r="AO23" s="80" t="str">
        <f>REPLACE(INDEX(GroupVertices[Group],MATCH(Vertices[[#This Row],[Vertex]],GroupVertices[Vertex],0)),1,1,"")</f>
        <v>3</v>
      </c>
      <c r="AP23" s="48">
        <v>1</v>
      </c>
      <c r="AQ23" s="49">
        <v>1.408450704225352</v>
      </c>
      <c r="AR23" s="48">
        <v>0</v>
      </c>
      <c r="AS23" s="49">
        <v>0</v>
      </c>
      <c r="AT23" s="48">
        <v>0</v>
      </c>
      <c r="AU23" s="49">
        <v>0</v>
      </c>
      <c r="AV23" s="48">
        <v>70</v>
      </c>
      <c r="AW23" s="49">
        <v>98.59154929577464</v>
      </c>
      <c r="AX23" s="48">
        <v>71</v>
      </c>
      <c r="AY23" s="48"/>
      <c r="AZ23" s="48"/>
      <c r="BA23" s="48"/>
      <c r="BB23" s="48"/>
      <c r="BC23" s="2"/>
      <c r="BD23" s="3"/>
      <c r="BE23" s="3"/>
      <c r="BF23" s="3"/>
      <c r="BG23" s="3"/>
    </row>
    <row r="24" spans="1:59" ht="15">
      <c r="A24" s="66" t="s">
        <v>350</v>
      </c>
      <c r="B24" s="67"/>
      <c r="C24" s="67"/>
      <c r="D24" s="68">
        <v>187.10226931649402</v>
      </c>
      <c r="E24" s="70"/>
      <c r="F24" s="96" t="str">
        <f>HYPERLINK("https://i.ytimg.com/vi/I7QZD9iseDA/default.jpg")</f>
        <v>https://i.ytimg.com/vi/I7QZD9iseDA/default.jpg</v>
      </c>
      <c r="G24" s="67"/>
      <c r="H24" s="71" t="s">
        <v>685</v>
      </c>
      <c r="I24" s="72"/>
      <c r="J24" s="72" t="s">
        <v>159</v>
      </c>
      <c r="K24" s="71" t="s">
        <v>685</v>
      </c>
      <c r="L24" s="75">
        <v>1250.75</v>
      </c>
      <c r="M24" s="76">
        <v>3431.609375</v>
      </c>
      <c r="N24" s="76">
        <v>7999.7109375</v>
      </c>
      <c r="O24" s="77"/>
      <c r="P24" s="78"/>
      <c r="Q24" s="78"/>
      <c r="R24" s="82"/>
      <c r="S24" s="48">
        <v>1</v>
      </c>
      <c r="T24" s="48">
        <v>0</v>
      </c>
      <c r="U24" s="49">
        <v>0</v>
      </c>
      <c r="V24" s="49">
        <v>0.000905</v>
      </c>
      <c r="W24" s="49">
        <v>0.001373</v>
      </c>
      <c r="X24" s="49">
        <v>0.484111</v>
      </c>
      <c r="Y24" s="49">
        <v>0</v>
      </c>
      <c r="Z24" s="49">
        <v>0</v>
      </c>
      <c r="AA24" s="73">
        <v>24</v>
      </c>
      <c r="AB24" s="73"/>
      <c r="AC24" s="74"/>
      <c r="AD24" s="80" t="s">
        <v>685</v>
      </c>
      <c r="AE24" s="80" t="s">
        <v>1015</v>
      </c>
      <c r="AF24" s="80" t="s">
        <v>1343</v>
      </c>
      <c r="AG24" s="80" t="s">
        <v>1636</v>
      </c>
      <c r="AH24" s="80" t="s">
        <v>1738</v>
      </c>
      <c r="AI24" s="80">
        <v>1209232</v>
      </c>
      <c r="AJ24" s="80">
        <v>2189</v>
      </c>
      <c r="AK24" s="80">
        <v>28286</v>
      </c>
      <c r="AL24" s="80">
        <v>442</v>
      </c>
      <c r="AM24" s="80" t="s">
        <v>2047</v>
      </c>
      <c r="AN24" s="98" t="str">
        <f>HYPERLINK("https://www.youtube.com/watch?v=I7QZD9iseDA")</f>
        <v>https://www.youtube.com/watch?v=I7QZD9iseDA</v>
      </c>
      <c r="AO24" s="80" t="str">
        <f>REPLACE(INDEX(GroupVertices[Group],MATCH(Vertices[[#This Row],[Vertex]],GroupVertices[Vertex],0)),1,1,"")</f>
        <v>3</v>
      </c>
      <c r="AP24" s="48">
        <v>0</v>
      </c>
      <c r="AQ24" s="49">
        <v>0</v>
      </c>
      <c r="AR24" s="48">
        <v>0</v>
      </c>
      <c r="AS24" s="49">
        <v>0</v>
      </c>
      <c r="AT24" s="48">
        <v>0</v>
      </c>
      <c r="AU24" s="49">
        <v>0</v>
      </c>
      <c r="AV24" s="48">
        <v>18</v>
      </c>
      <c r="AW24" s="49">
        <v>100</v>
      </c>
      <c r="AX24" s="48">
        <v>18</v>
      </c>
      <c r="AY24" s="48"/>
      <c r="AZ24" s="48"/>
      <c r="BA24" s="48"/>
      <c r="BB24" s="48"/>
      <c r="BC24" s="2"/>
      <c r="BD24" s="3"/>
      <c r="BE24" s="3"/>
      <c r="BF24" s="3"/>
      <c r="BG24" s="3"/>
    </row>
    <row r="25" spans="1:59" ht="15">
      <c r="A25" s="66" t="s">
        <v>351</v>
      </c>
      <c r="B25" s="67"/>
      <c r="C25" s="67"/>
      <c r="D25" s="68">
        <v>278.2066067531482</v>
      </c>
      <c r="E25" s="70"/>
      <c r="F25" s="96" t="str">
        <f>HYPERLINK("https://i.ytimg.com/vi/RhArakH5cTU/default.jpg")</f>
        <v>https://i.ytimg.com/vi/RhArakH5cTU/default.jpg</v>
      </c>
      <c r="G25" s="67"/>
      <c r="H25" s="71" t="s">
        <v>686</v>
      </c>
      <c r="I25" s="72"/>
      <c r="J25" s="72" t="s">
        <v>159</v>
      </c>
      <c r="K25" s="71" t="s">
        <v>686</v>
      </c>
      <c r="L25" s="75">
        <v>1250.75</v>
      </c>
      <c r="M25" s="76">
        <v>4735.84814453125</v>
      </c>
      <c r="N25" s="76">
        <v>8644.2734375</v>
      </c>
      <c r="O25" s="77"/>
      <c r="P25" s="78"/>
      <c r="Q25" s="78"/>
      <c r="R25" s="82"/>
      <c r="S25" s="48">
        <v>1</v>
      </c>
      <c r="T25" s="48">
        <v>0</v>
      </c>
      <c r="U25" s="49">
        <v>0</v>
      </c>
      <c r="V25" s="49">
        <v>0.000905</v>
      </c>
      <c r="W25" s="49">
        <v>0.001373</v>
      </c>
      <c r="X25" s="49">
        <v>0.484111</v>
      </c>
      <c r="Y25" s="49">
        <v>0</v>
      </c>
      <c r="Z25" s="49">
        <v>0</v>
      </c>
      <c r="AA25" s="73">
        <v>25</v>
      </c>
      <c r="AB25" s="73"/>
      <c r="AC25" s="74"/>
      <c r="AD25" s="80" t="s">
        <v>686</v>
      </c>
      <c r="AE25" s="80" t="s">
        <v>1016</v>
      </c>
      <c r="AF25" s="80" t="s">
        <v>1344</v>
      </c>
      <c r="AG25" s="80" t="s">
        <v>1635</v>
      </c>
      <c r="AH25" s="80" t="s">
        <v>1739</v>
      </c>
      <c r="AI25" s="80">
        <v>2231999</v>
      </c>
      <c r="AJ25" s="80">
        <v>15188</v>
      </c>
      <c r="AK25" s="80">
        <v>64312</v>
      </c>
      <c r="AL25" s="80">
        <v>4769</v>
      </c>
      <c r="AM25" s="80" t="s">
        <v>2047</v>
      </c>
      <c r="AN25" s="98" t="str">
        <f>HYPERLINK("https://www.youtube.com/watch?v=RhArakH5cTU")</f>
        <v>https://www.youtube.com/watch?v=RhArakH5cTU</v>
      </c>
      <c r="AO25" s="80" t="str">
        <f>REPLACE(INDEX(GroupVertices[Group],MATCH(Vertices[[#This Row],[Vertex]],GroupVertices[Vertex],0)),1,1,"")</f>
        <v>3</v>
      </c>
      <c r="AP25" s="48">
        <v>0</v>
      </c>
      <c r="AQ25" s="49">
        <v>0</v>
      </c>
      <c r="AR25" s="48">
        <v>6</v>
      </c>
      <c r="AS25" s="49">
        <v>10.344827586206897</v>
      </c>
      <c r="AT25" s="48">
        <v>0</v>
      </c>
      <c r="AU25" s="49">
        <v>0</v>
      </c>
      <c r="AV25" s="48">
        <v>52</v>
      </c>
      <c r="AW25" s="49">
        <v>89.65517241379311</v>
      </c>
      <c r="AX25" s="48">
        <v>58</v>
      </c>
      <c r="AY25" s="48"/>
      <c r="AZ25" s="48"/>
      <c r="BA25" s="48"/>
      <c r="BB25" s="48"/>
      <c r="BC25" s="2"/>
      <c r="BD25" s="3"/>
      <c r="BE25" s="3"/>
      <c r="BF25" s="3"/>
      <c r="BG25" s="3"/>
    </row>
    <row r="26" spans="1:59" ht="15">
      <c r="A26" s="66" t="s">
        <v>352</v>
      </c>
      <c r="B26" s="67"/>
      <c r="C26" s="67"/>
      <c r="D26" s="68">
        <v>497.28727312160277</v>
      </c>
      <c r="E26" s="70"/>
      <c r="F26" s="96" t="str">
        <f>HYPERLINK("https://i.ytimg.com/vi/APASP1YKH60/default.jpg")</f>
        <v>https://i.ytimg.com/vi/APASP1YKH60/default.jpg</v>
      </c>
      <c r="G26" s="67"/>
      <c r="H26" s="71" t="s">
        <v>687</v>
      </c>
      <c r="I26" s="72"/>
      <c r="J26" s="72" t="s">
        <v>159</v>
      </c>
      <c r="K26" s="71" t="s">
        <v>687</v>
      </c>
      <c r="L26" s="75">
        <v>1250.75</v>
      </c>
      <c r="M26" s="76">
        <v>3848.582275390625</v>
      </c>
      <c r="N26" s="76">
        <v>7740.6787109375</v>
      </c>
      <c r="O26" s="77"/>
      <c r="P26" s="78"/>
      <c r="Q26" s="78"/>
      <c r="R26" s="82"/>
      <c r="S26" s="48">
        <v>1</v>
      </c>
      <c r="T26" s="48">
        <v>0</v>
      </c>
      <c r="U26" s="49">
        <v>0</v>
      </c>
      <c r="V26" s="49">
        <v>0.000905</v>
      </c>
      <c r="W26" s="49">
        <v>0.001373</v>
      </c>
      <c r="X26" s="49">
        <v>0.484111</v>
      </c>
      <c r="Y26" s="49">
        <v>0</v>
      </c>
      <c r="Z26" s="49">
        <v>0</v>
      </c>
      <c r="AA26" s="73">
        <v>26</v>
      </c>
      <c r="AB26" s="73"/>
      <c r="AC26" s="74"/>
      <c r="AD26" s="80" t="s">
        <v>687</v>
      </c>
      <c r="AE26" s="80" t="s">
        <v>1017</v>
      </c>
      <c r="AF26" s="80" t="s">
        <v>1345</v>
      </c>
      <c r="AG26" s="80" t="s">
        <v>1635</v>
      </c>
      <c r="AH26" s="80" t="s">
        <v>1740</v>
      </c>
      <c r="AI26" s="80">
        <v>4691470</v>
      </c>
      <c r="AJ26" s="80">
        <v>10050</v>
      </c>
      <c r="AK26" s="80">
        <v>179757</v>
      </c>
      <c r="AL26" s="80">
        <v>1030</v>
      </c>
      <c r="AM26" s="80" t="s">
        <v>2047</v>
      </c>
      <c r="AN26" s="98" t="str">
        <f>HYPERLINK("https://www.youtube.com/watch?v=APASP1YKH60")</f>
        <v>https://www.youtube.com/watch?v=APASP1YKH60</v>
      </c>
      <c r="AO26" s="80" t="str">
        <f>REPLACE(INDEX(GroupVertices[Group],MATCH(Vertices[[#This Row],[Vertex]],GroupVertices[Vertex],0)),1,1,"")</f>
        <v>3</v>
      </c>
      <c r="AP26" s="48">
        <v>2</v>
      </c>
      <c r="AQ26" s="49">
        <v>2.73972602739726</v>
      </c>
      <c r="AR26" s="48">
        <v>0</v>
      </c>
      <c r="AS26" s="49">
        <v>0</v>
      </c>
      <c r="AT26" s="48">
        <v>0</v>
      </c>
      <c r="AU26" s="49">
        <v>0</v>
      </c>
      <c r="AV26" s="48">
        <v>71</v>
      </c>
      <c r="AW26" s="49">
        <v>97.26027397260275</v>
      </c>
      <c r="AX26" s="48">
        <v>73</v>
      </c>
      <c r="AY26" s="48"/>
      <c r="AZ26" s="48"/>
      <c r="BA26" s="48"/>
      <c r="BB26" s="48"/>
      <c r="BC26" s="2"/>
      <c r="BD26" s="3"/>
      <c r="BE26" s="3"/>
      <c r="BF26" s="3"/>
      <c r="BG26" s="3"/>
    </row>
    <row r="27" spans="1:59" ht="15">
      <c r="A27" s="66" t="s">
        <v>353</v>
      </c>
      <c r="B27" s="67"/>
      <c r="C27" s="67"/>
      <c r="D27" s="68">
        <v>356.03527422924765</v>
      </c>
      <c r="E27" s="70"/>
      <c r="F27" s="96" t="str">
        <f>HYPERLINK("https://i.ytimg.com/vi/PAKaVmcOPBY/default.jpg")</f>
        <v>https://i.ytimg.com/vi/PAKaVmcOPBY/default.jpg</v>
      </c>
      <c r="G27" s="67"/>
      <c r="H27" s="71" t="s">
        <v>688</v>
      </c>
      <c r="I27" s="72"/>
      <c r="J27" s="72" t="s">
        <v>159</v>
      </c>
      <c r="K27" s="71" t="s">
        <v>688</v>
      </c>
      <c r="L27" s="75">
        <v>1250.75</v>
      </c>
      <c r="M27" s="76">
        <v>3487.189697265625</v>
      </c>
      <c r="N27" s="76">
        <v>7499.65380859375</v>
      </c>
      <c r="O27" s="77"/>
      <c r="P27" s="78"/>
      <c r="Q27" s="78"/>
      <c r="R27" s="82"/>
      <c r="S27" s="48">
        <v>1</v>
      </c>
      <c r="T27" s="48">
        <v>0</v>
      </c>
      <c r="U27" s="49">
        <v>0</v>
      </c>
      <c r="V27" s="49">
        <v>0.000905</v>
      </c>
      <c r="W27" s="49">
        <v>0.001373</v>
      </c>
      <c r="X27" s="49">
        <v>0.484111</v>
      </c>
      <c r="Y27" s="49">
        <v>0</v>
      </c>
      <c r="Z27" s="49">
        <v>0</v>
      </c>
      <c r="AA27" s="73">
        <v>27</v>
      </c>
      <c r="AB27" s="73"/>
      <c r="AC27" s="74"/>
      <c r="AD27" s="80" t="s">
        <v>688</v>
      </c>
      <c r="AE27" s="80" t="s">
        <v>1018</v>
      </c>
      <c r="AF27" s="80" t="s">
        <v>1346</v>
      </c>
      <c r="AG27" s="80" t="s">
        <v>1635</v>
      </c>
      <c r="AH27" s="80" t="s">
        <v>1741</v>
      </c>
      <c r="AI27" s="80">
        <v>3105729</v>
      </c>
      <c r="AJ27" s="80">
        <v>27993</v>
      </c>
      <c r="AK27" s="80">
        <v>128542</v>
      </c>
      <c r="AL27" s="80">
        <v>914</v>
      </c>
      <c r="AM27" s="80" t="s">
        <v>2047</v>
      </c>
      <c r="AN27" s="98" t="str">
        <f>HYPERLINK("https://www.youtube.com/watch?v=PAKaVmcOPBY")</f>
        <v>https://www.youtube.com/watch?v=PAKaVmcOPBY</v>
      </c>
      <c r="AO27" s="80" t="str">
        <f>REPLACE(INDEX(GroupVertices[Group],MATCH(Vertices[[#This Row],[Vertex]],GroupVertices[Vertex],0)),1,1,"")</f>
        <v>3</v>
      </c>
      <c r="AP27" s="48">
        <v>0</v>
      </c>
      <c r="AQ27" s="49">
        <v>0</v>
      </c>
      <c r="AR27" s="48">
        <v>5</v>
      </c>
      <c r="AS27" s="49">
        <v>8.19672131147541</v>
      </c>
      <c r="AT27" s="48">
        <v>0</v>
      </c>
      <c r="AU27" s="49">
        <v>0</v>
      </c>
      <c r="AV27" s="48">
        <v>56</v>
      </c>
      <c r="AW27" s="49">
        <v>91.80327868852459</v>
      </c>
      <c r="AX27" s="48">
        <v>61</v>
      </c>
      <c r="AY27" s="48"/>
      <c r="AZ27" s="48"/>
      <c r="BA27" s="48"/>
      <c r="BB27" s="48"/>
      <c r="BC27" s="2"/>
      <c r="BD27" s="3"/>
      <c r="BE27" s="3"/>
      <c r="BF27" s="3"/>
      <c r="BG27" s="3"/>
    </row>
    <row r="28" spans="1:59" ht="15">
      <c r="A28" s="66" t="s">
        <v>354</v>
      </c>
      <c r="B28" s="67"/>
      <c r="C28" s="67"/>
      <c r="D28" s="68">
        <v>391.93526474068136</v>
      </c>
      <c r="E28" s="70"/>
      <c r="F28" s="96" t="str">
        <f>HYPERLINK("https://i.ytimg.com/vi/WJu7VzVtJiM/default.jpg")</f>
        <v>https://i.ytimg.com/vi/WJu7VzVtJiM/default.jpg</v>
      </c>
      <c r="G28" s="67"/>
      <c r="H28" s="71" t="s">
        <v>689</v>
      </c>
      <c r="I28" s="72"/>
      <c r="J28" s="72" t="s">
        <v>159</v>
      </c>
      <c r="K28" s="71" t="s">
        <v>689</v>
      </c>
      <c r="L28" s="75">
        <v>1250.75</v>
      </c>
      <c r="M28" s="76">
        <v>6484.37939453125</v>
      </c>
      <c r="N28" s="76">
        <v>7107.6953125</v>
      </c>
      <c r="O28" s="77"/>
      <c r="P28" s="78"/>
      <c r="Q28" s="78"/>
      <c r="R28" s="82"/>
      <c r="S28" s="48">
        <v>1</v>
      </c>
      <c r="T28" s="48">
        <v>0</v>
      </c>
      <c r="U28" s="49">
        <v>0</v>
      </c>
      <c r="V28" s="49">
        <v>0.000905</v>
      </c>
      <c r="W28" s="49">
        <v>0.001373</v>
      </c>
      <c r="X28" s="49">
        <v>0.484111</v>
      </c>
      <c r="Y28" s="49">
        <v>0</v>
      </c>
      <c r="Z28" s="49">
        <v>0</v>
      </c>
      <c r="AA28" s="73">
        <v>28</v>
      </c>
      <c r="AB28" s="73"/>
      <c r="AC28" s="74"/>
      <c r="AD28" s="80" t="s">
        <v>689</v>
      </c>
      <c r="AE28" s="80" t="s">
        <v>1019</v>
      </c>
      <c r="AF28" s="80" t="s">
        <v>1347</v>
      </c>
      <c r="AG28" s="80" t="s">
        <v>1635</v>
      </c>
      <c r="AH28" s="80" t="s">
        <v>1742</v>
      </c>
      <c r="AI28" s="80">
        <v>3508754</v>
      </c>
      <c r="AJ28" s="80">
        <v>6483</v>
      </c>
      <c r="AK28" s="80">
        <v>107673</v>
      </c>
      <c r="AL28" s="80">
        <v>843</v>
      </c>
      <c r="AM28" s="80" t="s">
        <v>2047</v>
      </c>
      <c r="AN28" s="98" t="str">
        <f>HYPERLINK("https://www.youtube.com/watch?v=WJu7VzVtJiM")</f>
        <v>https://www.youtube.com/watch?v=WJu7VzVtJiM</v>
      </c>
      <c r="AO28" s="80" t="str">
        <f>REPLACE(INDEX(GroupVertices[Group],MATCH(Vertices[[#This Row],[Vertex]],GroupVertices[Vertex],0)),1,1,"")</f>
        <v>3</v>
      </c>
      <c r="AP28" s="48">
        <v>2</v>
      </c>
      <c r="AQ28" s="49">
        <v>3.8461538461538463</v>
      </c>
      <c r="AR28" s="48">
        <v>0</v>
      </c>
      <c r="AS28" s="49">
        <v>0</v>
      </c>
      <c r="AT28" s="48">
        <v>0</v>
      </c>
      <c r="AU28" s="49">
        <v>0</v>
      </c>
      <c r="AV28" s="48">
        <v>50</v>
      </c>
      <c r="AW28" s="49">
        <v>96.15384615384616</v>
      </c>
      <c r="AX28" s="48">
        <v>52</v>
      </c>
      <c r="AY28" s="48"/>
      <c r="AZ28" s="48"/>
      <c r="BA28" s="48"/>
      <c r="BB28" s="48"/>
      <c r="BC28" s="2"/>
      <c r="BD28" s="3"/>
      <c r="BE28" s="3"/>
      <c r="BF28" s="3"/>
      <c r="BG28" s="3"/>
    </row>
    <row r="29" spans="1:59" ht="15">
      <c r="A29" s="66" t="s">
        <v>355</v>
      </c>
      <c r="B29" s="67"/>
      <c r="C29" s="67"/>
      <c r="D29" s="68">
        <v>254.71111963145634</v>
      </c>
      <c r="E29" s="70"/>
      <c r="F29" s="96" t="str">
        <f>HYPERLINK("https://i.ytimg.com/vi/gLDQr9i7LkM/default.jpg")</f>
        <v>https://i.ytimg.com/vi/gLDQr9i7LkM/default.jpg</v>
      </c>
      <c r="G29" s="67"/>
      <c r="H29" s="71" t="s">
        <v>690</v>
      </c>
      <c r="I29" s="72"/>
      <c r="J29" s="72" t="s">
        <v>159</v>
      </c>
      <c r="K29" s="71" t="s">
        <v>690</v>
      </c>
      <c r="L29" s="75">
        <v>1250.75</v>
      </c>
      <c r="M29" s="76">
        <v>5698.4580078125</v>
      </c>
      <c r="N29" s="76">
        <v>6194.61865234375</v>
      </c>
      <c r="O29" s="77"/>
      <c r="P29" s="78"/>
      <c r="Q29" s="78"/>
      <c r="R29" s="82"/>
      <c r="S29" s="48">
        <v>1</v>
      </c>
      <c r="T29" s="48">
        <v>0</v>
      </c>
      <c r="U29" s="49">
        <v>0</v>
      </c>
      <c r="V29" s="49">
        <v>0.000905</v>
      </c>
      <c r="W29" s="49">
        <v>0.001373</v>
      </c>
      <c r="X29" s="49">
        <v>0.484111</v>
      </c>
      <c r="Y29" s="49">
        <v>0</v>
      </c>
      <c r="Z29" s="49">
        <v>0</v>
      </c>
      <c r="AA29" s="73">
        <v>29</v>
      </c>
      <c r="AB29" s="73"/>
      <c r="AC29" s="74"/>
      <c r="AD29" s="80" t="s">
        <v>690</v>
      </c>
      <c r="AE29" s="80" t="s">
        <v>1020</v>
      </c>
      <c r="AF29" s="80" t="s">
        <v>1348</v>
      </c>
      <c r="AG29" s="80" t="s">
        <v>1637</v>
      </c>
      <c r="AH29" s="80" t="s">
        <v>1743</v>
      </c>
      <c r="AI29" s="80">
        <v>1968231</v>
      </c>
      <c r="AJ29" s="80">
        <v>3301</v>
      </c>
      <c r="AK29" s="80">
        <v>90023</v>
      </c>
      <c r="AL29" s="80">
        <v>813</v>
      </c>
      <c r="AM29" s="80" t="s">
        <v>2047</v>
      </c>
      <c r="AN29" s="98" t="str">
        <f>HYPERLINK("https://www.youtube.com/watch?v=gLDQr9i7LkM")</f>
        <v>https://www.youtube.com/watch?v=gLDQr9i7LkM</v>
      </c>
      <c r="AO29" s="80" t="str">
        <f>REPLACE(INDEX(GroupVertices[Group],MATCH(Vertices[[#This Row],[Vertex]],GroupVertices[Vertex],0)),1,1,"")</f>
        <v>3</v>
      </c>
      <c r="AP29" s="48">
        <v>0</v>
      </c>
      <c r="AQ29" s="49">
        <v>0</v>
      </c>
      <c r="AR29" s="48">
        <v>0</v>
      </c>
      <c r="AS29" s="49">
        <v>0</v>
      </c>
      <c r="AT29" s="48">
        <v>0</v>
      </c>
      <c r="AU29" s="49">
        <v>0</v>
      </c>
      <c r="AV29" s="48">
        <v>11</v>
      </c>
      <c r="AW29" s="49">
        <v>100</v>
      </c>
      <c r="AX29" s="48">
        <v>11</v>
      </c>
      <c r="AY29" s="48"/>
      <c r="AZ29" s="48"/>
      <c r="BA29" s="48"/>
      <c r="BB29" s="48"/>
      <c r="BC29" s="2"/>
      <c r="BD29" s="3"/>
      <c r="BE29" s="3"/>
      <c r="BF29" s="3"/>
      <c r="BG29" s="3"/>
    </row>
    <row r="30" spans="1:59" ht="15">
      <c r="A30" s="66" t="s">
        <v>356</v>
      </c>
      <c r="B30" s="67"/>
      <c r="C30" s="67"/>
      <c r="D30" s="68">
        <v>122.3328163032933</v>
      </c>
      <c r="E30" s="70"/>
      <c r="F30" s="96" t="str">
        <f>HYPERLINK("https://i.ytimg.com/vi/8JDuBDIy4C4/default.jpg")</f>
        <v>https://i.ytimg.com/vi/8JDuBDIy4C4/default.jpg</v>
      </c>
      <c r="G30" s="67"/>
      <c r="H30" s="71" t="s">
        <v>691</v>
      </c>
      <c r="I30" s="72"/>
      <c r="J30" s="72" t="s">
        <v>159</v>
      </c>
      <c r="K30" s="71" t="s">
        <v>691</v>
      </c>
      <c r="L30" s="75">
        <v>1250.75</v>
      </c>
      <c r="M30" s="76">
        <v>4678.0126953125</v>
      </c>
      <c r="N30" s="76">
        <v>6807.873046875</v>
      </c>
      <c r="O30" s="77"/>
      <c r="P30" s="78"/>
      <c r="Q30" s="78"/>
      <c r="R30" s="82"/>
      <c r="S30" s="48">
        <v>1</v>
      </c>
      <c r="T30" s="48">
        <v>0</v>
      </c>
      <c r="U30" s="49">
        <v>0</v>
      </c>
      <c r="V30" s="49">
        <v>0.000905</v>
      </c>
      <c r="W30" s="49">
        <v>0.001373</v>
      </c>
      <c r="X30" s="49">
        <v>0.484111</v>
      </c>
      <c r="Y30" s="49">
        <v>0</v>
      </c>
      <c r="Z30" s="49">
        <v>0</v>
      </c>
      <c r="AA30" s="73">
        <v>30</v>
      </c>
      <c r="AB30" s="73"/>
      <c r="AC30" s="74"/>
      <c r="AD30" s="80" t="s">
        <v>691</v>
      </c>
      <c r="AE30" s="80" t="s">
        <v>1021</v>
      </c>
      <c r="AF30" s="80" t="s">
        <v>1349</v>
      </c>
      <c r="AG30" s="80" t="s">
        <v>1635</v>
      </c>
      <c r="AH30" s="80" t="s">
        <v>1744</v>
      </c>
      <c r="AI30" s="80">
        <v>482109</v>
      </c>
      <c r="AJ30" s="80">
        <v>1920</v>
      </c>
      <c r="AK30" s="80">
        <v>17730</v>
      </c>
      <c r="AL30" s="80">
        <v>130</v>
      </c>
      <c r="AM30" s="80" t="s">
        <v>2047</v>
      </c>
      <c r="AN30" s="98" t="str">
        <f>HYPERLINK("https://www.youtube.com/watch?v=8JDuBDIy4C4")</f>
        <v>https://www.youtube.com/watch?v=8JDuBDIy4C4</v>
      </c>
      <c r="AO30" s="80" t="str">
        <f>REPLACE(INDEX(GroupVertices[Group],MATCH(Vertices[[#This Row],[Vertex]],GroupVertices[Vertex],0)),1,1,"")</f>
        <v>3</v>
      </c>
      <c r="AP30" s="48">
        <v>1</v>
      </c>
      <c r="AQ30" s="49">
        <v>1.6129032258064515</v>
      </c>
      <c r="AR30" s="48">
        <v>3</v>
      </c>
      <c r="AS30" s="49">
        <v>4.838709677419355</v>
      </c>
      <c r="AT30" s="48">
        <v>0</v>
      </c>
      <c r="AU30" s="49">
        <v>0</v>
      </c>
      <c r="AV30" s="48">
        <v>58</v>
      </c>
      <c r="AW30" s="49">
        <v>93.54838709677419</v>
      </c>
      <c r="AX30" s="48">
        <v>62</v>
      </c>
      <c r="AY30" s="48"/>
      <c r="AZ30" s="48"/>
      <c r="BA30" s="48"/>
      <c r="BB30" s="48"/>
      <c r="BC30" s="2"/>
      <c r="BD30" s="3"/>
      <c r="BE30" s="3"/>
      <c r="BF30" s="3"/>
      <c r="BG30" s="3"/>
    </row>
    <row r="31" spans="1:59" ht="15">
      <c r="A31" s="66" t="s">
        <v>357</v>
      </c>
      <c r="B31" s="67"/>
      <c r="C31" s="67"/>
      <c r="D31" s="68">
        <v>843.5993230198427</v>
      </c>
      <c r="E31" s="70"/>
      <c r="F31" s="96" t="str">
        <f>HYPERLINK("https://i.ytimg.com/vi/Yh7-ylESSOg/default.jpg")</f>
        <v>https://i.ytimg.com/vi/Yh7-ylESSOg/default.jpg</v>
      </c>
      <c r="G31" s="67"/>
      <c r="H31" s="71" t="s">
        <v>692</v>
      </c>
      <c r="I31" s="72"/>
      <c r="J31" s="72" t="s">
        <v>159</v>
      </c>
      <c r="K31" s="71" t="s">
        <v>692</v>
      </c>
      <c r="L31" s="75">
        <v>1250.75</v>
      </c>
      <c r="M31" s="76">
        <v>5226.7734375</v>
      </c>
      <c r="N31" s="76">
        <v>7212.376953125</v>
      </c>
      <c r="O31" s="77"/>
      <c r="P31" s="78"/>
      <c r="Q31" s="78"/>
      <c r="R31" s="82"/>
      <c r="S31" s="48">
        <v>1</v>
      </c>
      <c r="T31" s="48">
        <v>0</v>
      </c>
      <c r="U31" s="49">
        <v>0</v>
      </c>
      <c r="V31" s="49">
        <v>0.000905</v>
      </c>
      <c r="W31" s="49">
        <v>0.001373</v>
      </c>
      <c r="X31" s="49">
        <v>0.484111</v>
      </c>
      <c r="Y31" s="49">
        <v>0</v>
      </c>
      <c r="Z31" s="49">
        <v>0</v>
      </c>
      <c r="AA31" s="73">
        <v>31</v>
      </c>
      <c r="AB31" s="73"/>
      <c r="AC31" s="74"/>
      <c r="AD31" s="80" t="s">
        <v>692</v>
      </c>
      <c r="AE31" s="80" t="s">
        <v>1022</v>
      </c>
      <c r="AF31" s="80" t="s">
        <v>1350</v>
      </c>
      <c r="AG31" s="80" t="s">
        <v>1635</v>
      </c>
      <c r="AH31" s="80" t="s">
        <v>1745</v>
      </c>
      <c r="AI31" s="80">
        <v>8579282</v>
      </c>
      <c r="AJ31" s="80">
        <v>18881</v>
      </c>
      <c r="AK31" s="80">
        <v>256259</v>
      </c>
      <c r="AL31" s="80">
        <v>3350</v>
      </c>
      <c r="AM31" s="80" t="s">
        <v>2047</v>
      </c>
      <c r="AN31" s="98" t="str">
        <f>HYPERLINK("https://www.youtube.com/watch?v=Yh7-ylESSOg")</f>
        <v>https://www.youtube.com/watch?v=Yh7-ylESSOg</v>
      </c>
      <c r="AO31" s="80" t="str">
        <f>REPLACE(INDEX(GroupVertices[Group],MATCH(Vertices[[#This Row],[Vertex]],GroupVertices[Vertex],0)),1,1,"")</f>
        <v>3</v>
      </c>
      <c r="AP31" s="48">
        <v>6</v>
      </c>
      <c r="AQ31" s="49">
        <v>9.375</v>
      </c>
      <c r="AR31" s="48">
        <v>1</v>
      </c>
      <c r="AS31" s="49">
        <v>1.5625</v>
      </c>
      <c r="AT31" s="48">
        <v>0</v>
      </c>
      <c r="AU31" s="49">
        <v>0</v>
      </c>
      <c r="AV31" s="48">
        <v>57</v>
      </c>
      <c r="AW31" s="49">
        <v>89.0625</v>
      </c>
      <c r="AX31" s="48">
        <v>64</v>
      </c>
      <c r="AY31" s="48"/>
      <c r="AZ31" s="48"/>
      <c r="BA31" s="48"/>
      <c r="BB31" s="48"/>
      <c r="BC31" s="2"/>
      <c r="BD31" s="3"/>
      <c r="BE31" s="3"/>
      <c r="BF31" s="3"/>
      <c r="BG31" s="3"/>
    </row>
    <row r="32" spans="1:59" ht="15">
      <c r="A32" s="66" t="s">
        <v>358</v>
      </c>
      <c r="B32" s="67"/>
      <c r="C32" s="67"/>
      <c r="D32" s="68">
        <v>341.9792955610938</v>
      </c>
      <c r="E32" s="70"/>
      <c r="F32" s="96" t="str">
        <f>HYPERLINK("https://i.ytimg.com/vi/1IWAtvzE9rs/default.jpg")</f>
        <v>https://i.ytimg.com/vi/1IWAtvzE9rs/default.jpg</v>
      </c>
      <c r="G32" s="67"/>
      <c r="H32" s="71" t="s">
        <v>693</v>
      </c>
      <c r="I32" s="72"/>
      <c r="J32" s="72" t="s">
        <v>159</v>
      </c>
      <c r="K32" s="71" t="s">
        <v>693</v>
      </c>
      <c r="L32" s="75">
        <v>1250.75</v>
      </c>
      <c r="M32" s="76">
        <v>6442.5537109375</v>
      </c>
      <c r="N32" s="76">
        <v>6725.5966796875</v>
      </c>
      <c r="O32" s="77"/>
      <c r="P32" s="78"/>
      <c r="Q32" s="78"/>
      <c r="R32" s="82"/>
      <c r="S32" s="48">
        <v>1</v>
      </c>
      <c r="T32" s="48">
        <v>0</v>
      </c>
      <c r="U32" s="49">
        <v>0</v>
      </c>
      <c r="V32" s="49">
        <v>0.000905</v>
      </c>
      <c r="W32" s="49">
        <v>0.001373</v>
      </c>
      <c r="X32" s="49">
        <v>0.484111</v>
      </c>
      <c r="Y32" s="49">
        <v>0</v>
      </c>
      <c r="Z32" s="49">
        <v>0</v>
      </c>
      <c r="AA32" s="73">
        <v>32</v>
      </c>
      <c r="AB32" s="73"/>
      <c r="AC32" s="74"/>
      <c r="AD32" s="80" t="s">
        <v>693</v>
      </c>
      <c r="AE32" s="80" t="s">
        <v>1023</v>
      </c>
      <c r="AF32" s="80" t="s">
        <v>1351</v>
      </c>
      <c r="AG32" s="80" t="s">
        <v>1635</v>
      </c>
      <c r="AH32" s="80" t="s">
        <v>1746</v>
      </c>
      <c r="AI32" s="80">
        <v>2947932</v>
      </c>
      <c r="AJ32" s="80">
        <v>6931</v>
      </c>
      <c r="AK32" s="80">
        <v>88907</v>
      </c>
      <c r="AL32" s="80">
        <v>1273</v>
      </c>
      <c r="AM32" s="80" t="s">
        <v>2047</v>
      </c>
      <c r="AN32" s="98" t="str">
        <f>HYPERLINK("https://www.youtube.com/watch?v=1IWAtvzE9rs")</f>
        <v>https://www.youtube.com/watch?v=1IWAtvzE9rs</v>
      </c>
      <c r="AO32" s="80" t="str">
        <f>REPLACE(INDEX(GroupVertices[Group],MATCH(Vertices[[#This Row],[Vertex]],GroupVertices[Vertex],0)),1,1,"")</f>
        <v>3</v>
      </c>
      <c r="AP32" s="48">
        <v>1</v>
      </c>
      <c r="AQ32" s="49">
        <v>4.545454545454546</v>
      </c>
      <c r="AR32" s="48">
        <v>4</v>
      </c>
      <c r="AS32" s="49">
        <v>18.181818181818183</v>
      </c>
      <c r="AT32" s="48">
        <v>0</v>
      </c>
      <c r="AU32" s="49">
        <v>0</v>
      </c>
      <c r="AV32" s="48">
        <v>17</v>
      </c>
      <c r="AW32" s="49">
        <v>77.27272727272727</v>
      </c>
      <c r="AX32" s="48">
        <v>22</v>
      </c>
      <c r="AY32" s="48"/>
      <c r="AZ32" s="48"/>
      <c r="BA32" s="48"/>
      <c r="BB32" s="48"/>
      <c r="BC32" s="2"/>
      <c r="BD32" s="3"/>
      <c r="BE32" s="3"/>
      <c r="BF32" s="3"/>
      <c r="BG32" s="3"/>
    </row>
    <row r="33" spans="1:59" ht="15">
      <c r="A33" s="66" t="s">
        <v>359</v>
      </c>
      <c r="B33" s="67"/>
      <c r="C33" s="67"/>
      <c r="D33" s="68">
        <v>306.2934445625674</v>
      </c>
      <c r="E33" s="70"/>
      <c r="F33" s="96" t="str">
        <f>HYPERLINK("https://i.ytimg.com/vi/xrZMYVDcjZI/default.jpg")</f>
        <v>https://i.ytimg.com/vi/xrZMYVDcjZI/default.jpg</v>
      </c>
      <c r="G33" s="67"/>
      <c r="H33" s="71" t="s">
        <v>694</v>
      </c>
      <c r="I33" s="72"/>
      <c r="J33" s="72" t="s">
        <v>159</v>
      </c>
      <c r="K33" s="71" t="s">
        <v>694</v>
      </c>
      <c r="L33" s="75">
        <v>1250.75</v>
      </c>
      <c r="M33" s="76">
        <v>5474.546875</v>
      </c>
      <c r="N33" s="76">
        <v>9845.3544921875</v>
      </c>
      <c r="O33" s="77"/>
      <c r="P33" s="78"/>
      <c r="Q33" s="78"/>
      <c r="R33" s="82"/>
      <c r="S33" s="48">
        <v>1</v>
      </c>
      <c r="T33" s="48">
        <v>0</v>
      </c>
      <c r="U33" s="49">
        <v>0</v>
      </c>
      <c r="V33" s="49">
        <v>0.000905</v>
      </c>
      <c r="W33" s="49">
        <v>0.001373</v>
      </c>
      <c r="X33" s="49">
        <v>0.484111</v>
      </c>
      <c r="Y33" s="49">
        <v>0</v>
      </c>
      <c r="Z33" s="49">
        <v>0</v>
      </c>
      <c r="AA33" s="73">
        <v>33</v>
      </c>
      <c r="AB33" s="73"/>
      <c r="AC33" s="74"/>
      <c r="AD33" s="80" t="s">
        <v>694</v>
      </c>
      <c r="AE33" s="80" t="s">
        <v>1024</v>
      </c>
      <c r="AF33" s="80" t="s">
        <v>1352</v>
      </c>
      <c r="AG33" s="80" t="s">
        <v>1635</v>
      </c>
      <c r="AH33" s="80" t="s">
        <v>1747</v>
      </c>
      <c r="AI33" s="80">
        <v>2547311</v>
      </c>
      <c r="AJ33" s="80">
        <v>4666</v>
      </c>
      <c r="AK33" s="80">
        <v>60322</v>
      </c>
      <c r="AL33" s="80">
        <v>1069</v>
      </c>
      <c r="AM33" s="80" t="s">
        <v>2047</v>
      </c>
      <c r="AN33" s="98" t="str">
        <f>HYPERLINK("https://www.youtube.com/watch?v=xrZMYVDcjZI")</f>
        <v>https://www.youtube.com/watch?v=xrZMYVDcjZI</v>
      </c>
      <c r="AO33" s="80" t="str">
        <f>REPLACE(INDEX(GroupVertices[Group],MATCH(Vertices[[#This Row],[Vertex]],GroupVertices[Vertex],0)),1,1,"")</f>
        <v>3</v>
      </c>
      <c r="AP33" s="48">
        <v>3</v>
      </c>
      <c r="AQ33" s="49">
        <v>4.477611940298507</v>
      </c>
      <c r="AR33" s="48">
        <v>13</v>
      </c>
      <c r="AS33" s="49">
        <v>19.402985074626866</v>
      </c>
      <c r="AT33" s="48">
        <v>0</v>
      </c>
      <c r="AU33" s="49">
        <v>0</v>
      </c>
      <c r="AV33" s="48">
        <v>51</v>
      </c>
      <c r="AW33" s="49">
        <v>76.11940298507463</v>
      </c>
      <c r="AX33" s="48">
        <v>67</v>
      </c>
      <c r="AY33" s="48"/>
      <c r="AZ33" s="48"/>
      <c r="BA33" s="48"/>
      <c r="BB33" s="48"/>
      <c r="BC33" s="2"/>
      <c r="BD33" s="3"/>
      <c r="BE33" s="3"/>
      <c r="BF33" s="3"/>
      <c r="BG33" s="3"/>
    </row>
    <row r="34" spans="1:59" ht="15">
      <c r="A34" s="66" t="s">
        <v>360</v>
      </c>
      <c r="B34" s="67"/>
      <c r="C34" s="67"/>
      <c r="D34" s="68">
        <v>267.3616518625669</v>
      </c>
      <c r="E34" s="70"/>
      <c r="F34" s="96" t="str">
        <f>HYPERLINK("https://i.ytimg.com/vi/BlaHA4b4x-4/default.jpg")</f>
        <v>https://i.ytimg.com/vi/BlaHA4b4x-4/default.jpg</v>
      </c>
      <c r="G34" s="67"/>
      <c r="H34" s="71" t="s">
        <v>695</v>
      </c>
      <c r="I34" s="72"/>
      <c r="J34" s="72" t="s">
        <v>159</v>
      </c>
      <c r="K34" s="71" t="s">
        <v>695</v>
      </c>
      <c r="L34" s="75">
        <v>1250.75</v>
      </c>
      <c r="M34" s="76">
        <v>5839.28173828125</v>
      </c>
      <c r="N34" s="76">
        <v>6714.353515625</v>
      </c>
      <c r="O34" s="77"/>
      <c r="P34" s="78"/>
      <c r="Q34" s="78"/>
      <c r="R34" s="82"/>
      <c r="S34" s="48">
        <v>1</v>
      </c>
      <c r="T34" s="48">
        <v>0</v>
      </c>
      <c r="U34" s="49">
        <v>0</v>
      </c>
      <c r="V34" s="49">
        <v>0.000905</v>
      </c>
      <c r="W34" s="49">
        <v>0.001373</v>
      </c>
      <c r="X34" s="49">
        <v>0.484111</v>
      </c>
      <c r="Y34" s="49">
        <v>0</v>
      </c>
      <c r="Z34" s="49">
        <v>0</v>
      </c>
      <c r="AA34" s="73">
        <v>34</v>
      </c>
      <c r="AB34" s="73"/>
      <c r="AC34" s="74"/>
      <c r="AD34" s="80" t="s">
        <v>695</v>
      </c>
      <c r="AE34" s="80" t="s">
        <v>1025</v>
      </c>
      <c r="AF34" s="80" t="s">
        <v>1353</v>
      </c>
      <c r="AG34" s="80" t="s">
        <v>1635</v>
      </c>
      <c r="AH34" s="80" t="s">
        <v>1748</v>
      </c>
      <c r="AI34" s="80">
        <v>2110250</v>
      </c>
      <c r="AJ34" s="80">
        <v>4892</v>
      </c>
      <c r="AK34" s="80">
        <v>68019</v>
      </c>
      <c r="AL34" s="80">
        <v>415</v>
      </c>
      <c r="AM34" s="80" t="s">
        <v>2047</v>
      </c>
      <c r="AN34" s="98" t="str">
        <f>HYPERLINK("https://www.youtube.com/watch?v=BlaHA4b4x-4")</f>
        <v>https://www.youtube.com/watch?v=BlaHA4b4x-4</v>
      </c>
      <c r="AO34" s="80" t="str">
        <f>REPLACE(INDEX(GroupVertices[Group],MATCH(Vertices[[#This Row],[Vertex]],GroupVertices[Vertex],0)),1,1,"")</f>
        <v>3</v>
      </c>
      <c r="AP34" s="48">
        <v>0</v>
      </c>
      <c r="AQ34" s="49">
        <v>0</v>
      </c>
      <c r="AR34" s="48">
        <v>2</v>
      </c>
      <c r="AS34" s="49">
        <v>5.882352941176471</v>
      </c>
      <c r="AT34" s="48">
        <v>0</v>
      </c>
      <c r="AU34" s="49">
        <v>0</v>
      </c>
      <c r="AV34" s="48">
        <v>32</v>
      </c>
      <c r="AW34" s="49">
        <v>94.11764705882354</v>
      </c>
      <c r="AX34" s="48">
        <v>34</v>
      </c>
      <c r="AY34" s="48"/>
      <c r="AZ34" s="48"/>
      <c r="BA34" s="48"/>
      <c r="BB34" s="48"/>
      <c r="BC34" s="2"/>
      <c r="BD34" s="3"/>
      <c r="BE34" s="3"/>
      <c r="BF34" s="3"/>
      <c r="BG34" s="3"/>
    </row>
    <row r="35" spans="1:59" ht="15">
      <c r="A35" s="66" t="s">
        <v>361</v>
      </c>
      <c r="B35" s="67"/>
      <c r="C35" s="67"/>
      <c r="D35" s="68">
        <v>303.129007708976</v>
      </c>
      <c r="E35" s="70"/>
      <c r="F35" s="96" t="str">
        <f>HYPERLINK("https://i.ytimg.com/vi/ycBwyg6ccmk/default.jpg")</f>
        <v>https://i.ytimg.com/vi/ycBwyg6ccmk/default.jpg</v>
      </c>
      <c r="G35" s="67"/>
      <c r="H35" s="71" t="s">
        <v>696</v>
      </c>
      <c r="I35" s="72"/>
      <c r="J35" s="72" t="s">
        <v>159</v>
      </c>
      <c r="K35" s="71" t="s">
        <v>696</v>
      </c>
      <c r="L35" s="75">
        <v>1250.75</v>
      </c>
      <c r="M35" s="76">
        <v>3845.67138671875</v>
      </c>
      <c r="N35" s="76">
        <v>8423.673828125</v>
      </c>
      <c r="O35" s="77"/>
      <c r="P35" s="78"/>
      <c r="Q35" s="78"/>
      <c r="R35" s="82"/>
      <c r="S35" s="48">
        <v>1</v>
      </c>
      <c r="T35" s="48">
        <v>0</v>
      </c>
      <c r="U35" s="49">
        <v>0</v>
      </c>
      <c r="V35" s="49">
        <v>0.000905</v>
      </c>
      <c r="W35" s="49">
        <v>0.001373</v>
      </c>
      <c r="X35" s="49">
        <v>0.484111</v>
      </c>
      <c r="Y35" s="49">
        <v>0</v>
      </c>
      <c r="Z35" s="49">
        <v>0</v>
      </c>
      <c r="AA35" s="73">
        <v>35</v>
      </c>
      <c r="AB35" s="73"/>
      <c r="AC35" s="74"/>
      <c r="AD35" s="80" t="s">
        <v>696</v>
      </c>
      <c r="AE35" s="80" t="s">
        <v>1026</v>
      </c>
      <c r="AF35" s="80" t="s">
        <v>1354</v>
      </c>
      <c r="AG35" s="80" t="s">
        <v>1635</v>
      </c>
      <c r="AH35" s="80" t="s">
        <v>1749</v>
      </c>
      <c r="AI35" s="80">
        <v>2511786</v>
      </c>
      <c r="AJ35" s="80">
        <v>7380</v>
      </c>
      <c r="AK35" s="80">
        <v>88232</v>
      </c>
      <c r="AL35" s="80">
        <v>624</v>
      </c>
      <c r="AM35" s="80" t="s">
        <v>2047</v>
      </c>
      <c r="AN35" s="98" t="str">
        <f>HYPERLINK("https://www.youtube.com/watch?v=ycBwyg6ccmk")</f>
        <v>https://www.youtube.com/watch?v=ycBwyg6ccmk</v>
      </c>
      <c r="AO35" s="80" t="str">
        <f>REPLACE(INDEX(GroupVertices[Group],MATCH(Vertices[[#This Row],[Vertex]],GroupVertices[Vertex],0)),1,1,"")</f>
        <v>3</v>
      </c>
      <c r="AP35" s="48">
        <v>0</v>
      </c>
      <c r="AQ35" s="49">
        <v>0</v>
      </c>
      <c r="AR35" s="48">
        <v>0</v>
      </c>
      <c r="AS35" s="49">
        <v>0</v>
      </c>
      <c r="AT35" s="48">
        <v>0</v>
      </c>
      <c r="AU35" s="49">
        <v>0</v>
      </c>
      <c r="AV35" s="48">
        <v>77</v>
      </c>
      <c r="AW35" s="49">
        <v>100</v>
      </c>
      <c r="AX35" s="48">
        <v>77</v>
      </c>
      <c r="AY35" s="48"/>
      <c r="AZ35" s="48"/>
      <c r="BA35" s="48"/>
      <c r="BB35" s="48"/>
      <c r="BC35" s="2"/>
      <c r="BD35" s="3"/>
      <c r="BE35" s="3"/>
      <c r="BF35" s="3"/>
      <c r="BG35" s="3"/>
    </row>
    <row r="36" spans="1:59" ht="15">
      <c r="A36" s="66" t="s">
        <v>362</v>
      </c>
      <c r="B36" s="67"/>
      <c r="C36" s="67"/>
      <c r="D36" s="68">
        <v>391.76949367848476</v>
      </c>
      <c r="E36" s="70"/>
      <c r="F36" s="96" t="str">
        <f>HYPERLINK("https://i.ytimg.com/vi/0uVempfe8zw/default.jpg")</f>
        <v>https://i.ytimg.com/vi/0uVempfe8zw/default.jpg</v>
      </c>
      <c r="G36" s="67"/>
      <c r="H36" s="71" t="s">
        <v>697</v>
      </c>
      <c r="I36" s="72"/>
      <c r="J36" s="72" t="s">
        <v>159</v>
      </c>
      <c r="K36" s="71" t="s">
        <v>697</v>
      </c>
      <c r="L36" s="75">
        <v>1250.75</v>
      </c>
      <c r="M36" s="76">
        <v>4303.29443359375</v>
      </c>
      <c r="N36" s="76">
        <v>9584.00390625</v>
      </c>
      <c r="O36" s="77"/>
      <c r="P36" s="78"/>
      <c r="Q36" s="78"/>
      <c r="R36" s="82"/>
      <c r="S36" s="48">
        <v>1</v>
      </c>
      <c r="T36" s="48">
        <v>0</v>
      </c>
      <c r="U36" s="49">
        <v>0</v>
      </c>
      <c r="V36" s="49">
        <v>0.000905</v>
      </c>
      <c r="W36" s="49">
        <v>0.001373</v>
      </c>
      <c r="X36" s="49">
        <v>0.484111</v>
      </c>
      <c r="Y36" s="49">
        <v>0</v>
      </c>
      <c r="Z36" s="49">
        <v>0</v>
      </c>
      <c r="AA36" s="73">
        <v>36</v>
      </c>
      <c r="AB36" s="73"/>
      <c r="AC36" s="74"/>
      <c r="AD36" s="80" t="s">
        <v>697</v>
      </c>
      <c r="AE36" s="80" t="s">
        <v>1027</v>
      </c>
      <c r="AF36" s="80" t="s">
        <v>1355</v>
      </c>
      <c r="AG36" s="80" t="s">
        <v>1635</v>
      </c>
      <c r="AH36" s="80" t="s">
        <v>1750</v>
      </c>
      <c r="AI36" s="80">
        <v>3506893</v>
      </c>
      <c r="AJ36" s="80">
        <v>18605</v>
      </c>
      <c r="AK36" s="80">
        <v>127809</v>
      </c>
      <c r="AL36" s="80">
        <v>1724</v>
      </c>
      <c r="AM36" s="80" t="s">
        <v>2047</v>
      </c>
      <c r="AN36" s="98" t="str">
        <f>HYPERLINK("https://www.youtube.com/watch?v=0uVempfe8zw")</f>
        <v>https://www.youtube.com/watch?v=0uVempfe8zw</v>
      </c>
      <c r="AO36" s="80" t="str">
        <f>REPLACE(INDEX(GroupVertices[Group],MATCH(Vertices[[#This Row],[Vertex]],GroupVertices[Vertex],0)),1,1,"")</f>
        <v>3</v>
      </c>
      <c r="AP36" s="48">
        <v>1</v>
      </c>
      <c r="AQ36" s="49">
        <v>1.639344262295082</v>
      </c>
      <c r="AR36" s="48">
        <v>5</v>
      </c>
      <c r="AS36" s="49">
        <v>8.19672131147541</v>
      </c>
      <c r="AT36" s="48">
        <v>0</v>
      </c>
      <c r="AU36" s="49">
        <v>0</v>
      </c>
      <c r="AV36" s="48">
        <v>55</v>
      </c>
      <c r="AW36" s="49">
        <v>90.1639344262295</v>
      </c>
      <c r="AX36" s="48">
        <v>61</v>
      </c>
      <c r="AY36" s="48"/>
      <c r="AZ36" s="48"/>
      <c r="BA36" s="48"/>
      <c r="BB36" s="48"/>
      <c r="BC36" s="2"/>
      <c r="BD36" s="3"/>
      <c r="BE36" s="3"/>
      <c r="BF36" s="3"/>
      <c r="BG36" s="3"/>
    </row>
    <row r="37" spans="1:59" ht="15">
      <c r="A37" s="66" t="s">
        <v>363</v>
      </c>
      <c r="B37" s="67"/>
      <c r="C37" s="67"/>
      <c r="D37" s="68">
        <v>116.85551237289678</v>
      </c>
      <c r="E37" s="70"/>
      <c r="F37" s="96" t="str">
        <f>HYPERLINK("https://i.ytimg.com/vi/lNq47C7hKAM/default.jpg")</f>
        <v>https://i.ytimg.com/vi/lNq47C7hKAM/default.jpg</v>
      </c>
      <c r="G37" s="67"/>
      <c r="H37" s="71" t="s">
        <v>698</v>
      </c>
      <c r="I37" s="72"/>
      <c r="J37" s="72" t="s">
        <v>159</v>
      </c>
      <c r="K37" s="71" t="s">
        <v>698</v>
      </c>
      <c r="L37" s="75">
        <v>1250.75</v>
      </c>
      <c r="M37" s="76">
        <v>5350.2578125</v>
      </c>
      <c r="N37" s="76">
        <v>9369.9189453125</v>
      </c>
      <c r="O37" s="77"/>
      <c r="P37" s="78"/>
      <c r="Q37" s="78"/>
      <c r="R37" s="82"/>
      <c r="S37" s="48">
        <v>1</v>
      </c>
      <c r="T37" s="48">
        <v>0</v>
      </c>
      <c r="U37" s="49">
        <v>0</v>
      </c>
      <c r="V37" s="49">
        <v>0.000905</v>
      </c>
      <c r="W37" s="49">
        <v>0.001373</v>
      </c>
      <c r="X37" s="49">
        <v>0.484111</v>
      </c>
      <c r="Y37" s="49">
        <v>0</v>
      </c>
      <c r="Z37" s="49">
        <v>0</v>
      </c>
      <c r="AA37" s="73">
        <v>37</v>
      </c>
      <c r="AB37" s="73"/>
      <c r="AC37" s="74"/>
      <c r="AD37" s="80" t="s">
        <v>698</v>
      </c>
      <c r="AE37" s="80" t="s">
        <v>1028</v>
      </c>
      <c r="AF37" s="80" t="s">
        <v>1356</v>
      </c>
      <c r="AG37" s="80" t="s">
        <v>1635</v>
      </c>
      <c r="AH37" s="80" t="s">
        <v>1751</v>
      </c>
      <c r="AI37" s="80">
        <v>420619</v>
      </c>
      <c r="AJ37" s="80">
        <v>1746</v>
      </c>
      <c r="AK37" s="80">
        <v>13157</v>
      </c>
      <c r="AL37" s="80">
        <v>194</v>
      </c>
      <c r="AM37" s="80" t="s">
        <v>2047</v>
      </c>
      <c r="AN37" s="98" t="str">
        <f>HYPERLINK("https://www.youtube.com/watch?v=lNq47C7hKAM")</f>
        <v>https://www.youtube.com/watch?v=lNq47C7hKAM</v>
      </c>
      <c r="AO37" s="80" t="str">
        <f>REPLACE(INDEX(GroupVertices[Group],MATCH(Vertices[[#This Row],[Vertex]],GroupVertices[Vertex],0)),1,1,"")</f>
        <v>3</v>
      </c>
      <c r="AP37" s="48">
        <v>2</v>
      </c>
      <c r="AQ37" s="49">
        <v>3.076923076923077</v>
      </c>
      <c r="AR37" s="48">
        <v>5</v>
      </c>
      <c r="AS37" s="49">
        <v>7.6923076923076925</v>
      </c>
      <c r="AT37" s="48">
        <v>0</v>
      </c>
      <c r="AU37" s="49">
        <v>0</v>
      </c>
      <c r="AV37" s="48">
        <v>58</v>
      </c>
      <c r="AW37" s="49">
        <v>89.23076923076923</v>
      </c>
      <c r="AX37" s="48">
        <v>65</v>
      </c>
      <c r="AY37" s="48"/>
      <c r="AZ37" s="48"/>
      <c r="BA37" s="48"/>
      <c r="BB37" s="48"/>
      <c r="BC37" s="2"/>
      <c r="BD37" s="3"/>
      <c r="BE37" s="3"/>
      <c r="BF37" s="3"/>
      <c r="BG37" s="3"/>
    </row>
    <row r="38" spans="1:59" ht="15">
      <c r="A38" s="66" t="s">
        <v>364</v>
      </c>
      <c r="B38" s="67"/>
      <c r="C38" s="67"/>
      <c r="D38" s="68">
        <v>1000</v>
      </c>
      <c r="E38" s="70"/>
      <c r="F38" s="96" t="str">
        <f>HYPERLINK("https://i.ytimg.com/vi/Ya_trIAWIXA/default.jpg")</f>
        <v>https://i.ytimg.com/vi/Ya_trIAWIXA/default.jpg</v>
      </c>
      <c r="G38" s="67"/>
      <c r="H38" s="71" t="s">
        <v>699</v>
      </c>
      <c r="I38" s="72"/>
      <c r="J38" s="72" t="s">
        <v>159</v>
      </c>
      <c r="K38" s="71" t="s">
        <v>699</v>
      </c>
      <c r="L38" s="75">
        <v>1250.75</v>
      </c>
      <c r="M38" s="76">
        <v>4511.43701171875</v>
      </c>
      <c r="N38" s="76">
        <v>6268.4365234375</v>
      </c>
      <c r="O38" s="77"/>
      <c r="P38" s="78"/>
      <c r="Q38" s="78"/>
      <c r="R38" s="82"/>
      <c r="S38" s="48">
        <v>1</v>
      </c>
      <c r="T38" s="48">
        <v>0</v>
      </c>
      <c r="U38" s="49">
        <v>0</v>
      </c>
      <c r="V38" s="49">
        <v>0.000905</v>
      </c>
      <c r="W38" s="49">
        <v>0.001373</v>
      </c>
      <c r="X38" s="49">
        <v>0.484111</v>
      </c>
      <c r="Y38" s="49">
        <v>0</v>
      </c>
      <c r="Z38" s="49">
        <v>0</v>
      </c>
      <c r="AA38" s="73">
        <v>38</v>
      </c>
      <c r="AB38" s="73"/>
      <c r="AC38" s="74"/>
      <c r="AD38" s="80" t="s">
        <v>699</v>
      </c>
      <c r="AE38" s="80" t="s">
        <v>1029</v>
      </c>
      <c r="AF38" s="80" t="s">
        <v>1357</v>
      </c>
      <c r="AG38" s="80" t="s">
        <v>1635</v>
      </c>
      <c r="AH38" s="80" t="s">
        <v>1752</v>
      </c>
      <c r="AI38" s="80">
        <v>22656119</v>
      </c>
      <c r="AJ38" s="80">
        <v>48984</v>
      </c>
      <c r="AK38" s="80">
        <v>657079</v>
      </c>
      <c r="AL38" s="80">
        <v>8615</v>
      </c>
      <c r="AM38" s="80" t="s">
        <v>2047</v>
      </c>
      <c r="AN38" s="98" t="str">
        <f>HYPERLINK("https://www.youtube.com/watch?v=Ya_trIAWIXA")</f>
        <v>https://www.youtube.com/watch?v=Ya_trIAWIXA</v>
      </c>
      <c r="AO38" s="80" t="str">
        <f>REPLACE(INDEX(GroupVertices[Group],MATCH(Vertices[[#This Row],[Vertex]],GroupVertices[Vertex],0)),1,1,"")</f>
        <v>3</v>
      </c>
      <c r="AP38" s="48">
        <v>10</v>
      </c>
      <c r="AQ38" s="49">
        <v>12.987012987012987</v>
      </c>
      <c r="AR38" s="48">
        <v>0</v>
      </c>
      <c r="AS38" s="49">
        <v>0</v>
      </c>
      <c r="AT38" s="48">
        <v>0</v>
      </c>
      <c r="AU38" s="49">
        <v>0</v>
      </c>
      <c r="AV38" s="48">
        <v>67</v>
      </c>
      <c r="AW38" s="49">
        <v>87.01298701298701</v>
      </c>
      <c r="AX38" s="48">
        <v>77</v>
      </c>
      <c r="AY38" s="48"/>
      <c r="AZ38" s="48"/>
      <c r="BA38" s="48"/>
      <c r="BB38" s="48"/>
      <c r="BC38" s="2"/>
      <c r="BD38" s="3"/>
      <c r="BE38" s="3"/>
      <c r="BF38" s="3"/>
      <c r="BG38" s="3"/>
    </row>
    <row r="39" spans="1:59" ht="15">
      <c r="A39" s="66" t="s">
        <v>365</v>
      </c>
      <c r="B39" s="67"/>
      <c r="C39" s="67"/>
      <c r="D39" s="68">
        <v>244.02525507783528</v>
      </c>
      <c r="E39" s="70"/>
      <c r="F39" s="96" t="str">
        <f>HYPERLINK("https://i.ytimg.com/vi/3nTsHMSe0aM/default.jpg")</f>
        <v>https://i.ytimg.com/vi/3nTsHMSe0aM/default.jpg</v>
      </c>
      <c r="G39" s="67"/>
      <c r="H39" s="71" t="s">
        <v>700</v>
      </c>
      <c r="I39" s="72"/>
      <c r="J39" s="72" t="s">
        <v>159</v>
      </c>
      <c r="K39" s="71" t="s">
        <v>700</v>
      </c>
      <c r="L39" s="75">
        <v>1250.75</v>
      </c>
      <c r="M39" s="76">
        <v>6132.66943359375</v>
      </c>
      <c r="N39" s="76">
        <v>6410.341796875</v>
      </c>
      <c r="O39" s="77"/>
      <c r="P39" s="78"/>
      <c r="Q39" s="78"/>
      <c r="R39" s="82"/>
      <c r="S39" s="48">
        <v>1</v>
      </c>
      <c r="T39" s="48">
        <v>0</v>
      </c>
      <c r="U39" s="49">
        <v>0</v>
      </c>
      <c r="V39" s="49">
        <v>0.000905</v>
      </c>
      <c r="W39" s="49">
        <v>0.001373</v>
      </c>
      <c r="X39" s="49">
        <v>0.484111</v>
      </c>
      <c r="Y39" s="49">
        <v>0</v>
      </c>
      <c r="Z39" s="49">
        <v>0</v>
      </c>
      <c r="AA39" s="73">
        <v>39</v>
      </c>
      <c r="AB39" s="73"/>
      <c r="AC39" s="74"/>
      <c r="AD39" s="80" t="s">
        <v>700</v>
      </c>
      <c r="AE39" s="80" t="s">
        <v>1030</v>
      </c>
      <c r="AF39" s="80" t="s">
        <v>1358</v>
      </c>
      <c r="AG39" s="80" t="s">
        <v>1635</v>
      </c>
      <c r="AH39" s="80" t="s">
        <v>1753</v>
      </c>
      <c r="AI39" s="80">
        <v>1848268</v>
      </c>
      <c r="AJ39" s="80">
        <v>11650</v>
      </c>
      <c r="AK39" s="80">
        <v>81525</v>
      </c>
      <c r="AL39" s="80">
        <v>832</v>
      </c>
      <c r="AM39" s="80" t="s">
        <v>2047</v>
      </c>
      <c r="AN39" s="98" t="str">
        <f>HYPERLINK("https://www.youtube.com/watch?v=3nTsHMSe0aM")</f>
        <v>https://www.youtube.com/watch?v=3nTsHMSe0aM</v>
      </c>
      <c r="AO39" s="80" t="str">
        <f>REPLACE(INDEX(GroupVertices[Group],MATCH(Vertices[[#This Row],[Vertex]],GroupVertices[Vertex],0)),1,1,"")</f>
        <v>3</v>
      </c>
      <c r="AP39" s="48">
        <v>3</v>
      </c>
      <c r="AQ39" s="49">
        <v>4.285714285714286</v>
      </c>
      <c r="AR39" s="48">
        <v>3</v>
      </c>
      <c r="AS39" s="49">
        <v>4.285714285714286</v>
      </c>
      <c r="AT39" s="48">
        <v>0</v>
      </c>
      <c r="AU39" s="49">
        <v>0</v>
      </c>
      <c r="AV39" s="48">
        <v>64</v>
      </c>
      <c r="AW39" s="49">
        <v>91.42857142857143</v>
      </c>
      <c r="AX39" s="48">
        <v>70</v>
      </c>
      <c r="AY39" s="48"/>
      <c r="AZ39" s="48"/>
      <c r="BA39" s="48"/>
      <c r="BB39" s="48"/>
      <c r="BC39" s="2"/>
      <c r="BD39" s="3"/>
      <c r="BE39" s="3"/>
      <c r="BF39" s="3"/>
      <c r="BG39" s="3"/>
    </row>
    <row r="40" spans="1:59" ht="15">
      <c r="A40" s="66" t="s">
        <v>366</v>
      </c>
      <c r="B40" s="67"/>
      <c r="C40" s="67"/>
      <c r="D40" s="68">
        <v>464.110791598165</v>
      </c>
      <c r="E40" s="70"/>
      <c r="F40" s="96" t="str">
        <f>HYPERLINK("https://i.ytimg.com/vi/vczzNIFMUjE/default.jpg")</f>
        <v>https://i.ytimg.com/vi/vczzNIFMUjE/default.jpg</v>
      </c>
      <c r="G40" s="67"/>
      <c r="H40" s="71" t="s">
        <v>701</v>
      </c>
      <c r="I40" s="72"/>
      <c r="J40" s="72" t="s">
        <v>159</v>
      </c>
      <c r="K40" s="71" t="s">
        <v>701</v>
      </c>
      <c r="L40" s="75">
        <v>1250.75</v>
      </c>
      <c r="M40" s="76">
        <v>4865.54736328125</v>
      </c>
      <c r="N40" s="76">
        <v>6167.61474609375</v>
      </c>
      <c r="O40" s="77"/>
      <c r="P40" s="78"/>
      <c r="Q40" s="78"/>
      <c r="R40" s="82"/>
      <c r="S40" s="48">
        <v>1</v>
      </c>
      <c r="T40" s="48">
        <v>0</v>
      </c>
      <c r="U40" s="49">
        <v>0</v>
      </c>
      <c r="V40" s="49">
        <v>0.000905</v>
      </c>
      <c r="W40" s="49">
        <v>0.001373</v>
      </c>
      <c r="X40" s="49">
        <v>0.484111</v>
      </c>
      <c r="Y40" s="49">
        <v>0</v>
      </c>
      <c r="Z40" s="49">
        <v>0</v>
      </c>
      <c r="AA40" s="73">
        <v>40</v>
      </c>
      <c r="AB40" s="73"/>
      <c r="AC40" s="74"/>
      <c r="AD40" s="80" t="s">
        <v>701</v>
      </c>
      <c r="AE40" s="80" t="s">
        <v>1031</v>
      </c>
      <c r="AF40" s="80" t="s">
        <v>1359</v>
      </c>
      <c r="AG40" s="80" t="s">
        <v>1635</v>
      </c>
      <c r="AH40" s="80" t="s">
        <v>1754</v>
      </c>
      <c r="AI40" s="80">
        <v>4319020</v>
      </c>
      <c r="AJ40" s="80">
        <v>13052</v>
      </c>
      <c r="AK40" s="80">
        <v>175733</v>
      </c>
      <c r="AL40" s="80">
        <v>1430</v>
      </c>
      <c r="AM40" s="80" t="s">
        <v>2047</v>
      </c>
      <c r="AN40" s="98" t="str">
        <f>HYPERLINK("https://www.youtube.com/watch?v=vczzNIFMUjE")</f>
        <v>https://www.youtube.com/watch?v=vczzNIFMUjE</v>
      </c>
      <c r="AO40" s="80" t="str">
        <f>REPLACE(INDEX(GroupVertices[Group],MATCH(Vertices[[#This Row],[Vertex]],GroupVertices[Vertex],0)),1,1,"")</f>
        <v>3</v>
      </c>
      <c r="AP40" s="48">
        <v>6</v>
      </c>
      <c r="AQ40" s="49">
        <v>9.090909090909092</v>
      </c>
      <c r="AR40" s="48">
        <v>1</v>
      </c>
      <c r="AS40" s="49">
        <v>1.5151515151515151</v>
      </c>
      <c r="AT40" s="48">
        <v>0</v>
      </c>
      <c r="AU40" s="49">
        <v>0</v>
      </c>
      <c r="AV40" s="48">
        <v>59</v>
      </c>
      <c r="AW40" s="49">
        <v>89.39393939393939</v>
      </c>
      <c r="AX40" s="48">
        <v>66</v>
      </c>
      <c r="AY40" s="48"/>
      <c r="AZ40" s="48"/>
      <c r="BA40" s="48"/>
      <c r="BB40" s="48"/>
      <c r="BC40" s="2"/>
      <c r="BD40" s="3"/>
      <c r="BE40" s="3"/>
      <c r="BF40" s="3"/>
      <c r="BG40" s="3"/>
    </row>
    <row r="41" spans="1:59" ht="15">
      <c r="A41" s="66" t="s">
        <v>367</v>
      </c>
      <c r="B41" s="67"/>
      <c r="C41" s="67"/>
      <c r="D41" s="68">
        <v>274.85154653948115</v>
      </c>
      <c r="E41" s="70"/>
      <c r="F41" s="96" t="str">
        <f>HYPERLINK("https://i.ytimg.com/vi/kIIHkXZZs4M/default.jpg")</f>
        <v>https://i.ytimg.com/vi/kIIHkXZZs4M/default.jpg</v>
      </c>
      <c r="G41" s="67"/>
      <c r="H41" s="71" t="s">
        <v>702</v>
      </c>
      <c r="I41" s="72"/>
      <c r="J41" s="72" t="s">
        <v>159</v>
      </c>
      <c r="K41" s="71" t="s">
        <v>702</v>
      </c>
      <c r="L41" s="75">
        <v>1250.75</v>
      </c>
      <c r="M41" s="76">
        <v>5281.7763671875</v>
      </c>
      <c r="N41" s="76">
        <v>6572.82861328125</v>
      </c>
      <c r="O41" s="77"/>
      <c r="P41" s="78"/>
      <c r="Q41" s="78"/>
      <c r="R41" s="82"/>
      <c r="S41" s="48">
        <v>1</v>
      </c>
      <c r="T41" s="48">
        <v>0</v>
      </c>
      <c r="U41" s="49">
        <v>0</v>
      </c>
      <c r="V41" s="49">
        <v>0.000905</v>
      </c>
      <c r="W41" s="49">
        <v>0.001373</v>
      </c>
      <c r="X41" s="49">
        <v>0.484111</v>
      </c>
      <c r="Y41" s="49">
        <v>0</v>
      </c>
      <c r="Z41" s="49">
        <v>0</v>
      </c>
      <c r="AA41" s="73">
        <v>41</v>
      </c>
      <c r="AB41" s="73"/>
      <c r="AC41" s="74"/>
      <c r="AD41" s="80" t="s">
        <v>702</v>
      </c>
      <c r="AE41" s="80" t="s">
        <v>1032</v>
      </c>
      <c r="AF41" s="80" t="s">
        <v>1360</v>
      </c>
      <c r="AG41" s="80" t="s">
        <v>1635</v>
      </c>
      <c r="AH41" s="80" t="s">
        <v>1755</v>
      </c>
      <c r="AI41" s="80">
        <v>2194334</v>
      </c>
      <c r="AJ41" s="80">
        <v>4997</v>
      </c>
      <c r="AK41" s="80">
        <v>78040</v>
      </c>
      <c r="AL41" s="80">
        <v>421</v>
      </c>
      <c r="AM41" s="80" t="s">
        <v>2047</v>
      </c>
      <c r="AN41" s="98" t="str">
        <f>HYPERLINK("https://www.youtube.com/watch?v=kIIHkXZZs4M")</f>
        <v>https://www.youtube.com/watch?v=kIIHkXZZs4M</v>
      </c>
      <c r="AO41" s="80" t="str">
        <f>REPLACE(INDEX(GroupVertices[Group],MATCH(Vertices[[#This Row],[Vertex]],GroupVertices[Vertex],0)),1,1,"")</f>
        <v>3</v>
      </c>
      <c r="AP41" s="48">
        <v>0</v>
      </c>
      <c r="AQ41" s="49">
        <v>0</v>
      </c>
      <c r="AR41" s="48">
        <v>0</v>
      </c>
      <c r="AS41" s="49">
        <v>0</v>
      </c>
      <c r="AT41" s="48">
        <v>0</v>
      </c>
      <c r="AU41" s="49">
        <v>0</v>
      </c>
      <c r="AV41" s="48">
        <v>65</v>
      </c>
      <c r="AW41" s="49">
        <v>100</v>
      </c>
      <c r="AX41" s="48">
        <v>65</v>
      </c>
      <c r="AY41" s="48"/>
      <c r="AZ41" s="48"/>
      <c r="BA41" s="48"/>
      <c r="BB41" s="48"/>
      <c r="BC41" s="2"/>
      <c r="BD41" s="3"/>
      <c r="BE41" s="3"/>
      <c r="BF41" s="3"/>
      <c r="BG41" s="3"/>
    </row>
    <row r="42" spans="1:59" ht="15">
      <c r="A42" s="66" t="s">
        <v>368</v>
      </c>
      <c r="B42" s="67"/>
      <c r="C42" s="67"/>
      <c r="D42" s="68">
        <v>162.77917395253007</v>
      </c>
      <c r="E42" s="70"/>
      <c r="F42" s="96" t="str">
        <f>HYPERLINK("https://i.ytimg.com/vi/scDmziIwUEY/default.jpg")</f>
        <v>https://i.ytimg.com/vi/scDmziIwUEY/default.jpg</v>
      </c>
      <c r="G42" s="67"/>
      <c r="H42" s="71" t="s">
        <v>703</v>
      </c>
      <c r="I42" s="72"/>
      <c r="J42" s="72" t="s">
        <v>159</v>
      </c>
      <c r="K42" s="71" t="s">
        <v>703</v>
      </c>
      <c r="L42" s="75">
        <v>1250.75</v>
      </c>
      <c r="M42" s="76">
        <v>4785.42138671875</v>
      </c>
      <c r="N42" s="76">
        <v>9269.9765625</v>
      </c>
      <c r="O42" s="77"/>
      <c r="P42" s="78"/>
      <c r="Q42" s="78"/>
      <c r="R42" s="82"/>
      <c r="S42" s="48">
        <v>1</v>
      </c>
      <c r="T42" s="48">
        <v>0</v>
      </c>
      <c r="U42" s="49">
        <v>0</v>
      </c>
      <c r="V42" s="49">
        <v>0.000905</v>
      </c>
      <c r="W42" s="49">
        <v>0.001373</v>
      </c>
      <c r="X42" s="49">
        <v>0.484111</v>
      </c>
      <c r="Y42" s="49">
        <v>0</v>
      </c>
      <c r="Z42" s="49">
        <v>0</v>
      </c>
      <c r="AA42" s="73">
        <v>42</v>
      </c>
      <c r="AB42" s="73"/>
      <c r="AC42" s="74"/>
      <c r="AD42" s="80" t="s">
        <v>703</v>
      </c>
      <c r="AE42" s="80" t="s">
        <v>1033</v>
      </c>
      <c r="AF42" s="80" t="s">
        <v>1361</v>
      </c>
      <c r="AG42" s="80" t="s">
        <v>1635</v>
      </c>
      <c r="AH42" s="80" t="s">
        <v>1756</v>
      </c>
      <c r="AI42" s="80">
        <v>936173</v>
      </c>
      <c r="AJ42" s="80">
        <v>4489</v>
      </c>
      <c r="AK42" s="80">
        <v>31833</v>
      </c>
      <c r="AL42" s="80">
        <v>526</v>
      </c>
      <c r="AM42" s="80" t="s">
        <v>2047</v>
      </c>
      <c r="AN42" s="98" t="str">
        <f>HYPERLINK("https://www.youtube.com/watch?v=scDmziIwUEY")</f>
        <v>https://www.youtube.com/watch?v=scDmziIwUEY</v>
      </c>
      <c r="AO42" s="80" t="str">
        <f>REPLACE(INDEX(GroupVertices[Group],MATCH(Vertices[[#This Row],[Vertex]],GroupVertices[Vertex],0)),1,1,"")</f>
        <v>3</v>
      </c>
      <c r="AP42" s="48">
        <v>7</v>
      </c>
      <c r="AQ42" s="49">
        <v>10.9375</v>
      </c>
      <c r="AR42" s="48">
        <v>3</v>
      </c>
      <c r="AS42" s="49">
        <v>4.6875</v>
      </c>
      <c r="AT42" s="48">
        <v>0</v>
      </c>
      <c r="AU42" s="49">
        <v>0</v>
      </c>
      <c r="AV42" s="48">
        <v>54</v>
      </c>
      <c r="AW42" s="49">
        <v>84.375</v>
      </c>
      <c r="AX42" s="48">
        <v>64</v>
      </c>
      <c r="AY42" s="48"/>
      <c r="AZ42" s="48"/>
      <c r="BA42" s="48"/>
      <c r="BB42" s="48"/>
      <c r="BC42" s="2"/>
      <c r="BD42" s="3"/>
      <c r="BE42" s="3"/>
      <c r="BF42" s="3"/>
      <c r="BG42" s="3"/>
    </row>
    <row r="43" spans="1:59" ht="15">
      <c r="A43" s="66" t="s">
        <v>369</v>
      </c>
      <c r="B43" s="67"/>
      <c r="C43" s="67"/>
      <c r="D43" s="68">
        <v>306.36372579205323</v>
      </c>
      <c r="E43" s="70"/>
      <c r="F43" s="96" t="str">
        <f>HYPERLINK("https://i.ytimg.com/vi/ldUS0QOcEP0/default.jpg")</f>
        <v>https://i.ytimg.com/vi/ldUS0QOcEP0/default.jpg</v>
      </c>
      <c r="G43" s="67"/>
      <c r="H43" s="71" t="s">
        <v>704</v>
      </c>
      <c r="I43" s="72"/>
      <c r="J43" s="72" t="s">
        <v>159</v>
      </c>
      <c r="K43" s="71" t="s">
        <v>704</v>
      </c>
      <c r="L43" s="75">
        <v>1250.75</v>
      </c>
      <c r="M43" s="76">
        <v>5885.44482421875</v>
      </c>
      <c r="N43" s="76">
        <v>7282.369140625</v>
      </c>
      <c r="O43" s="77"/>
      <c r="P43" s="78"/>
      <c r="Q43" s="78"/>
      <c r="R43" s="82"/>
      <c r="S43" s="48">
        <v>1</v>
      </c>
      <c r="T43" s="48">
        <v>0</v>
      </c>
      <c r="U43" s="49">
        <v>0</v>
      </c>
      <c r="V43" s="49">
        <v>0.000905</v>
      </c>
      <c r="W43" s="49">
        <v>0.001373</v>
      </c>
      <c r="X43" s="49">
        <v>0.484111</v>
      </c>
      <c r="Y43" s="49">
        <v>0</v>
      </c>
      <c r="Z43" s="49">
        <v>0</v>
      </c>
      <c r="AA43" s="73">
        <v>43</v>
      </c>
      <c r="AB43" s="73"/>
      <c r="AC43" s="74"/>
      <c r="AD43" s="80" t="s">
        <v>704</v>
      </c>
      <c r="AE43" s="80" t="s">
        <v>1034</v>
      </c>
      <c r="AF43" s="80" t="s">
        <v>1362</v>
      </c>
      <c r="AG43" s="80" t="s">
        <v>1635</v>
      </c>
      <c r="AH43" s="80" t="s">
        <v>1757</v>
      </c>
      <c r="AI43" s="80">
        <v>2548100</v>
      </c>
      <c r="AJ43" s="80">
        <v>4723</v>
      </c>
      <c r="AK43" s="80">
        <v>78538</v>
      </c>
      <c r="AL43" s="80">
        <v>776</v>
      </c>
      <c r="AM43" s="80" t="s">
        <v>2047</v>
      </c>
      <c r="AN43" s="98" t="str">
        <f>HYPERLINK("https://www.youtube.com/watch?v=ldUS0QOcEP0")</f>
        <v>https://www.youtube.com/watch?v=ldUS0QOcEP0</v>
      </c>
      <c r="AO43" s="80" t="str">
        <f>REPLACE(INDEX(GroupVertices[Group],MATCH(Vertices[[#This Row],[Vertex]],GroupVertices[Vertex],0)),1,1,"")</f>
        <v>3</v>
      </c>
      <c r="AP43" s="48">
        <v>1</v>
      </c>
      <c r="AQ43" s="49">
        <v>1.1904761904761905</v>
      </c>
      <c r="AR43" s="48">
        <v>2</v>
      </c>
      <c r="AS43" s="49">
        <v>2.380952380952381</v>
      </c>
      <c r="AT43" s="48">
        <v>0</v>
      </c>
      <c r="AU43" s="49">
        <v>0</v>
      </c>
      <c r="AV43" s="48">
        <v>81</v>
      </c>
      <c r="AW43" s="49">
        <v>96.42857142857143</v>
      </c>
      <c r="AX43" s="48">
        <v>84</v>
      </c>
      <c r="AY43" s="48"/>
      <c r="AZ43" s="48"/>
      <c r="BA43" s="48"/>
      <c r="BB43" s="48"/>
      <c r="BC43" s="2"/>
      <c r="BD43" s="3"/>
      <c r="BE43" s="3"/>
      <c r="BF43" s="3"/>
      <c r="BG43" s="3"/>
    </row>
    <row r="44" spans="1:59" ht="15">
      <c r="A44" s="66" t="s">
        <v>370</v>
      </c>
      <c r="B44" s="67"/>
      <c r="C44" s="67"/>
      <c r="D44" s="68">
        <v>1000</v>
      </c>
      <c r="E44" s="70"/>
      <c r="F44" s="96" t="str">
        <f>HYPERLINK("https://i.ytimg.com/vi/RFRN1WY98Ik/default.jpg")</f>
        <v>https://i.ytimg.com/vi/RFRN1WY98Ik/default.jpg</v>
      </c>
      <c r="G44" s="67"/>
      <c r="H44" s="71" t="s">
        <v>705</v>
      </c>
      <c r="I44" s="72"/>
      <c r="J44" s="72" t="s">
        <v>159</v>
      </c>
      <c r="K44" s="71" t="s">
        <v>705</v>
      </c>
      <c r="L44" s="75">
        <v>1250.75</v>
      </c>
      <c r="M44" s="76">
        <v>3955.383056640625</v>
      </c>
      <c r="N44" s="76">
        <v>9349.9755859375</v>
      </c>
      <c r="O44" s="77"/>
      <c r="P44" s="78"/>
      <c r="Q44" s="78"/>
      <c r="R44" s="82"/>
      <c r="S44" s="48">
        <v>1</v>
      </c>
      <c r="T44" s="48">
        <v>0</v>
      </c>
      <c r="U44" s="49">
        <v>0</v>
      </c>
      <c r="V44" s="49">
        <v>0.000905</v>
      </c>
      <c r="W44" s="49">
        <v>0.001373</v>
      </c>
      <c r="X44" s="49">
        <v>0.484111</v>
      </c>
      <c r="Y44" s="49">
        <v>0</v>
      </c>
      <c r="Z44" s="49">
        <v>0</v>
      </c>
      <c r="AA44" s="73">
        <v>44</v>
      </c>
      <c r="AB44" s="73"/>
      <c r="AC44" s="74"/>
      <c r="AD44" s="80" t="s">
        <v>705</v>
      </c>
      <c r="AE44" s="80" t="s">
        <v>1035</v>
      </c>
      <c r="AF44" s="80" t="s">
        <v>1363</v>
      </c>
      <c r="AG44" s="80" t="s">
        <v>1635</v>
      </c>
      <c r="AH44" s="80" t="s">
        <v>1758</v>
      </c>
      <c r="AI44" s="80">
        <v>10925741</v>
      </c>
      <c r="AJ44" s="80">
        <v>32330</v>
      </c>
      <c r="AK44" s="80">
        <v>284861</v>
      </c>
      <c r="AL44" s="80">
        <v>6295</v>
      </c>
      <c r="AM44" s="80" t="s">
        <v>2047</v>
      </c>
      <c r="AN44" s="98" t="str">
        <f>HYPERLINK("https://www.youtube.com/watch?v=RFRN1WY98Ik")</f>
        <v>https://www.youtube.com/watch?v=RFRN1WY98Ik</v>
      </c>
      <c r="AO44" s="80" t="str">
        <f>REPLACE(INDEX(GroupVertices[Group],MATCH(Vertices[[#This Row],[Vertex]],GroupVertices[Vertex],0)),1,1,"")</f>
        <v>3</v>
      </c>
      <c r="AP44" s="48">
        <v>2</v>
      </c>
      <c r="AQ44" s="49">
        <v>2.4390243902439024</v>
      </c>
      <c r="AR44" s="48">
        <v>1</v>
      </c>
      <c r="AS44" s="49">
        <v>1.2195121951219512</v>
      </c>
      <c r="AT44" s="48">
        <v>0</v>
      </c>
      <c r="AU44" s="49">
        <v>0</v>
      </c>
      <c r="AV44" s="48">
        <v>79</v>
      </c>
      <c r="AW44" s="49">
        <v>96.34146341463415</v>
      </c>
      <c r="AX44" s="48">
        <v>82</v>
      </c>
      <c r="AY44" s="48"/>
      <c r="AZ44" s="48"/>
      <c r="BA44" s="48"/>
      <c r="BB44" s="48"/>
      <c r="BC44" s="2"/>
      <c r="BD44" s="3"/>
      <c r="BE44" s="3"/>
      <c r="BF44" s="3"/>
      <c r="BG44" s="3"/>
    </row>
    <row r="45" spans="1:59" ht="15">
      <c r="A45" s="66" t="s">
        <v>371</v>
      </c>
      <c r="B45" s="67"/>
      <c r="C45" s="67"/>
      <c r="D45" s="68">
        <v>398.81454113099835</v>
      </c>
      <c r="E45" s="70"/>
      <c r="F45" s="96" t="str">
        <f>HYPERLINK("https://i.ytimg.com/vi/KjTXvC2DfJI/default.jpg")</f>
        <v>https://i.ytimg.com/vi/KjTXvC2DfJI/default.jpg</v>
      </c>
      <c r="G45" s="67"/>
      <c r="H45" s="71" t="s">
        <v>706</v>
      </c>
      <c r="I45" s="72"/>
      <c r="J45" s="72" t="s">
        <v>159</v>
      </c>
      <c r="K45" s="71" t="s">
        <v>706</v>
      </c>
      <c r="L45" s="75">
        <v>1250.75</v>
      </c>
      <c r="M45" s="76">
        <v>5398.40478515625</v>
      </c>
      <c r="N45" s="76">
        <v>8687.8125</v>
      </c>
      <c r="O45" s="77"/>
      <c r="P45" s="78"/>
      <c r="Q45" s="78"/>
      <c r="R45" s="82"/>
      <c r="S45" s="48">
        <v>1</v>
      </c>
      <c r="T45" s="48">
        <v>0</v>
      </c>
      <c r="U45" s="49">
        <v>0</v>
      </c>
      <c r="V45" s="49">
        <v>0.000905</v>
      </c>
      <c r="W45" s="49">
        <v>0.001373</v>
      </c>
      <c r="X45" s="49">
        <v>0.484111</v>
      </c>
      <c r="Y45" s="49">
        <v>0</v>
      </c>
      <c r="Z45" s="49">
        <v>0</v>
      </c>
      <c r="AA45" s="73">
        <v>45</v>
      </c>
      <c r="AB45" s="73"/>
      <c r="AC45" s="74"/>
      <c r="AD45" s="80" t="s">
        <v>706</v>
      </c>
      <c r="AE45" s="80" t="s">
        <v>1036</v>
      </c>
      <c r="AF45" s="80" t="s">
        <v>1364</v>
      </c>
      <c r="AG45" s="80" t="s">
        <v>1635</v>
      </c>
      <c r="AH45" s="80" t="s">
        <v>1759</v>
      </c>
      <c r="AI45" s="80">
        <v>3585983</v>
      </c>
      <c r="AJ45" s="80">
        <v>11314</v>
      </c>
      <c r="AK45" s="80">
        <v>112891</v>
      </c>
      <c r="AL45" s="80">
        <v>1865</v>
      </c>
      <c r="AM45" s="80" t="s">
        <v>2047</v>
      </c>
      <c r="AN45" s="98" t="str">
        <f>HYPERLINK("https://www.youtube.com/watch?v=KjTXvC2DfJI")</f>
        <v>https://www.youtube.com/watch?v=KjTXvC2DfJI</v>
      </c>
      <c r="AO45" s="80" t="str">
        <f>REPLACE(INDEX(GroupVertices[Group],MATCH(Vertices[[#This Row],[Vertex]],GroupVertices[Vertex],0)),1,1,"")</f>
        <v>3</v>
      </c>
      <c r="AP45" s="48">
        <v>8</v>
      </c>
      <c r="AQ45" s="49">
        <v>12.5</v>
      </c>
      <c r="AR45" s="48">
        <v>8</v>
      </c>
      <c r="AS45" s="49">
        <v>12.5</v>
      </c>
      <c r="AT45" s="48">
        <v>0</v>
      </c>
      <c r="AU45" s="49">
        <v>0</v>
      </c>
      <c r="AV45" s="48">
        <v>48</v>
      </c>
      <c r="AW45" s="49">
        <v>75</v>
      </c>
      <c r="AX45" s="48">
        <v>64</v>
      </c>
      <c r="AY45" s="48"/>
      <c r="AZ45" s="48"/>
      <c r="BA45" s="48"/>
      <c r="BB45" s="48"/>
      <c r="BC45" s="2"/>
      <c r="BD45" s="3"/>
      <c r="BE45" s="3"/>
      <c r="BF45" s="3"/>
      <c r="BG45" s="3"/>
    </row>
    <row r="46" spans="1:59" ht="15">
      <c r="A46" s="66" t="s">
        <v>372</v>
      </c>
      <c r="B46" s="67"/>
      <c r="C46" s="67"/>
      <c r="D46" s="68">
        <v>138.1567820979801</v>
      </c>
      <c r="E46" s="70"/>
      <c r="F46" s="96" t="str">
        <f>HYPERLINK("https://i.ytimg.com/vi/JXDo-73uaAI/default.jpg")</f>
        <v>https://i.ytimg.com/vi/JXDo-73uaAI/default.jpg</v>
      </c>
      <c r="G46" s="67"/>
      <c r="H46" s="71" t="s">
        <v>707</v>
      </c>
      <c r="I46" s="72"/>
      <c r="J46" s="72" t="s">
        <v>159</v>
      </c>
      <c r="K46" s="71" t="s">
        <v>707</v>
      </c>
      <c r="L46" s="75">
        <v>1250.75</v>
      </c>
      <c r="M46" s="76">
        <v>3478.5947265625</v>
      </c>
      <c r="N46" s="76">
        <v>8489.30078125</v>
      </c>
      <c r="O46" s="77"/>
      <c r="P46" s="78"/>
      <c r="Q46" s="78"/>
      <c r="R46" s="82"/>
      <c r="S46" s="48">
        <v>1</v>
      </c>
      <c r="T46" s="48">
        <v>0</v>
      </c>
      <c r="U46" s="49">
        <v>0</v>
      </c>
      <c r="V46" s="49">
        <v>0.000905</v>
      </c>
      <c r="W46" s="49">
        <v>0.001373</v>
      </c>
      <c r="X46" s="49">
        <v>0.484111</v>
      </c>
      <c r="Y46" s="49">
        <v>0</v>
      </c>
      <c r="Z46" s="49">
        <v>0</v>
      </c>
      <c r="AA46" s="73">
        <v>46</v>
      </c>
      <c r="AB46" s="73"/>
      <c r="AC46" s="74"/>
      <c r="AD46" s="80" t="s">
        <v>707</v>
      </c>
      <c r="AE46" s="80" t="s">
        <v>1037</v>
      </c>
      <c r="AF46" s="80" t="s">
        <v>1365</v>
      </c>
      <c r="AG46" s="80" t="s">
        <v>1635</v>
      </c>
      <c r="AH46" s="80" t="s">
        <v>1760</v>
      </c>
      <c r="AI46" s="80">
        <v>659754</v>
      </c>
      <c r="AJ46" s="80">
        <v>1574</v>
      </c>
      <c r="AK46" s="80">
        <v>27070</v>
      </c>
      <c r="AL46" s="80">
        <v>229</v>
      </c>
      <c r="AM46" s="80" t="s">
        <v>2047</v>
      </c>
      <c r="AN46" s="98" t="str">
        <f>HYPERLINK("https://www.youtube.com/watch?v=JXDo-73uaAI")</f>
        <v>https://www.youtube.com/watch?v=JXDo-73uaAI</v>
      </c>
      <c r="AO46" s="80" t="str">
        <f>REPLACE(INDEX(GroupVertices[Group],MATCH(Vertices[[#This Row],[Vertex]],GroupVertices[Vertex],0)),1,1,"")</f>
        <v>3</v>
      </c>
      <c r="AP46" s="48">
        <v>0</v>
      </c>
      <c r="AQ46" s="49">
        <v>0</v>
      </c>
      <c r="AR46" s="48">
        <v>3</v>
      </c>
      <c r="AS46" s="49">
        <v>4.615384615384615</v>
      </c>
      <c r="AT46" s="48">
        <v>0</v>
      </c>
      <c r="AU46" s="49">
        <v>0</v>
      </c>
      <c r="AV46" s="48">
        <v>62</v>
      </c>
      <c r="AW46" s="49">
        <v>95.38461538461539</v>
      </c>
      <c r="AX46" s="48">
        <v>65</v>
      </c>
      <c r="AY46" s="48"/>
      <c r="AZ46" s="48"/>
      <c r="BA46" s="48"/>
      <c r="BB46" s="48"/>
      <c r="BC46" s="2"/>
      <c r="BD46" s="3"/>
      <c r="BE46" s="3"/>
      <c r="BF46" s="3"/>
      <c r="BG46" s="3"/>
    </row>
    <row r="47" spans="1:59" ht="15">
      <c r="A47" s="66" t="s">
        <v>373</v>
      </c>
      <c r="B47" s="67"/>
      <c r="C47" s="67"/>
      <c r="D47" s="68">
        <v>412.8575146540256</v>
      </c>
      <c r="E47" s="70"/>
      <c r="F47" s="96" t="str">
        <f>HYPERLINK("https://i.ytimg.com/vi/yhAyt-1VuCo/default.jpg")</f>
        <v>https://i.ytimg.com/vi/yhAyt-1VuCo/default.jpg</v>
      </c>
      <c r="G47" s="67"/>
      <c r="H47" s="71" t="s">
        <v>708</v>
      </c>
      <c r="I47" s="72"/>
      <c r="J47" s="72" t="s">
        <v>159</v>
      </c>
      <c r="K47" s="71" t="s">
        <v>708</v>
      </c>
      <c r="L47" s="75">
        <v>1250.75</v>
      </c>
      <c r="M47" s="76">
        <v>6789.125</v>
      </c>
      <c r="N47" s="76">
        <v>7327.185546875</v>
      </c>
      <c r="O47" s="77"/>
      <c r="P47" s="78"/>
      <c r="Q47" s="78"/>
      <c r="R47" s="82"/>
      <c r="S47" s="48">
        <v>1</v>
      </c>
      <c r="T47" s="48">
        <v>0</v>
      </c>
      <c r="U47" s="49">
        <v>0</v>
      </c>
      <c r="V47" s="49">
        <v>0.000905</v>
      </c>
      <c r="W47" s="49">
        <v>0.001373</v>
      </c>
      <c r="X47" s="49">
        <v>0.484111</v>
      </c>
      <c r="Y47" s="49">
        <v>0</v>
      </c>
      <c r="Z47" s="49">
        <v>0</v>
      </c>
      <c r="AA47" s="73">
        <v>47</v>
      </c>
      <c r="AB47" s="73"/>
      <c r="AC47" s="74"/>
      <c r="AD47" s="80" t="s">
        <v>708</v>
      </c>
      <c r="AE47" s="80" t="s">
        <v>1038</v>
      </c>
      <c r="AF47" s="80" t="s">
        <v>1366</v>
      </c>
      <c r="AG47" s="80" t="s">
        <v>1635</v>
      </c>
      <c r="AH47" s="80" t="s">
        <v>1761</v>
      </c>
      <c r="AI47" s="80">
        <v>3743634</v>
      </c>
      <c r="AJ47" s="80">
        <v>24970</v>
      </c>
      <c r="AK47" s="80">
        <v>148131</v>
      </c>
      <c r="AL47" s="80">
        <v>1985</v>
      </c>
      <c r="AM47" s="80" t="s">
        <v>2047</v>
      </c>
      <c r="AN47" s="98" t="str">
        <f>HYPERLINK("https://www.youtube.com/watch?v=yhAyt-1VuCo")</f>
        <v>https://www.youtube.com/watch?v=yhAyt-1VuCo</v>
      </c>
      <c r="AO47" s="80" t="str">
        <f>REPLACE(INDEX(GroupVertices[Group],MATCH(Vertices[[#This Row],[Vertex]],GroupVertices[Vertex],0)),1,1,"")</f>
        <v>3</v>
      </c>
      <c r="AP47" s="48">
        <v>2</v>
      </c>
      <c r="AQ47" s="49">
        <v>2.7777777777777777</v>
      </c>
      <c r="AR47" s="48">
        <v>2</v>
      </c>
      <c r="AS47" s="49">
        <v>2.7777777777777777</v>
      </c>
      <c r="AT47" s="48">
        <v>0</v>
      </c>
      <c r="AU47" s="49">
        <v>0</v>
      </c>
      <c r="AV47" s="48">
        <v>68</v>
      </c>
      <c r="AW47" s="49">
        <v>94.44444444444444</v>
      </c>
      <c r="AX47" s="48">
        <v>72</v>
      </c>
      <c r="AY47" s="48"/>
      <c r="AZ47" s="48"/>
      <c r="BA47" s="48"/>
      <c r="BB47" s="48"/>
      <c r="BC47" s="2"/>
      <c r="BD47" s="3"/>
      <c r="BE47" s="3"/>
      <c r="BF47" s="3"/>
      <c r="BG47" s="3"/>
    </row>
    <row r="48" spans="1:59" ht="15">
      <c r="A48" s="66" t="s">
        <v>374</v>
      </c>
      <c r="B48" s="67"/>
      <c r="C48" s="67"/>
      <c r="D48" s="68">
        <v>231.23941589160572</v>
      </c>
      <c r="E48" s="70"/>
      <c r="F48" s="96" t="str">
        <f>HYPERLINK("https://i.ytimg.com/vi/AsLGoU7eQsM/default.jpg")</f>
        <v>https://i.ytimg.com/vi/AsLGoU7eQsM/default.jpg</v>
      </c>
      <c r="G48" s="67"/>
      <c r="H48" s="71" t="s">
        <v>709</v>
      </c>
      <c r="I48" s="72"/>
      <c r="J48" s="72" t="s">
        <v>159</v>
      </c>
      <c r="K48" s="71" t="s">
        <v>709</v>
      </c>
      <c r="L48" s="75">
        <v>1250.75</v>
      </c>
      <c r="M48" s="76">
        <v>6702.427734375</v>
      </c>
      <c r="N48" s="76">
        <v>8509.29296875</v>
      </c>
      <c r="O48" s="77"/>
      <c r="P48" s="78"/>
      <c r="Q48" s="78"/>
      <c r="R48" s="82"/>
      <c r="S48" s="48">
        <v>1</v>
      </c>
      <c r="T48" s="48">
        <v>0</v>
      </c>
      <c r="U48" s="49">
        <v>0</v>
      </c>
      <c r="V48" s="49">
        <v>0.000905</v>
      </c>
      <c r="W48" s="49">
        <v>0.001373</v>
      </c>
      <c r="X48" s="49">
        <v>0.484111</v>
      </c>
      <c r="Y48" s="49">
        <v>0</v>
      </c>
      <c r="Z48" s="49">
        <v>0</v>
      </c>
      <c r="AA48" s="73">
        <v>48</v>
      </c>
      <c r="AB48" s="73"/>
      <c r="AC48" s="74"/>
      <c r="AD48" s="80" t="s">
        <v>709</v>
      </c>
      <c r="AE48" s="80" t="s">
        <v>1039</v>
      </c>
      <c r="AF48" s="80" t="s">
        <v>1367</v>
      </c>
      <c r="AG48" s="80" t="s">
        <v>1635</v>
      </c>
      <c r="AH48" s="80" t="s">
        <v>1762</v>
      </c>
      <c r="AI48" s="80">
        <v>1704730</v>
      </c>
      <c r="AJ48" s="80">
        <v>9076</v>
      </c>
      <c r="AK48" s="80">
        <v>97441</v>
      </c>
      <c r="AL48" s="80">
        <v>1702</v>
      </c>
      <c r="AM48" s="80" t="s">
        <v>2047</v>
      </c>
      <c r="AN48" s="98" t="str">
        <f>HYPERLINK("https://www.youtube.com/watch?v=AsLGoU7eQsM")</f>
        <v>https://www.youtube.com/watch?v=AsLGoU7eQsM</v>
      </c>
      <c r="AO48" s="80" t="str">
        <f>REPLACE(INDEX(GroupVertices[Group],MATCH(Vertices[[#This Row],[Vertex]],GroupVertices[Vertex],0)),1,1,"")</f>
        <v>3</v>
      </c>
      <c r="AP48" s="48">
        <v>2</v>
      </c>
      <c r="AQ48" s="49">
        <v>2.857142857142857</v>
      </c>
      <c r="AR48" s="48">
        <v>5</v>
      </c>
      <c r="AS48" s="49">
        <v>7.142857142857143</v>
      </c>
      <c r="AT48" s="48">
        <v>0</v>
      </c>
      <c r="AU48" s="49">
        <v>0</v>
      </c>
      <c r="AV48" s="48">
        <v>63</v>
      </c>
      <c r="AW48" s="49">
        <v>90</v>
      </c>
      <c r="AX48" s="48">
        <v>70</v>
      </c>
      <c r="AY48" s="48"/>
      <c r="AZ48" s="48"/>
      <c r="BA48" s="48"/>
      <c r="BB48" s="48"/>
      <c r="BC48" s="2"/>
      <c r="BD48" s="3"/>
      <c r="BE48" s="3"/>
      <c r="BF48" s="3"/>
      <c r="BG48" s="3"/>
    </row>
    <row r="49" spans="1:59" ht="15">
      <c r="A49" s="66" t="s">
        <v>375</v>
      </c>
      <c r="B49" s="67"/>
      <c r="C49" s="67"/>
      <c r="D49" s="68">
        <v>383.17514150550625</v>
      </c>
      <c r="E49" s="70"/>
      <c r="F49" s="96" t="str">
        <f>HYPERLINK("https://i.ytimg.com/vi/Ub3Xii_jJ-8/default.jpg")</f>
        <v>https://i.ytimg.com/vi/Ub3Xii_jJ-8/default.jpg</v>
      </c>
      <c r="G49" s="67"/>
      <c r="H49" s="71" t="s">
        <v>710</v>
      </c>
      <c r="I49" s="72"/>
      <c r="J49" s="72" t="s">
        <v>159</v>
      </c>
      <c r="K49" s="71" t="s">
        <v>710</v>
      </c>
      <c r="L49" s="75">
        <v>1250.75</v>
      </c>
      <c r="M49" s="76">
        <v>5750.33984375</v>
      </c>
      <c r="N49" s="76">
        <v>7944.3076171875</v>
      </c>
      <c r="O49" s="77"/>
      <c r="P49" s="78"/>
      <c r="Q49" s="78"/>
      <c r="R49" s="82"/>
      <c r="S49" s="48">
        <v>1</v>
      </c>
      <c r="T49" s="48">
        <v>0</v>
      </c>
      <c r="U49" s="49">
        <v>0</v>
      </c>
      <c r="V49" s="49">
        <v>0.000905</v>
      </c>
      <c r="W49" s="49">
        <v>0.001373</v>
      </c>
      <c r="X49" s="49">
        <v>0.484111</v>
      </c>
      <c r="Y49" s="49">
        <v>0</v>
      </c>
      <c r="Z49" s="49">
        <v>0</v>
      </c>
      <c r="AA49" s="73">
        <v>49</v>
      </c>
      <c r="AB49" s="73"/>
      <c r="AC49" s="74"/>
      <c r="AD49" s="80" t="s">
        <v>710</v>
      </c>
      <c r="AE49" s="80" t="s">
        <v>1040</v>
      </c>
      <c r="AF49" s="80" t="s">
        <v>1368</v>
      </c>
      <c r="AG49" s="80" t="s">
        <v>1635</v>
      </c>
      <c r="AH49" s="80" t="s">
        <v>1763</v>
      </c>
      <c r="AI49" s="80">
        <v>3410410</v>
      </c>
      <c r="AJ49" s="80">
        <v>12661</v>
      </c>
      <c r="AK49" s="80">
        <v>109848</v>
      </c>
      <c r="AL49" s="80">
        <v>1005</v>
      </c>
      <c r="AM49" s="80" t="s">
        <v>2047</v>
      </c>
      <c r="AN49" s="98" t="str">
        <f>HYPERLINK("https://www.youtube.com/watch?v=Ub3Xii_jJ-8")</f>
        <v>https://www.youtube.com/watch?v=Ub3Xii_jJ-8</v>
      </c>
      <c r="AO49" s="80" t="str">
        <f>REPLACE(INDEX(GroupVertices[Group],MATCH(Vertices[[#This Row],[Vertex]],GroupVertices[Vertex],0)),1,1,"")</f>
        <v>3</v>
      </c>
      <c r="AP49" s="48">
        <v>0</v>
      </c>
      <c r="AQ49" s="49">
        <v>0</v>
      </c>
      <c r="AR49" s="48">
        <v>0</v>
      </c>
      <c r="AS49" s="49">
        <v>0</v>
      </c>
      <c r="AT49" s="48">
        <v>0</v>
      </c>
      <c r="AU49" s="49">
        <v>0</v>
      </c>
      <c r="AV49" s="48">
        <v>73</v>
      </c>
      <c r="AW49" s="49">
        <v>100</v>
      </c>
      <c r="AX49" s="48">
        <v>73</v>
      </c>
      <c r="AY49" s="48"/>
      <c r="AZ49" s="48"/>
      <c r="BA49" s="48"/>
      <c r="BB49" s="48"/>
      <c r="BC49" s="2"/>
      <c r="BD49" s="3"/>
      <c r="BE49" s="3"/>
      <c r="BF49" s="3"/>
      <c r="BG49" s="3"/>
    </row>
    <row r="50" spans="1:59" ht="15">
      <c r="A50" s="66" t="s">
        <v>323</v>
      </c>
      <c r="B50" s="67"/>
      <c r="C50" s="67"/>
      <c r="D50" s="68">
        <v>137.5339603532845</v>
      </c>
      <c r="E50" s="70"/>
      <c r="F50" s="96" t="str">
        <f>HYPERLINK("https://i.ytimg.com/vi/XF_Kr9v6WRs/default.jpg")</f>
        <v>https://i.ytimg.com/vi/XF_Kr9v6WRs/default.jpg</v>
      </c>
      <c r="G50" s="67"/>
      <c r="H50" s="71" t="s">
        <v>711</v>
      </c>
      <c r="I50" s="72"/>
      <c r="J50" s="72" t="s">
        <v>159</v>
      </c>
      <c r="K50" s="71" t="s">
        <v>711</v>
      </c>
      <c r="L50" s="75">
        <v>1</v>
      </c>
      <c r="M50" s="76">
        <v>5264.4970703125</v>
      </c>
      <c r="N50" s="76">
        <v>1486.1614990234375</v>
      </c>
      <c r="O50" s="77"/>
      <c r="P50" s="78"/>
      <c r="Q50" s="78"/>
      <c r="R50" s="82"/>
      <c r="S50" s="48">
        <v>0</v>
      </c>
      <c r="T50" s="48">
        <v>50</v>
      </c>
      <c r="U50" s="49">
        <v>26357.8</v>
      </c>
      <c r="V50" s="49">
        <v>0.001304</v>
      </c>
      <c r="W50" s="49">
        <v>0.019787</v>
      </c>
      <c r="X50" s="49">
        <v>17.032563</v>
      </c>
      <c r="Y50" s="49">
        <v>0.008571428571428572</v>
      </c>
      <c r="Z50" s="49">
        <v>0</v>
      </c>
      <c r="AA50" s="73">
        <v>50</v>
      </c>
      <c r="AB50" s="73"/>
      <c r="AC50" s="74"/>
      <c r="AD50" s="80" t="s">
        <v>711</v>
      </c>
      <c r="AE50" s="80" t="s">
        <v>1041</v>
      </c>
      <c r="AF50" s="80" t="s">
        <v>1369</v>
      </c>
      <c r="AG50" s="80" t="s">
        <v>1638</v>
      </c>
      <c r="AH50" s="80" t="s">
        <v>1764</v>
      </c>
      <c r="AI50" s="80">
        <v>652762</v>
      </c>
      <c r="AJ50" s="80">
        <v>5455</v>
      </c>
      <c r="AK50" s="80">
        <v>14456</v>
      </c>
      <c r="AL50" s="80">
        <v>777</v>
      </c>
      <c r="AM50" s="80" t="s">
        <v>2047</v>
      </c>
      <c r="AN50" s="98" t="str">
        <f>HYPERLINK("https://www.youtube.com/watch?v=XF_Kr9v6WRs")</f>
        <v>https://www.youtube.com/watch?v=XF_Kr9v6WRs</v>
      </c>
      <c r="AO50" s="80" t="str">
        <f>REPLACE(INDEX(GroupVertices[Group],MATCH(Vertices[[#This Row],[Vertex]],GroupVertices[Vertex],0)),1,1,"")</f>
        <v>6</v>
      </c>
      <c r="AP50" s="48">
        <v>2</v>
      </c>
      <c r="AQ50" s="49">
        <v>2.816901408450704</v>
      </c>
      <c r="AR50" s="48">
        <v>4</v>
      </c>
      <c r="AS50" s="49">
        <v>5.633802816901408</v>
      </c>
      <c r="AT50" s="48">
        <v>0</v>
      </c>
      <c r="AU50" s="49">
        <v>0</v>
      </c>
      <c r="AV50" s="48">
        <v>65</v>
      </c>
      <c r="AW50" s="49">
        <v>91.54929577464789</v>
      </c>
      <c r="AX50" s="48">
        <v>71</v>
      </c>
      <c r="AY50" s="119" t="s">
        <v>3491</v>
      </c>
      <c r="AZ50" s="119" t="s">
        <v>3491</v>
      </c>
      <c r="BA50" s="119" t="s">
        <v>3491</v>
      </c>
      <c r="BB50" s="119" t="s">
        <v>3491</v>
      </c>
      <c r="BC50" s="2"/>
      <c r="BD50" s="3"/>
      <c r="BE50" s="3"/>
      <c r="BF50" s="3"/>
      <c r="BG50" s="3"/>
    </row>
    <row r="51" spans="1:59" ht="15">
      <c r="A51" s="66" t="s">
        <v>376</v>
      </c>
      <c r="B51" s="67"/>
      <c r="C51" s="67"/>
      <c r="D51" s="68">
        <v>229.8603360501616</v>
      </c>
      <c r="E51" s="70"/>
      <c r="F51" s="96" t="str">
        <f>HYPERLINK("https://i.ytimg.com/vi/_2WI_d-8V9k/default.jpg")</f>
        <v>https://i.ytimg.com/vi/_2WI_d-8V9k/default.jpg</v>
      </c>
      <c r="G51" s="67"/>
      <c r="H51" s="71" t="s">
        <v>712</v>
      </c>
      <c r="I51" s="72"/>
      <c r="J51" s="72" t="s">
        <v>159</v>
      </c>
      <c r="K51" s="71" t="s">
        <v>712</v>
      </c>
      <c r="L51" s="75">
        <v>1250.75</v>
      </c>
      <c r="M51" s="76">
        <v>5072.19384765625</v>
      </c>
      <c r="N51" s="76">
        <v>2595.224365234375</v>
      </c>
      <c r="O51" s="77"/>
      <c r="P51" s="78"/>
      <c r="Q51" s="78"/>
      <c r="R51" s="82"/>
      <c r="S51" s="48">
        <v>1</v>
      </c>
      <c r="T51" s="48">
        <v>0</v>
      </c>
      <c r="U51" s="49">
        <v>0</v>
      </c>
      <c r="V51" s="49">
        <v>0.000912</v>
      </c>
      <c r="W51" s="49">
        <v>0.001461</v>
      </c>
      <c r="X51" s="49">
        <v>0.439553</v>
      </c>
      <c r="Y51" s="49">
        <v>0</v>
      </c>
      <c r="Z51" s="49">
        <v>0</v>
      </c>
      <c r="AA51" s="73">
        <v>51</v>
      </c>
      <c r="AB51" s="73"/>
      <c r="AC51" s="74"/>
      <c r="AD51" s="80" t="s">
        <v>712</v>
      </c>
      <c r="AE51" s="80" t="s">
        <v>1042</v>
      </c>
      <c r="AF51" s="80" t="s">
        <v>1370</v>
      </c>
      <c r="AG51" s="80" t="s">
        <v>1639</v>
      </c>
      <c r="AH51" s="80" t="s">
        <v>1765</v>
      </c>
      <c r="AI51" s="80">
        <v>1689248</v>
      </c>
      <c r="AJ51" s="80">
        <v>8185</v>
      </c>
      <c r="AK51" s="80">
        <v>66828</v>
      </c>
      <c r="AL51" s="80">
        <v>906</v>
      </c>
      <c r="AM51" s="80" t="s">
        <v>2047</v>
      </c>
      <c r="AN51" s="98" t="str">
        <f>HYPERLINK("https://www.youtube.com/watch?v=_2WI_d-8V9k")</f>
        <v>https://www.youtube.com/watch?v=_2WI_d-8V9k</v>
      </c>
      <c r="AO51" s="80" t="str">
        <f>REPLACE(INDEX(GroupVertices[Group],MATCH(Vertices[[#This Row],[Vertex]],GroupVertices[Vertex],0)),1,1,"")</f>
        <v>6</v>
      </c>
      <c r="AP51" s="48">
        <v>1</v>
      </c>
      <c r="AQ51" s="49">
        <v>4.545454545454546</v>
      </c>
      <c r="AR51" s="48">
        <v>3</v>
      </c>
      <c r="AS51" s="49">
        <v>13.636363636363637</v>
      </c>
      <c r="AT51" s="48">
        <v>0</v>
      </c>
      <c r="AU51" s="49">
        <v>0</v>
      </c>
      <c r="AV51" s="48">
        <v>18</v>
      </c>
      <c r="AW51" s="49">
        <v>81.81818181818181</v>
      </c>
      <c r="AX51" s="48">
        <v>22</v>
      </c>
      <c r="AY51" s="48"/>
      <c r="AZ51" s="48"/>
      <c r="BA51" s="48"/>
      <c r="BB51" s="48"/>
      <c r="BC51" s="2"/>
      <c r="BD51" s="3"/>
      <c r="BE51" s="3"/>
      <c r="BF51" s="3"/>
      <c r="BG51" s="3"/>
    </row>
    <row r="52" spans="1:59" ht="15">
      <c r="A52" s="66" t="s">
        <v>377</v>
      </c>
      <c r="B52" s="67"/>
      <c r="C52" s="67"/>
      <c r="D52" s="68">
        <v>92.48280148951126</v>
      </c>
      <c r="E52" s="70"/>
      <c r="F52" s="96" t="str">
        <f>HYPERLINK("https://i.ytimg.com/vi/T_ClE_zExnw/default.jpg")</f>
        <v>https://i.ytimg.com/vi/T_ClE_zExnw/default.jpg</v>
      </c>
      <c r="G52" s="67"/>
      <c r="H52" s="71" t="s">
        <v>713</v>
      </c>
      <c r="I52" s="72"/>
      <c r="J52" s="72" t="s">
        <v>159</v>
      </c>
      <c r="K52" s="71" t="s">
        <v>713</v>
      </c>
      <c r="L52" s="75">
        <v>1250.75</v>
      </c>
      <c r="M52" s="76">
        <v>3431.609375</v>
      </c>
      <c r="N52" s="76">
        <v>1612.3046875</v>
      </c>
      <c r="O52" s="77"/>
      <c r="P52" s="78"/>
      <c r="Q52" s="78"/>
      <c r="R52" s="82"/>
      <c r="S52" s="48">
        <v>1</v>
      </c>
      <c r="T52" s="48">
        <v>0</v>
      </c>
      <c r="U52" s="49">
        <v>0</v>
      </c>
      <c r="V52" s="49">
        <v>0.000912</v>
      </c>
      <c r="W52" s="49">
        <v>0.001461</v>
      </c>
      <c r="X52" s="49">
        <v>0.439553</v>
      </c>
      <c r="Y52" s="49">
        <v>0</v>
      </c>
      <c r="Z52" s="49">
        <v>0</v>
      </c>
      <c r="AA52" s="73">
        <v>52</v>
      </c>
      <c r="AB52" s="73"/>
      <c r="AC52" s="74"/>
      <c r="AD52" s="80" t="s">
        <v>713</v>
      </c>
      <c r="AE52" s="80" t="s">
        <v>1043</v>
      </c>
      <c r="AF52" s="80" t="s">
        <v>1371</v>
      </c>
      <c r="AG52" s="80" t="s">
        <v>1638</v>
      </c>
      <c r="AH52" s="80" t="s">
        <v>1766</v>
      </c>
      <c r="AI52" s="80">
        <v>147003</v>
      </c>
      <c r="AJ52" s="80">
        <v>421</v>
      </c>
      <c r="AK52" s="80">
        <v>3075</v>
      </c>
      <c r="AL52" s="80">
        <v>100</v>
      </c>
      <c r="AM52" s="80" t="s">
        <v>2047</v>
      </c>
      <c r="AN52" s="98" t="str">
        <f>HYPERLINK("https://www.youtube.com/watch?v=T_ClE_zExnw")</f>
        <v>https://www.youtube.com/watch?v=T_ClE_zExnw</v>
      </c>
      <c r="AO52" s="80" t="str">
        <f>REPLACE(INDEX(GroupVertices[Group],MATCH(Vertices[[#This Row],[Vertex]],GroupVertices[Vertex],0)),1,1,"")</f>
        <v>6</v>
      </c>
      <c r="AP52" s="48">
        <v>0</v>
      </c>
      <c r="AQ52" s="49">
        <v>0</v>
      </c>
      <c r="AR52" s="48">
        <v>1</v>
      </c>
      <c r="AS52" s="49">
        <v>1.5151515151515151</v>
      </c>
      <c r="AT52" s="48">
        <v>0</v>
      </c>
      <c r="AU52" s="49">
        <v>0</v>
      </c>
      <c r="AV52" s="48">
        <v>65</v>
      </c>
      <c r="AW52" s="49">
        <v>98.48484848484848</v>
      </c>
      <c r="AX52" s="48">
        <v>66</v>
      </c>
      <c r="AY52" s="48"/>
      <c r="AZ52" s="48"/>
      <c r="BA52" s="48"/>
      <c r="BB52" s="48"/>
      <c r="BC52" s="2"/>
      <c r="BD52" s="3"/>
      <c r="BE52" s="3"/>
      <c r="BF52" s="3"/>
      <c r="BG52" s="3"/>
    </row>
    <row r="53" spans="1:59" ht="15">
      <c r="A53" s="66" t="s">
        <v>378</v>
      </c>
      <c r="B53" s="67"/>
      <c r="C53" s="67"/>
      <c r="D53" s="68">
        <v>80.94055703693375</v>
      </c>
      <c r="E53" s="70"/>
      <c r="F53" s="96" t="str">
        <f>HYPERLINK("https://i.ytimg.com/vi/wCFqAADKPMo/default.jpg")</f>
        <v>https://i.ytimg.com/vi/wCFqAADKPMo/default.jpg</v>
      </c>
      <c r="G53" s="67"/>
      <c r="H53" s="71" t="s">
        <v>714</v>
      </c>
      <c r="I53" s="72"/>
      <c r="J53" s="72" t="s">
        <v>159</v>
      </c>
      <c r="K53" s="71" t="s">
        <v>714</v>
      </c>
      <c r="L53" s="75">
        <v>1250.75</v>
      </c>
      <c r="M53" s="76">
        <v>6440.04248046875</v>
      </c>
      <c r="N53" s="76">
        <v>1233.9122314453125</v>
      </c>
      <c r="O53" s="77"/>
      <c r="P53" s="78"/>
      <c r="Q53" s="78"/>
      <c r="R53" s="82"/>
      <c r="S53" s="48">
        <v>1</v>
      </c>
      <c r="T53" s="48">
        <v>0</v>
      </c>
      <c r="U53" s="49">
        <v>0</v>
      </c>
      <c r="V53" s="49">
        <v>0.000912</v>
      </c>
      <c r="W53" s="49">
        <v>0.001461</v>
      </c>
      <c r="X53" s="49">
        <v>0.439553</v>
      </c>
      <c r="Y53" s="49">
        <v>0</v>
      </c>
      <c r="Z53" s="49">
        <v>0</v>
      </c>
      <c r="AA53" s="73">
        <v>53</v>
      </c>
      <c r="AB53" s="73"/>
      <c r="AC53" s="74"/>
      <c r="AD53" s="80" t="s">
        <v>714</v>
      </c>
      <c r="AE53" s="80" t="s">
        <v>1044</v>
      </c>
      <c r="AF53" s="80" t="s">
        <v>1372</v>
      </c>
      <c r="AG53" s="80" t="s">
        <v>1638</v>
      </c>
      <c r="AH53" s="80" t="s">
        <v>1767</v>
      </c>
      <c r="AI53" s="80">
        <v>17426</v>
      </c>
      <c r="AJ53" s="80">
        <v>50</v>
      </c>
      <c r="AK53" s="80">
        <v>337</v>
      </c>
      <c r="AL53" s="80">
        <v>19</v>
      </c>
      <c r="AM53" s="80" t="s">
        <v>2047</v>
      </c>
      <c r="AN53" s="98" t="str">
        <f>HYPERLINK("https://www.youtube.com/watch?v=wCFqAADKPMo")</f>
        <v>https://www.youtube.com/watch?v=wCFqAADKPMo</v>
      </c>
      <c r="AO53" s="80" t="str">
        <f>REPLACE(INDEX(GroupVertices[Group],MATCH(Vertices[[#This Row],[Vertex]],GroupVertices[Vertex],0)),1,1,"")</f>
        <v>6</v>
      </c>
      <c r="AP53" s="48">
        <v>6</v>
      </c>
      <c r="AQ53" s="49">
        <v>9.523809523809524</v>
      </c>
      <c r="AR53" s="48">
        <v>2</v>
      </c>
      <c r="AS53" s="49">
        <v>3.1746031746031744</v>
      </c>
      <c r="AT53" s="48">
        <v>0</v>
      </c>
      <c r="AU53" s="49">
        <v>0</v>
      </c>
      <c r="AV53" s="48">
        <v>55</v>
      </c>
      <c r="AW53" s="49">
        <v>87.3015873015873</v>
      </c>
      <c r="AX53" s="48">
        <v>63</v>
      </c>
      <c r="AY53" s="48"/>
      <c r="AZ53" s="48"/>
      <c r="BA53" s="48"/>
      <c r="BB53" s="48"/>
      <c r="BC53" s="2"/>
      <c r="BD53" s="3"/>
      <c r="BE53" s="3"/>
      <c r="BF53" s="3"/>
      <c r="BG53" s="3"/>
    </row>
    <row r="54" spans="1:59" ht="15">
      <c r="A54" s="66" t="s">
        <v>379</v>
      </c>
      <c r="B54" s="67"/>
      <c r="C54" s="67"/>
      <c r="D54" s="68">
        <v>84.57219927538337</v>
      </c>
      <c r="E54" s="70"/>
      <c r="F54" s="96" t="str">
        <f>HYPERLINK("https://i.ytimg.com/vi/oXCqFp6oFL8/default.jpg")</f>
        <v>https://i.ytimg.com/vi/oXCqFp6oFL8/default.jpg</v>
      </c>
      <c r="G54" s="67"/>
      <c r="H54" s="71" t="s">
        <v>715</v>
      </c>
      <c r="I54" s="72"/>
      <c r="J54" s="72" t="s">
        <v>159</v>
      </c>
      <c r="K54" s="71" t="s">
        <v>715</v>
      </c>
      <c r="L54" s="75">
        <v>1250.75</v>
      </c>
      <c r="M54" s="76">
        <v>4595.05224609375</v>
      </c>
      <c r="N54" s="76">
        <v>277.2862243652344</v>
      </c>
      <c r="O54" s="77"/>
      <c r="P54" s="78"/>
      <c r="Q54" s="78"/>
      <c r="R54" s="82"/>
      <c r="S54" s="48">
        <v>1</v>
      </c>
      <c r="T54" s="48">
        <v>0</v>
      </c>
      <c r="U54" s="49">
        <v>0</v>
      </c>
      <c r="V54" s="49">
        <v>0.000912</v>
      </c>
      <c r="W54" s="49">
        <v>0.001461</v>
      </c>
      <c r="X54" s="49">
        <v>0.439553</v>
      </c>
      <c r="Y54" s="49">
        <v>0</v>
      </c>
      <c r="Z54" s="49">
        <v>0</v>
      </c>
      <c r="AA54" s="73">
        <v>54</v>
      </c>
      <c r="AB54" s="73"/>
      <c r="AC54" s="74"/>
      <c r="AD54" s="80" t="s">
        <v>715</v>
      </c>
      <c r="AE54" s="80" t="s">
        <v>1045</v>
      </c>
      <c r="AF54" s="80" t="s">
        <v>1373</v>
      </c>
      <c r="AG54" s="80" t="s">
        <v>1640</v>
      </c>
      <c r="AH54" s="80" t="s">
        <v>1768</v>
      </c>
      <c r="AI54" s="80">
        <v>58196</v>
      </c>
      <c r="AJ54" s="80">
        <v>84</v>
      </c>
      <c r="AK54" s="80">
        <v>825</v>
      </c>
      <c r="AL54" s="80">
        <v>47</v>
      </c>
      <c r="AM54" s="80" t="s">
        <v>2047</v>
      </c>
      <c r="AN54" s="98" t="str">
        <f>HYPERLINK("https://www.youtube.com/watch?v=oXCqFp6oFL8")</f>
        <v>https://www.youtube.com/watch?v=oXCqFp6oFL8</v>
      </c>
      <c r="AO54" s="80" t="str">
        <f>REPLACE(INDEX(GroupVertices[Group],MATCH(Vertices[[#This Row],[Vertex]],GroupVertices[Vertex],0)),1,1,"")</f>
        <v>6</v>
      </c>
      <c r="AP54" s="48">
        <v>2</v>
      </c>
      <c r="AQ54" s="49">
        <v>3.278688524590164</v>
      </c>
      <c r="AR54" s="48">
        <v>7</v>
      </c>
      <c r="AS54" s="49">
        <v>11.475409836065573</v>
      </c>
      <c r="AT54" s="48">
        <v>0</v>
      </c>
      <c r="AU54" s="49">
        <v>0</v>
      </c>
      <c r="AV54" s="48">
        <v>52</v>
      </c>
      <c r="AW54" s="49">
        <v>85.24590163934427</v>
      </c>
      <c r="AX54" s="48">
        <v>61</v>
      </c>
      <c r="AY54" s="48"/>
      <c r="AZ54" s="48"/>
      <c r="BA54" s="48"/>
      <c r="BB54" s="48"/>
      <c r="BC54" s="2"/>
      <c r="BD54" s="3"/>
      <c r="BE54" s="3"/>
      <c r="BF54" s="3"/>
      <c r="BG54" s="3"/>
    </row>
    <row r="55" spans="1:59" ht="15">
      <c r="A55" s="66" t="s">
        <v>380</v>
      </c>
      <c r="B55" s="67"/>
      <c r="C55" s="67"/>
      <c r="D55" s="68">
        <v>94.67203061127668</v>
      </c>
      <c r="E55" s="70"/>
      <c r="F55" s="96" t="str">
        <f>HYPERLINK("https://i.ytimg.com/vi/lABHz3thEhQ/default.jpg")</f>
        <v>https://i.ytimg.com/vi/lABHz3thEhQ/default.jpg</v>
      </c>
      <c r="G55" s="67"/>
      <c r="H55" s="71" t="s">
        <v>716</v>
      </c>
      <c r="I55" s="72"/>
      <c r="J55" s="72" t="s">
        <v>159</v>
      </c>
      <c r="K55" s="71" t="s">
        <v>716</v>
      </c>
      <c r="L55" s="75">
        <v>1250.75</v>
      </c>
      <c r="M55" s="76">
        <v>4662.0986328125</v>
      </c>
      <c r="N55" s="76">
        <v>1706.936767578125</v>
      </c>
      <c r="O55" s="77"/>
      <c r="P55" s="78"/>
      <c r="Q55" s="78"/>
      <c r="R55" s="82"/>
      <c r="S55" s="48">
        <v>1</v>
      </c>
      <c r="T55" s="48">
        <v>0</v>
      </c>
      <c r="U55" s="49">
        <v>0</v>
      </c>
      <c r="V55" s="49">
        <v>0.000912</v>
      </c>
      <c r="W55" s="49">
        <v>0.001461</v>
      </c>
      <c r="X55" s="49">
        <v>0.439553</v>
      </c>
      <c r="Y55" s="49">
        <v>0</v>
      </c>
      <c r="Z55" s="49">
        <v>0</v>
      </c>
      <c r="AA55" s="73">
        <v>55</v>
      </c>
      <c r="AB55" s="73"/>
      <c r="AC55" s="74"/>
      <c r="AD55" s="80" t="s">
        <v>716</v>
      </c>
      <c r="AE55" s="80" t="s">
        <v>1046</v>
      </c>
      <c r="AF55" s="80" t="s">
        <v>1374</v>
      </c>
      <c r="AG55" s="80" t="s">
        <v>1638</v>
      </c>
      <c r="AH55" s="80" t="s">
        <v>1769</v>
      </c>
      <c r="AI55" s="80">
        <v>171580</v>
      </c>
      <c r="AJ55" s="80">
        <v>303</v>
      </c>
      <c r="AK55" s="80">
        <v>2739</v>
      </c>
      <c r="AL55" s="80">
        <v>136</v>
      </c>
      <c r="AM55" s="80" t="s">
        <v>2047</v>
      </c>
      <c r="AN55" s="98" t="str">
        <f>HYPERLINK("https://www.youtube.com/watch?v=lABHz3thEhQ")</f>
        <v>https://www.youtube.com/watch?v=lABHz3thEhQ</v>
      </c>
      <c r="AO55" s="80" t="str">
        <f>REPLACE(INDEX(GroupVertices[Group],MATCH(Vertices[[#This Row],[Vertex]],GroupVertices[Vertex],0)),1,1,"")</f>
        <v>6</v>
      </c>
      <c r="AP55" s="48">
        <v>3</v>
      </c>
      <c r="AQ55" s="49">
        <v>5.172413793103448</v>
      </c>
      <c r="AR55" s="48">
        <v>7</v>
      </c>
      <c r="AS55" s="49">
        <v>12.068965517241379</v>
      </c>
      <c r="AT55" s="48">
        <v>0</v>
      </c>
      <c r="AU55" s="49">
        <v>0</v>
      </c>
      <c r="AV55" s="48">
        <v>48</v>
      </c>
      <c r="AW55" s="49">
        <v>82.75862068965517</v>
      </c>
      <c r="AX55" s="48">
        <v>58</v>
      </c>
      <c r="AY55" s="48"/>
      <c r="AZ55" s="48"/>
      <c r="BA55" s="48"/>
      <c r="BB55" s="48"/>
      <c r="BC55" s="2"/>
      <c r="BD55" s="3"/>
      <c r="BE55" s="3"/>
      <c r="BF55" s="3"/>
      <c r="BG55" s="3"/>
    </row>
    <row r="56" spans="1:59" ht="15">
      <c r="A56" s="66" t="s">
        <v>381</v>
      </c>
      <c r="B56" s="67"/>
      <c r="C56" s="67"/>
      <c r="D56" s="68">
        <v>121.20493173073385</v>
      </c>
      <c r="E56" s="70"/>
      <c r="F56" s="96" t="str">
        <f>HYPERLINK("https://i.ytimg.com/vi/tncjsUkqNyY/default.jpg")</f>
        <v>https://i.ytimg.com/vi/tncjsUkqNyY/default.jpg</v>
      </c>
      <c r="G56" s="67"/>
      <c r="H56" s="71" t="s">
        <v>717</v>
      </c>
      <c r="I56" s="72"/>
      <c r="J56" s="72" t="s">
        <v>159</v>
      </c>
      <c r="K56" s="71" t="s">
        <v>717</v>
      </c>
      <c r="L56" s="75">
        <v>1250.75</v>
      </c>
      <c r="M56" s="76">
        <v>5603.2880859375</v>
      </c>
      <c r="N56" s="76">
        <v>1036.4752197265625</v>
      </c>
      <c r="O56" s="77"/>
      <c r="P56" s="78"/>
      <c r="Q56" s="78"/>
      <c r="R56" s="82"/>
      <c r="S56" s="48">
        <v>1</v>
      </c>
      <c r="T56" s="48">
        <v>0</v>
      </c>
      <c r="U56" s="49">
        <v>0</v>
      </c>
      <c r="V56" s="49">
        <v>0.000912</v>
      </c>
      <c r="W56" s="49">
        <v>0.001461</v>
      </c>
      <c r="X56" s="49">
        <v>0.439553</v>
      </c>
      <c r="Y56" s="49">
        <v>0</v>
      </c>
      <c r="Z56" s="49">
        <v>0</v>
      </c>
      <c r="AA56" s="73">
        <v>56</v>
      </c>
      <c r="AB56" s="73"/>
      <c r="AC56" s="74"/>
      <c r="AD56" s="80" t="s">
        <v>717</v>
      </c>
      <c r="AE56" s="80" t="s">
        <v>1047</v>
      </c>
      <c r="AF56" s="80" t="s">
        <v>1375</v>
      </c>
      <c r="AG56" s="80" t="s">
        <v>1641</v>
      </c>
      <c r="AH56" s="80" t="s">
        <v>1770</v>
      </c>
      <c r="AI56" s="80">
        <v>469447</v>
      </c>
      <c r="AJ56" s="80">
        <v>6637</v>
      </c>
      <c r="AK56" s="80">
        <v>16808</v>
      </c>
      <c r="AL56" s="80">
        <v>713</v>
      </c>
      <c r="AM56" s="80" t="s">
        <v>2047</v>
      </c>
      <c r="AN56" s="98" t="str">
        <f>HYPERLINK("https://www.youtube.com/watch?v=tncjsUkqNyY")</f>
        <v>https://www.youtube.com/watch?v=tncjsUkqNyY</v>
      </c>
      <c r="AO56" s="80" t="str">
        <f>REPLACE(INDEX(GroupVertices[Group],MATCH(Vertices[[#This Row],[Vertex]],GroupVertices[Vertex],0)),1,1,"")</f>
        <v>6</v>
      </c>
      <c r="AP56" s="48">
        <v>2</v>
      </c>
      <c r="AQ56" s="49">
        <v>4.166666666666667</v>
      </c>
      <c r="AR56" s="48">
        <v>1</v>
      </c>
      <c r="AS56" s="49">
        <v>2.0833333333333335</v>
      </c>
      <c r="AT56" s="48">
        <v>0</v>
      </c>
      <c r="AU56" s="49">
        <v>0</v>
      </c>
      <c r="AV56" s="48">
        <v>45</v>
      </c>
      <c r="AW56" s="49">
        <v>93.75</v>
      </c>
      <c r="AX56" s="48">
        <v>48</v>
      </c>
      <c r="AY56" s="48"/>
      <c r="AZ56" s="48"/>
      <c r="BA56" s="48"/>
      <c r="BB56" s="48"/>
      <c r="BC56" s="2"/>
      <c r="BD56" s="3"/>
      <c r="BE56" s="3"/>
      <c r="BF56" s="3"/>
      <c r="BG56" s="3"/>
    </row>
    <row r="57" spans="1:59" ht="15">
      <c r="A57" s="66" t="s">
        <v>382</v>
      </c>
      <c r="B57" s="67"/>
      <c r="C57" s="67"/>
      <c r="D57" s="68">
        <v>86.54372583078207</v>
      </c>
      <c r="E57" s="70"/>
      <c r="F57" s="96" t="str">
        <f>HYPERLINK("https://i.ytimg.com/vi/Rd1NFN8DKVg/default.jpg")</f>
        <v>https://i.ytimg.com/vi/Rd1NFN8DKVg/default.jpg</v>
      </c>
      <c r="G57" s="67"/>
      <c r="H57" s="71" t="s">
        <v>718</v>
      </c>
      <c r="I57" s="72"/>
      <c r="J57" s="72" t="s">
        <v>159</v>
      </c>
      <c r="K57" s="71" t="s">
        <v>718</v>
      </c>
      <c r="L57" s="75">
        <v>1250.75</v>
      </c>
      <c r="M57" s="76">
        <v>6148.06982421875</v>
      </c>
      <c r="N57" s="76">
        <v>738.7426147460938</v>
      </c>
      <c r="O57" s="77"/>
      <c r="P57" s="78"/>
      <c r="Q57" s="78"/>
      <c r="R57" s="82"/>
      <c r="S57" s="48">
        <v>1</v>
      </c>
      <c r="T57" s="48">
        <v>0</v>
      </c>
      <c r="U57" s="49">
        <v>0</v>
      </c>
      <c r="V57" s="49">
        <v>0.000912</v>
      </c>
      <c r="W57" s="49">
        <v>0.001461</v>
      </c>
      <c r="X57" s="49">
        <v>0.439553</v>
      </c>
      <c r="Y57" s="49">
        <v>0</v>
      </c>
      <c r="Z57" s="49">
        <v>0</v>
      </c>
      <c r="AA57" s="73">
        <v>57</v>
      </c>
      <c r="AB57" s="73"/>
      <c r="AC57" s="74"/>
      <c r="AD57" s="80" t="s">
        <v>718</v>
      </c>
      <c r="AE57" s="80" t="s">
        <v>1048</v>
      </c>
      <c r="AF57" s="80" t="s">
        <v>1376</v>
      </c>
      <c r="AG57" s="80" t="s">
        <v>1638</v>
      </c>
      <c r="AH57" s="80" t="s">
        <v>1771</v>
      </c>
      <c r="AI57" s="80">
        <v>80329</v>
      </c>
      <c r="AJ57" s="80">
        <v>406</v>
      </c>
      <c r="AK57" s="80">
        <v>1071</v>
      </c>
      <c r="AL57" s="80">
        <v>42</v>
      </c>
      <c r="AM57" s="80" t="s">
        <v>2047</v>
      </c>
      <c r="AN57" s="98" t="str">
        <f>HYPERLINK("https://www.youtube.com/watch?v=Rd1NFN8DKVg")</f>
        <v>https://www.youtube.com/watch?v=Rd1NFN8DKVg</v>
      </c>
      <c r="AO57" s="80" t="str">
        <f>REPLACE(INDEX(GroupVertices[Group],MATCH(Vertices[[#This Row],[Vertex]],GroupVertices[Vertex],0)),1,1,"")</f>
        <v>6</v>
      </c>
      <c r="AP57" s="48">
        <v>7</v>
      </c>
      <c r="AQ57" s="49">
        <v>9.45945945945946</v>
      </c>
      <c r="AR57" s="48">
        <v>1</v>
      </c>
      <c r="AS57" s="49">
        <v>1.3513513513513513</v>
      </c>
      <c r="AT57" s="48">
        <v>0</v>
      </c>
      <c r="AU57" s="49">
        <v>0</v>
      </c>
      <c r="AV57" s="48">
        <v>66</v>
      </c>
      <c r="AW57" s="49">
        <v>89.1891891891892</v>
      </c>
      <c r="AX57" s="48">
        <v>74</v>
      </c>
      <c r="AY57" s="48"/>
      <c r="AZ57" s="48"/>
      <c r="BA57" s="48"/>
      <c r="BB57" s="48"/>
      <c r="BC57" s="2"/>
      <c r="BD57" s="3"/>
      <c r="BE57" s="3"/>
      <c r="BF57" s="3"/>
      <c r="BG57" s="3"/>
    </row>
    <row r="58" spans="1:59" ht="15">
      <c r="A58" s="66" t="s">
        <v>383</v>
      </c>
      <c r="B58" s="67"/>
      <c r="C58" s="67"/>
      <c r="D58" s="68">
        <v>130.13225124948926</v>
      </c>
      <c r="E58" s="70"/>
      <c r="F58" s="96" t="str">
        <f>HYPERLINK("https://i.ytimg.com/vi/MuJ3wkYvvx8/default.jpg")</f>
        <v>https://i.ytimg.com/vi/MuJ3wkYvvx8/default.jpg</v>
      </c>
      <c r="G58" s="67"/>
      <c r="H58" s="71" t="s">
        <v>719</v>
      </c>
      <c r="I58" s="72"/>
      <c r="J58" s="72" t="s">
        <v>159</v>
      </c>
      <c r="K58" s="71" t="s">
        <v>719</v>
      </c>
      <c r="L58" s="75">
        <v>1250.75</v>
      </c>
      <c r="M58" s="76">
        <v>5548.62109375</v>
      </c>
      <c r="N58" s="76">
        <v>155.22987365722656</v>
      </c>
      <c r="O58" s="77"/>
      <c r="P58" s="78"/>
      <c r="Q58" s="78"/>
      <c r="R58" s="82"/>
      <c r="S58" s="48">
        <v>1</v>
      </c>
      <c r="T58" s="48">
        <v>0</v>
      </c>
      <c r="U58" s="49">
        <v>0</v>
      </c>
      <c r="V58" s="49">
        <v>0.000912</v>
      </c>
      <c r="W58" s="49">
        <v>0.001461</v>
      </c>
      <c r="X58" s="49">
        <v>0.439553</v>
      </c>
      <c r="Y58" s="49">
        <v>0</v>
      </c>
      <c r="Z58" s="49">
        <v>0</v>
      </c>
      <c r="AA58" s="73">
        <v>58</v>
      </c>
      <c r="AB58" s="73"/>
      <c r="AC58" s="74"/>
      <c r="AD58" s="80" t="s">
        <v>719</v>
      </c>
      <c r="AE58" s="80" t="s">
        <v>1049</v>
      </c>
      <c r="AF58" s="80" t="s">
        <v>1377</v>
      </c>
      <c r="AG58" s="80" t="s">
        <v>1642</v>
      </c>
      <c r="AH58" s="80" t="s">
        <v>1772</v>
      </c>
      <c r="AI58" s="80">
        <v>569668</v>
      </c>
      <c r="AJ58" s="80">
        <v>4177</v>
      </c>
      <c r="AK58" s="80">
        <v>14516</v>
      </c>
      <c r="AL58" s="80">
        <v>298</v>
      </c>
      <c r="AM58" s="80" t="s">
        <v>2047</v>
      </c>
      <c r="AN58" s="98" t="str">
        <f>HYPERLINK("https://www.youtube.com/watch?v=MuJ3wkYvvx8")</f>
        <v>https://www.youtube.com/watch?v=MuJ3wkYvvx8</v>
      </c>
      <c r="AO58" s="80" t="str">
        <f>REPLACE(INDEX(GroupVertices[Group],MATCH(Vertices[[#This Row],[Vertex]],GroupVertices[Vertex],0)),1,1,"")</f>
        <v>6</v>
      </c>
      <c r="AP58" s="48">
        <v>0</v>
      </c>
      <c r="AQ58" s="49">
        <v>0</v>
      </c>
      <c r="AR58" s="48">
        <v>3</v>
      </c>
      <c r="AS58" s="49">
        <v>8.571428571428571</v>
      </c>
      <c r="AT58" s="48">
        <v>0</v>
      </c>
      <c r="AU58" s="49">
        <v>0</v>
      </c>
      <c r="AV58" s="48">
        <v>32</v>
      </c>
      <c r="AW58" s="49">
        <v>91.42857142857143</v>
      </c>
      <c r="AX58" s="48">
        <v>35</v>
      </c>
      <c r="AY58" s="48"/>
      <c r="AZ58" s="48"/>
      <c r="BA58" s="48"/>
      <c r="BB58" s="48"/>
      <c r="BC58" s="2"/>
      <c r="BD58" s="3"/>
      <c r="BE58" s="3"/>
      <c r="BF58" s="3"/>
      <c r="BG58" s="3"/>
    </row>
    <row r="59" spans="1:59" ht="15">
      <c r="A59" s="66" t="s">
        <v>384</v>
      </c>
      <c r="B59" s="67"/>
      <c r="C59" s="67"/>
      <c r="D59" s="68">
        <v>142.49533414276613</v>
      </c>
      <c r="E59" s="70"/>
      <c r="F59" s="96" t="str">
        <f>HYPERLINK("https://i.ytimg.com/vi/fO0KoyQWthI/default.jpg")</f>
        <v>https://i.ytimg.com/vi/fO0KoyQWthI/default.jpg</v>
      </c>
      <c r="G59" s="67"/>
      <c r="H59" s="71" t="s">
        <v>720</v>
      </c>
      <c r="I59" s="72"/>
      <c r="J59" s="72" t="s">
        <v>159</v>
      </c>
      <c r="K59" s="71" t="s">
        <v>720</v>
      </c>
      <c r="L59" s="75">
        <v>1250.75</v>
      </c>
      <c r="M59" s="76">
        <v>4697.62744140625</v>
      </c>
      <c r="N59" s="76">
        <v>854.1368408203125</v>
      </c>
      <c r="O59" s="77"/>
      <c r="P59" s="78"/>
      <c r="Q59" s="78"/>
      <c r="R59" s="82"/>
      <c r="S59" s="48">
        <v>1</v>
      </c>
      <c r="T59" s="48">
        <v>0</v>
      </c>
      <c r="U59" s="49">
        <v>0</v>
      </c>
      <c r="V59" s="49">
        <v>0.000912</v>
      </c>
      <c r="W59" s="49">
        <v>0.001461</v>
      </c>
      <c r="X59" s="49">
        <v>0.439553</v>
      </c>
      <c r="Y59" s="49">
        <v>0</v>
      </c>
      <c r="Z59" s="49">
        <v>0</v>
      </c>
      <c r="AA59" s="73">
        <v>59</v>
      </c>
      <c r="AB59" s="73"/>
      <c r="AC59" s="74"/>
      <c r="AD59" s="80" t="s">
        <v>720</v>
      </c>
      <c r="AE59" s="80" t="s">
        <v>1050</v>
      </c>
      <c r="AF59" s="80" t="s">
        <v>1378</v>
      </c>
      <c r="AG59" s="80" t="s">
        <v>1638</v>
      </c>
      <c r="AH59" s="80" t="s">
        <v>1773</v>
      </c>
      <c r="AI59" s="80">
        <v>708460</v>
      </c>
      <c r="AJ59" s="80">
        <v>3406</v>
      </c>
      <c r="AK59" s="80">
        <v>13198</v>
      </c>
      <c r="AL59" s="80">
        <v>604</v>
      </c>
      <c r="AM59" s="80" t="s">
        <v>2047</v>
      </c>
      <c r="AN59" s="98" t="str">
        <f>HYPERLINK("https://www.youtube.com/watch?v=fO0KoyQWthI")</f>
        <v>https://www.youtube.com/watch?v=fO0KoyQWthI</v>
      </c>
      <c r="AO59" s="80" t="str">
        <f>REPLACE(INDEX(GroupVertices[Group],MATCH(Vertices[[#This Row],[Vertex]],GroupVertices[Vertex],0)),1,1,"")</f>
        <v>6</v>
      </c>
      <c r="AP59" s="48">
        <v>2</v>
      </c>
      <c r="AQ59" s="49">
        <v>2.985074626865672</v>
      </c>
      <c r="AR59" s="48">
        <v>23</v>
      </c>
      <c r="AS59" s="49">
        <v>34.32835820895522</v>
      </c>
      <c r="AT59" s="48">
        <v>0</v>
      </c>
      <c r="AU59" s="49">
        <v>0</v>
      </c>
      <c r="AV59" s="48">
        <v>42</v>
      </c>
      <c r="AW59" s="49">
        <v>62.6865671641791</v>
      </c>
      <c r="AX59" s="48">
        <v>67</v>
      </c>
      <c r="AY59" s="48"/>
      <c r="AZ59" s="48"/>
      <c r="BA59" s="48"/>
      <c r="BB59" s="48"/>
      <c r="BC59" s="2"/>
      <c r="BD59" s="3"/>
      <c r="BE59" s="3"/>
      <c r="BF59" s="3"/>
      <c r="BG59" s="3"/>
    </row>
    <row r="60" spans="1:59" ht="15">
      <c r="A60" s="66" t="s">
        <v>385</v>
      </c>
      <c r="B60" s="67"/>
      <c r="C60" s="67"/>
      <c r="D60" s="68">
        <v>122.36176611265059</v>
      </c>
      <c r="E60" s="70"/>
      <c r="F60" s="96" t="str">
        <f>HYPERLINK("https://i.ytimg.com/vi/G8ZP_Af0ArI/default.jpg")</f>
        <v>https://i.ytimg.com/vi/G8ZP_Af0ArI/default.jpg</v>
      </c>
      <c r="G60" s="67"/>
      <c r="H60" s="71" t="s">
        <v>721</v>
      </c>
      <c r="I60" s="72"/>
      <c r="J60" s="72" t="s">
        <v>159</v>
      </c>
      <c r="K60" s="71" t="s">
        <v>721</v>
      </c>
      <c r="L60" s="75">
        <v>1250.75</v>
      </c>
      <c r="M60" s="76">
        <v>7111.71484375</v>
      </c>
      <c r="N60" s="76">
        <v>1505.6678466796875</v>
      </c>
      <c r="O60" s="77"/>
      <c r="P60" s="78"/>
      <c r="Q60" s="78"/>
      <c r="R60" s="82"/>
      <c r="S60" s="48">
        <v>1</v>
      </c>
      <c r="T60" s="48">
        <v>0</v>
      </c>
      <c r="U60" s="49">
        <v>0</v>
      </c>
      <c r="V60" s="49">
        <v>0.000912</v>
      </c>
      <c r="W60" s="49">
        <v>0.001461</v>
      </c>
      <c r="X60" s="49">
        <v>0.439553</v>
      </c>
      <c r="Y60" s="49">
        <v>0</v>
      </c>
      <c r="Z60" s="49">
        <v>0</v>
      </c>
      <c r="AA60" s="73">
        <v>60</v>
      </c>
      <c r="AB60" s="73"/>
      <c r="AC60" s="74"/>
      <c r="AD60" s="80" t="s">
        <v>721</v>
      </c>
      <c r="AE60" s="80" t="s">
        <v>1051</v>
      </c>
      <c r="AF60" s="80" t="s">
        <v>1379</v>
      </c>
      <c r="AG60" s="80" t="s">
        <v>1638</v>
      </c>
      <c r="AH60" s="80" t="s">
        <v>1774</v>
      </c>
      <c r="AI60" s="80">
        <v>482434</v>
      </c>
      <c r="AJ60" s="80">
        <v>3739</v>
      </c>
      <c r="AK60" s="80">
        <v>8865</v>
      </c>
      <c r="AL60" s="80">
        <v>494</v>
      </c>
      <c r="AM60" s="80" t="s">
        <v>2047</v>
      </c>
      <c r="AN60" s="98" t="str">
        <f>HYPERLINK("https://www.youtube.com/watch?v=G8ZP_Af0ArI")</f>
        <v>https://www.youtube.com/watch?v=G8ZP_Af0ArI</v>
      </c>
      <c r="AO60" s="80" t="str">
        <f>REPLACE(INDEX(GroupVertices[Group],MATCH(Vertices[[#This Row],[Vertex]],GroupVertices[Vertex],0)),1,1,"")</f>
        <v>6</v>
      </c>
      <c r="AP60" s="48">
        <v>3</v>
      </c>
      <c r="AQ60" s="49">
        <v>4.411764705882353</v>
      </c>
      <c r="AR60" s="48">
        <v>6</v>
      </c>
      <c r="AS60" s="49">
        <v>8.823529411764707</v>
      </c>
      <c r="AT60" s="48">
        <v>0</v>
      </c>
      <c r="AU60" s="49">
        <v>0</v>
      </c>
      <c r="AV60" s="48">
        <v>59</v>
      </c>
      <c r="AW60" s="49">
        <v>86.76470588235294</v>
      </c>
      <c r="AX60" s="48">
        <v>68</v>
      </c>
      <c r="AY60" s="48"/>
      <c r="AZ60" s="48"/>
      <c r="BA60" s="48"/>
      <c r="BB60" s="48"/>
      <c r="BC60" s="2"/>
      <c r="BD60" s="3"/>
      <c r="BE60" s="3"/>
      <c r="BF60" s="3"/>
      <c r="BG60" s="3"/>
    </row>
    <row r="61" spans="1:59" ht="15">
      <c r="A61" s="66" t="s">
        <v>386</v>
      </c>
      <c r="B61" s="67"/>
      <c r="C61" s="67"/>
      <c r="D61" s="68">
        <v>84.33668144171988</v>
      </c>
      <c r="E61" s="70"/>
      <c r="F61" s="96" t="str">
        <f>HYPERLINK("https://i.ytimg.com/vi/RSk04n3HIt4/default.jpg")</f>
        <v>https://i.ytimg.com/vi/RSk04n3HIt4/default.jpg</v>
      </c>
      <c r="G61" s="67"/>
      <c r="H61" s="71" t="s">
        <v>722</v>
      </c>
      <c r="I61" s="72"/>
      <c r="J61" s="72" t="s">
        <v>159</v>
      </c>
      <c r="K61" s="71" t="s">
        <v>722</v>
      </c>
      <c r="L61" s="75">
        <v>1250.75</v>
      </c>
      <c r="M61" s="76">
        <v>5384.74951171875</v>
      </c>
      <c r="N61" s="76">
        <v>2176.234375</v>
      </c>
      <c r="O61" s="77"/>
      <c r="P61" s="78"/>
      <c r="Q61" s="78"/>
      <c r="R61" s="82"/>
      <c r="S61" s="48">
        <v>1</v>
      </c>
      <c r="T61" s="48">
        <v>0</v>
      </c>
      <c r="U61" s="49">
        <v>0</v>
      </c>
      <c r="V61" s="49">
        <v>0.000912</v>
      </c>
      <c r="W61" s="49">
        <v>0.001461</v>
      </c>
      <c r="X61" s="49">
        <v>0.439553</v>
      </c>
      <c r="Y61" s="49">
        <v>0</v>
      </c>
      <c r="Z61" s="49">
        <v>0</v>
      </c>
      <c r="AA61" s="73">
        <v>61</v>
      </c>
      <c r="AB61" s="73"/>
      <c r="AC61" s="74"/>
      <c r="AD61" s="80" t="s">
        <v>722</v>
      </c>
      <c r="AE61" s="80" t="s">
        <v>1052</v>
      </c>
      <c r="AF61" s="80" t="s">
        <v>1380</v>
      </c>
      <c r="AG61" s="80" t="s">
        <v>1638</v>
      </c>
      <c r="AH61" s="80" t="s">
        <v>1775</v>
      </c>
      <c r="AI61" s="80">
        <v>55552</v>
      </c>
      <c r="AJ61" s="80">
        <v>159</v>
      </c>
      <c r="AK61" s="80">
        <v>870</v>
      </c>
      <c r="AL61" s="80">
        <v>23</v>
      </c>
      <c r="AM61" s="80" t="s">
        <v>2047</v>
      </c>
      <c r="AN61" s="98" t="str">
        <f>HYPERLINK("https://www.youtube.com/watch?v=RSk04n3HIt4")</f>
        <v>https://www.youtube.com/watch?v=RSk04n3HIt4</v>
      </c>
      <c r="AO61" s="80" t="str">
        <f>REPLACE(INDEX(GroupVertices[Group],MATCH(Vertices[[#This Row],[Vertex]],GroupVertices[Vertex],0)),1,1,"")</f>
        <v>6</v>
      </c>
      <c r="AP61" s="48">
        <v>5</v>
      </c>
      <c r="AQ61" s="49">
        <v>6.4935064935064934</v>
      </c>
      <c r="AR61" s="48">
        <v>2</v>
      </c>
      <c r="AS61" s="49">
        <v>2.5974025974025974</v>
      </c>
      <c r="AT61" s="48">
        <v>0</v>
      </c>
      <c r="AU61" s="49">
        <v>0</v>
      </c>
      <c r="AV61" s="48">
        <v>70</v>
      </c>
      <c r="AW61" s="49">
        <v>90.9090909090909</v>
      </c>
      <c r="AX61" s="48">
        <v>77</v>
      </c>
      <c r="AY61" s="48"/>
      <c r="AZ61" s="48"/>
      <c r="BA61" s="48"/>
      <c r="BB61" s="48"/>
      <c r="BC61" s="2"/>
      <c r="BD61" s="3"/>
      <c r="BE61" s="3"/>
      <c r="BF61" s="3"/>
      <c r="BG61" s="3"/>
    </row>
    <row r="62" spans="1:59" ht="15">
      <c r="A62" s="66" t="s">
        <v>387</v>
      </c>
      <c r="B62" s="67"/>
      <c r="C62" s="67"/>
      <c r="D62" s="68">
        <v>145.54290284289064</v>
      </c>
      <c r="E62" s="70"/>
      <c r="F62" s="96" t="str">
        <f>HYPERLINK("https://i.ytimg.com/vi/Dus54BmqPF0/default.jpg")</f>
        <v>https://i.ytimg.com/vi/Dus54BmqPF0/default.jpg</v>
      </c>
      <c r="G62" s="67"/>
      <c r="H62" s="71" t="s">
        <v>723</v>
      </c>
      <c r="I62" s="72"/>
      <c r="J62" s="72" t="s">
        <v>159</v>
      </c>
      <c r="K62" s="71" t="s">
        <v>723</v>
      </c>
      <c r="L62" s="75">
        <v>1250.75</v>
      </c>
      <c r="M62" s="76">
        <v>4207.24462890625</v>
      </c>
      <c r="N62" s="76">
        <v>2589.33740234375</v>
      </c>
      <c r="O62" s="77"/>
      <c r="P62" s="78"/>
      <c r="Q62" s="78"/>
      <c r="R62" s="82"/>
      <c r="S62" s="48">
        <v>1</v>
      </c>
      <c r="T62" s="48">
        <v>0</v>
      </c>
      <c r="U62" s="49">
        <v>0</v>
      </c>
      <c r="V62" s="49">
        <v>0.000912</v>
      </c>
      <c r="W62" s="49">
        <v>0.001461</v>
      </c>
      <c r="X62" s="49">
        <v>0.439553</v>
      </c>
      <c r="Y62" s="49">
        <v>0</v>
      </c>
      <c r="Z62" s="49">
        <v>0</v>
      </c>
      <c r="AA62" s="73">
        <v>62</v>
      </c>
      <c r="AB62" s="73"/>
      <c r="AC62" s="74"/>
      <c r="AD62" s="80" t="s">
        <v>723</v>
      </c>
      <c r="AE62" s="80" t="s">
        <v>1053</v>
      </c>
      <c r="AF62" s="80" t="s">
        <v>1381</v>
      </c>
      <c r="AG62" s="80" t="s">
        <v>1643</v>
      </c>
      <c r="AH62" s="80" t="s">
        <v>1776</v>
      </c>
      <c r="AI62" s="80">
        <v>742673</v>
      </c>
      <c r="AJ62" s="80">
        <v>6694</v>
      </c>
      <c r="AK62" s="80">
        <v>25812</v>
      </c>
      <c r="AL62" s="80">
        <v>787</v>
      </c>
      <c r="AM62" s="80" t="s">
        <v>2047</v>
      </c>
      <c r="AN62" s="98" t="str">
        <f>HYPERLINK("https://www.youtube.com/watch?v=Dus54BmqPF0")</f>
        <v>https://www.youtube.com/watch?v=Dus54BmqPF0</v>
      </c>
      <c r="AO62" s="80" t="str">
        <f>REPLACE(INDEX(GroupVertices[Group],MATCH(Vertices[[#This Row],[Vertex]],GroupVertices[Vertex],0)),1,1,"")</f>
        <v>6</v>
      </c>
      <c r="AP62" s="48">
        <v>0</v>
      </c>
      <c r="AQ62" s="49">
        <v>0</v>
      </c>
      <c r="AR62" s="48">
        <v>3</v>
      </c>
      <c r="AS62" s="49">
        <v>4.166666666666667</v>
      </c>
      <c r="AT62" s="48">
        <v>0</v>
      </c>
      <c r="AU62" s="49">
        <v>0</v>
      </c>
      <c r="AV62" s="48">
        <v>69</v>
      </c>
      <c r="AW62" s="49">
        <v>95.83333333333333</v>
      </c>
      <c r="AX62" s="48">
        <v>72</v>
      </c>
      <c r="AY62" s="48"/>
      <c r="AZ62" s="48"/>
      <c r="BA62" s="48"/>
      <c r="BB62" s="48"/>
      <c r="BC62" s="2"/>
      <c r="BD62" s="3"/>
      <c r="BE62" s="3"/>
      <c r="BF62" s="3"/>
      <c r="BG62" s="3"/>
    </row>
    <row r="63" spans="1:59" ht="15">
      <c r="A63" s="66" t="s">
        <v>388</v>
      </c>
      <c r="B63" s="67"/>
      <c r="C63" s="67"/>
      <c r="D63" s="68">
        <v>314.43047882403744</v>
      </c>
      <c r="E63" s="70"/>
      <c r="F63" s="96" t="str">
        <f>HYPERLINK("https://i.ytimg.com/vi/XrVvGrPIauM/default.jpg")</f>
        <v>https://i.ytimg.com/vi/XrVvGrPIauM/default.jpg</v>
      </c>
      <c r="G63" s="67"/>
      <c r="H63" s="71" t="s">
        <v>724</v>
      </c>
      <c r="I63" s="72"/>
      <c r="J63" s="72" t="s">
        <v>159</v>
      </c>
      <c r="K63" s="71" t="s">
        <v>724</v>
      </c>
      <c r="L63" s="75">
        <v>1250.75</v>
      </c>
      <c r="M63" s="76">
        <v>3502.792236328125</v>
      </c>
      <c r="N63" s="76">
        <v>1256.9842529296875</v>
      </c>
      <c r="O63" s="77"/>
      <c r="P63" s="78"/>
      <c r="Q63" s="78"/>
      <c r="R63" s="82"/>
      <c r="S63" s="48">
        <v>1</v>
      </c>
      <c r="T63" s="48">
        <v>0</v>
      </c>
      <c r="U63" s="49">
        <v>0</v>
      </c>
      <c r="V63" s="49">
        <v>0.000912</v>
      </c>
      <c r="W63" s="49">
        <v>0.001461</v>
      </c>
      <c r="X63" s="49">
        <v>0.439553</v>
      </c>
      <c r="Y63" s="49">
        <v>0</v>
      </c>
      <c r="Z63" s="49">
        <v>0</v>
      </c>
      <c r="AA63" s="73">
        <v>63</v>
      </c>
      <c r="AB63" s="73"/>
      <c r="AC63" s="74"/>
      <c r="AD63" s="80" t="s">
        <v>724</v>
      </c>
      <c r="AE63" s="80" t="s">
        <v>1054</v>
      </c>
      <c r="AF63" s="80" t="s">
        <v>1382</v>
      </c>
      <c r="AG63" s="80" t="s">
        <v>1640</v>
      </c>
      <c r="AH63" s="80" t="s">
        <v>1777</v>
      </c>
      <c r="AI63" s="80">
        <v>2638660</v>
      </c>
      <c r="AJ63" s="80">
        <v>6762</v>
      </c>
      <c r="AK63" s="80">
        <v>57955</v>
      </c>
      <c r="AL63" s="80">
        <v>2495</v>
      </c>
      <c r="AM63" s="80" t="s">
        <v>2047</v>
      </c>
      <c r="AN63" s="98" t="str">
        <f>HYPERLINK("https://www.youtube.com/watch?v=XrVvGrPIauM")</f>
        <v>https://www.youtube.com/watch?v=XrVvGrPIauM</v>
      </c>
      <c r="AO63" s="80" t="str">
        <f>REPLACE(INDEX(GroupVertices[Group],MATCH(Vertices[[#This Row],[Vertex]],GroupVertices[Vertex],0)),1,1,"")</f>
        <v>6</v>
      </c>
      <c r="AP63" s="48">
        <v>0</v>
      </c>
      <c r="AQ63" s="49">
        <v>0</v>
      </c>
      <c r="AR63" s="48">
        <v>3</v>
      </c>
      <c r="AS63" s="49">
        <v>6.25</v>
      </c>
      <c r="AT63" s="48">
        <v>0</v>
      </c>
      <c r="AU63" s="49">
        <v>0</v>
      </c>
      <c r="AV63" s="48">
        <v>45</v>
      </c>
      <c r="AW63" s="49">
        <v>93.75</v>
      </c>
      <c r="AX63" s="48">
        <v>48</v>
      </c>
      <c r="AY63" s="48"/>
      <c r="AZ63" s="48"/>
      <c r="BA63" s="48"/>
      <c r="BB63" s="48"/>
      <c r="BC63" s="2"/>
      <c r="BD63" s="3"/>
      <c r="BE63" s="3"/>
      <c r="BF63" s="3"/>
      <c r="BG63" s="3"/>
    </row>
    <row r="64" spans="1:59" ht="15">
      <c r="A64" s="66" t="s">
        <v>389</v>
      </c>
      <c r="B64" s="67"/>
      <c r="C64" s="67"/>
      <c r="D64" s="68">
        <v>116.85577960190624</v>
      </c>
      <c r="E64" s="70"/>
      <c r="F64" s="96" t="str">
        <f>HYPERLINK("https://i.ytimg.com/vi/8rn8PI2h96s/default.jpg")</f>
        <v>https://i.ytimg.com/vi/8rn8PI2h96s/default.jpg</v>
      </c>
      <c r="G64" s="67"/>
      <c r="H64" s="71" t="s">
        <v>725</v>
      </c>
      <c r="I64" s="72"/>
      <c r="J64" s="72" t="s">
        <v>159</v>
      </c>
      <c r="K64" s="71" t="s">
        <v>725</v>
      </c>
      <c r="L64" s="75">
        <v>1250.75</v>
      </c>
      <c r="M64" s="76">
        <v>4666.70703125</v>
      </c>
      <c r="N64" s="76">
        <v>2787.2568359375</v>
      </c>
      <c r="O64" s="77"/>
      <c r="P64" s="78"/>
      <c r="Q64" s="78"/>
      <c r="R64" s="82"/>
      <c r="S64" s="48">
        <v>1</v>
      </c>
      <c r="T64" s="48">
        <v>0</v>
      </c>
      <c r="U64" s="49">
        <v>0</v>
      </c>
      <c r="V64" s="49">
        <v>0.000912</v>
      </c>
      <c r="W64" s="49">
        <v>0.001461</v>
      </c>
      <c r="X64" s="49">
        <v>0.439553</v>
      </c>
      <c r="Y64" s="49">
        <v>0</v>
      </c>
      <c r="Z64" s="49">
        <v>0</v>
      </c>
      <c r="AA64" s="73">
        <v>64</v>
      </c>
      <c r="AB64" s="73"/>
      <c r="AC64" s="74"/>
      <c r="AD64" s="80" t="s">
        <v>725</v>
      </c>
      <c r="AE64" s="80" t="s">
        <v>1055</v>
      </c>
      <c r="AF64" s="80" t="s">
        <v>1383</v>
      </c>
      <c r="AG64" s="80" t="s">
        <v>1638</v>
      </c>
      <c r="AH64" s="80" t="s">
        <v>1778</v>
      </c>
      <c r="AI64" s="80">
        <v>420622</v>
      </c>
      <c r="AJ64" s="80">
        <v>343</v>
      </c>
      <c r="AK64" s="80">
        <v>5349</v>
      </c>
      <c r="AL64" s="80">
        <v>645</v>
      </c>
      <c r="AM64" s="80" t="s">
        <v>2047</v>
      </c>
      <c r="AN64" s="98" t="str">
        <f>HYPERLINK("https://www.youtube.com/watch?v=8rn8PI2h96s")</f>
        <v>https://www.youtube.com/watch?v=8rn8PI2h96s</v>
      </c>
      <c r="AO64" s="80" t="str">
        <f>REPLACE(INDEX(GroupVertices[Group],MATCH(Vertices[[#This Row],[Vertex]],GroupVertices[Vertex],0)),1,1,"")</f>
        <v>6</v>
      </c>
      <c r="AP64" s="48">
        <v>2</v>
      </c>
      <c r="AQ64" s="49">
        <v>3.278688524590164</v>
      </c>
      <c r="AR64" s="48">
        <v>6</v>
      </c>
      <c r="AS64" s="49">
        <v>9.836065573770492</v>
      </c>
      <c r="AT64" s="48">
        <v>0</v>
      </c>
      <c r="AU64" s="49">
        <v>0</v>
      </c>
      <c r="AV64" s="48">
        <v>53</v>
      </c>
      <c r="AW64" s="49">
        <v>86.88524590163935</v>
      </c>
      <c r="AX64" s="48">
        <v>61</v>
      </c>
      <c r="AY64" s="48"/>
      <c r="AZ64" s="48"/>
      <c r="BA64" s="48"/>
      <c r="BB64" s="48"/>
      <c r="BC64" s="2"/>
      <c r="BD64" s="3"/>
      <c r="BE64" s="3"/>
      <c r="BF64" s="3"/>
      <c r="BG64" s="3"/>
    </row>
    <row r="65" spans="1:59" ht="15">
      <c r="A65" s="66" t="s">
        <v>390</v>
      </c>
      <c r="B65" s="67"/>
      <c r="C65" s="67"/>
      <c r="D65" s="68">
        <v>87.28395018696348</v>
      </c>
      <c r="E65" s="70"/>
      <c r="F65" s="96" t="str">
        <f>HYPERLINK("https://i.ytimg.com/vi/CGz5JJHGhPI/default.jpg")</f>
        <v>https://i.ytimg.com/vi/CGz5JJHGhPI/default.jpg</v>
      </c>
      <c r="G65" s="67"/>
      <c r="H65" s="71" t="s">
        <v>726</v>
      </c>
      <c r="I65" s="72"/>
      <c r="J65" s="72" t="s">
        <v>159</v>
      </c>
      <c r="K65" s="71" t="s">
        <v>726</v>
      </c>
      <c r="L65" s="75">
        <v>1250.75</v>
      </c>
      <c r="M65" s="76">
        <v>3906.14697265625</v>
      </c>
      <c r="N65" s="76">
        <v>660.3634643554688</v>
      </c>
      <c r="O65" s="77"/>
      <c r="P65" s="78"/>
      <c r="Q65" s="78"/>
      <c r="R65" s="82"/>
      <c r="S65" s="48">
        <v>1</v>
      </c>
      <c r="T65" s="48">
        <v>0</v>
      </c>
      <c r="U65" s="49">
        <v>0</v>
      </c>
      <c r="V65" s="49">
        <v>0.000912</v>
      </c>
      <c r="W65" s="49">
        <v>0.001461</v>
      </c>
      <c r="X65" s="49">
        <v>0.439553</v>
      </c>
      <c r="Y65" s="49">
        <v>0</v>
      </c>
      <c r="Z65" s="49">
        <v>0</v>
      </c>
      <c r="AA65" s="73">
        <v>65</v>
      </c>
      <c r="AB65" s="73"/>
      <c r="AC65" s="74"/>
      <c r="AD65" s="80" t="s">
        <v>726</v>
      </c>
      <c r="AE65" s="80" t="s">
        <v>1056</v>
      </c>
      <c r="AF65" s="80" t="s">
        <v>1384</v>
      </c>
      <c r="AG65" s="80" t="s">
        <v>1638</v>
      </c>
      <c r="AH65" s="80" t="s">
        <v>1779</v>
      </c>
      <c r="AI65" s="80">
        <v>88639</v>
      </c>
      <c r="AJ65" s="80">
        <v>442</v>
      </c>
      <c r="AK65" s="80">
        <v>1882</v>
      </c>
      <c r="AL65" s="80">
        <v>65</v>
      </c>
      <c r="AM65" s="80" t="s">
        <v>2047</v>
      </c>
      <c r="AN65" s="98" t="str">
        <f>HYPERLINK("https://www.youtube.com/watch?v=CGz5JJHGhPI")</f>
        <v>https://www.youtube.com/watch?v=CGz5JJHGhPI</v>
      </c>
      <c r="AO65" s="80" t="str">
        <f>REPLACE(INDEX(GroupVertices[Group],MATCH(Vertices[[#This Row],[Vertex]],GroupVertices[Vertex],0)),1,1,"")</f>
        <v>6</v>
      </c>
      <c r="AP65" s="48">
        <v>1</v>
      </c>
      <c r="AQ65" s="49">
        <v>1.3888888888888888</v>
      </c>
      <c r="AR65" s="48">
        <v>22</v>
      </c>
      <c r="AS65" s="49">
        <v>30.555555555555557</v>
      </c>
      <c r="AT65" s="48">
        <v>0</v>
      </c>
      <c r="AU65" s="49">
        <v>0</v>
      </c>
      <c r="AV65" s="48">
        <v>49</v>
      </c>
      <c r="AW65" s="49">
        <v>68.05555555555556</v>
      </c>
      <c r="AX65" s="48">
        <v>72</v>
      </c>
      <c r="AY65" s="48"/>
      <c r="AZ65" s="48"/>
      <c r="BA65" s="48"/>
      <c r="BB65" s="48"/>
      <c r="BC65" s="2"/>
      <c r="BD65" s="3"/>
      <c r="BE65" s="3"/>
      <c r="BF65" s="3"/>
      <c r="BG65" s="3"/>
    </row>
    <row r="66" spans="1:59" ht="15">
      <c r="A66" s="66" t="s">
        <v>391</v>
      </c>
      <c r="B66" s="67"/>
      <c r="C66" s="67"/>
      <c r="D66" s="68">
        <v>202.30572935123382</v>
      </c>
      <c r="E66" s="70"/>
      <c r="F66" s="96" t="str">
        <f>HYPERLINK("https://i.ytimg.com/vi/DshLw2zU4Ig/default.jpg")</f>
        <v>https://i.ytimg.com/vi/DshLw2zU4Ig/default.jpg</v>
      </c>
      <c r="G66" s="67"/>
      <c r="H66" s="71" t="s">
        <v>727</v>
      </c>
      <c r="I66" s="72"/>
      <c r="J66" s="72" t="s">
        <v>159</v>
      </c>
      <c r="K66" s="71" t="s">
        <v>727</v>
      </c>
      <c r="L66" s="75">
        <v>1250.75</v>
      </c>
      <c r="M66" s="76">
        <v>6712.466796875</v>
      </c>
      <c r="N66" s="76">
        <v>2307.215576171875</v>
      </c>
      <c r="O66" s="77"/>
      <c r="P66" s="78"/>
      <c r="Q66" s="78"/>
      <c r="R66" s="82"/>
      <c r="S66" s="48">
        <v>1</v>
      </c>
      <c r="T66" s="48">
        <v>0</v>
      </c>
      <c r="U66" s="49">
        <v>0</v>
      </c>
      <c r="V66" s="49">
        <v>0.000912</v>
      </c>
      <c r="W66" s="49">
        <v>0.001461</v>
      </c>
      <c r="X66" s="49">
        <v>0.439553</v>
      </c>
      <c r="Y66" s="49">
        <v>0</v>
      </c>
      <c r="Z66" s="49">
        <v>0</v>
      </c>
      <c r="AA66" s="73">
        <v>66</v>
      </c>
      <c r="AB66" s="73"/>
      <c r="AC66" s="74"/>
      <c r="AD66" s="80" t="s">
        <v>727</v>
      </c>
      <c r="AE66" s="80" t="s">
        <v>1057</v>
      </c>
      <c r="AF66" s="80" t="s">
        <v>1385</v>
      </c>
      <c r="AG66" s="80" t="s">
        <v>1644</v>
      </c>
      <c r="AH66" s="80" t="s">
        <v>1780</v>
      </c>
      <c r="AI66" s="80">
        <v>1379911</v>
      </c>
      <c r="AJ66" s="80">
        <v>2774</v>
      </c>
      <c r="AK66" s="80">
        <v>42337</v>
      </c>
      <c r="AL66" s="80">
        <v>610</v>
      </c>
      <c r="AM66" s="80" t="s">
        <v>2047</v>
      </c>
      <c r="AN66" s="98" t="str">
        <f>HYPERLINK("https://www.youtube.com/watch?v=DshLw2zU4Ig")</f>
        <v>https://www.youtube.com/watch?v=DshLw2zU4Ig</v>
      </c>
      <c r="AO66" s="80" t="str">
        <f>REPLACE(INDEX(GroupVertices[Group],MATCH(Vertices[[#This Row],[Vertex]],GroupVertices[Vertex],0)),1,1,"")</f>
        <v>6</v>
      </c>
      <c r="AP66" s="48">
        <v>8</v>
      </c>
      <c r="AQ66" s="49">
        <v>26.666666666666668</v>
      </c>
      <c r="AR66" s="48">
        <v>1</v>
      </c>
      <c r="AS66" s="49">
        <v>3.3333333333333335</v>
      </c>
      <c r="AT66" s="48">
        <v>0</v>
      </c>
      <c r="AU66" s="49">
        <v>0</v>
      </c>
      <c r="AV66" s="48">
        <v>21</v>
      </c>
      <c r="AW66" s="49">
        <v>70</v>
      </c>
      <c r="AX66" s="48">
        <v>30</v>
      </c>
      <c r="AY66" s="48"/>
      <c r="AZ66" s="48"/>
      <c r="BA66" s="48"/>
      <c r="BB66" s="48"/>
      <c r="BC66" s="2"/>
      <c r="BD66" s="3"/>
      <c r="BE66" s="3"/>
      <c r="BF66" s="3"/>
      <c r="BG66" s="3"/>
    </row>
    <row r="67" spans="1:59" ht="15">
      <c r="A67" s="66" t="s">
        <v>392</v>
      </c>
      <c r="B67" s="67"/>
      <c r="C67" s="67"/>
      <c r="D67" s="68">
        <v>143.34147026302693</v>
      </c>
      <c r="E67" s="70"/>
      <c r="F67" s="96" t="str">
        <f>HYPERLINK("https://i.ytimg.com/vi/y7cqMmP8FxA/default.jpg")</f>
        <v>https://i.ytimg.com/vi/y7cqMmP8FxA/default.jpg</v>
      </c>
      <c r="G67" s="67"/>
      <c r="H67" s="71" t="s">
        <v>728</v>
      </c>
      <c r="I67" s="72"/>
      <c r="J67" s="72" t="s">
        <v>159</v>
      </c>
      <c r="K67" s="71" t="s">
        <v>728</v>
      </c>
      <c r="L67" s="75">
        <v>1250.75</v>
      </c>
      <c r="M67" s="76">
        <v>6001.6005859375</v>
      </c>
      <c r="N67" s="76">
        <v>269.7907409667969</v>
      </c>
      <c r="O67" s="77"/>
      <c r="P67" s="78"/>
      <c r="Q67" s="78"/>
      <c r="R67" s="82"/>
      <c r="S67" s="48">
        <v>1</v>
      </c>
      <c r="T67" s="48">
        <v>0</v>
      </c>
      <c r="U67" s="49">
        <v>0</v>
      </c>
      <c r="V67" s="49">
        <v>0.000912</v>
      </c>
      <c r="W67" s="49">
        <v>0.001461</v>
      </c>
      <c r="X67" s="49">
        <v>0.439553</v>
      </c>
      <c r="Y67" s="49">
        <v>0</v>
      </c>
      <c r="Z67" s="49">
        <v>0</v>
      </c>
      <c r="AA67" s="73">
        <v>67</v>
      </c>
      <c r="AB67" s="73"/>
      <c r="AC67" s="74"/>
      <c r="AD67" s="80" t="s">
        <v>728</v>
      </c>
      <c r="AE67" s="80" t="s">
        <v>1058</v>
      </c>
      <c r="AF67" s="80" t="s">
        <v>1386</v>
      </c>
      <c r="AG67" s="80" t="s">
        <v>1645</v>
      </c>
      <c r="AH67" s="80" t="s">
        <v>1781</v>
      </c>
      <c r="AI67" s="80">
        <v>717959</v>
      </c>
      <c r="AJ67" s="80">
        <v>1573</v>
      </c>
      <c r="AK67" s="80">
        <v>14014</v>
      </c>
      <c r="AL67" s="80">
        <v>417</v>
      </c>
      <c r="AM67" s="80" t="s">
        <v>2047</v>
      </c>
      <c r="AN67" s="98" t="str">
        <f>HYPERLINK("https://www.youtube.com/watch?v=y7cqMmP8FxA")</f>
        <v>https://www.youtube.com/watch?v=y7cqMmP8FxA</v>
      </c>
      <c r="AO67" s="80" t="str">
        <f>REPLACE(INDEX(GroupVertices[Group],MATCH(Vertices[[#This Row],[Vertex]],GroupVertices[Vertex],0)),1,1,"")</f>
        <v>6</v>
      </c>
      <c r="AP67" s="48">
        <v>1</v>
      </c>
      <c r="AQ67" s="49">
        <v>4.761904761904762</v>
      </c>
      <c r="AR67" s="48">
        <v>0</v>
      </c>
      <c r="AS67" s="49">
        <v>0</v>
      </c>
      <c r="AT67" s="48">
        <v>0</v>
      </c>
      <c r="AU67" s="49">
        <v>0</v>
      </c>
      <c r="AV67" s="48">
        <v>20</v>
      </c>
      <c r="AW67" s="49">
        <v>95.23809523809524</v>
      </c>
      <c r="AX67" s="48">
        <v>21</v>
      </c>
      <c r="AY67" s="48"/>
      <c r="AZ67" s="48"/>
      <c r="BA67" s="48"/>
      <c r="BB67" s="48"/>
      <c r="BC67" s="2"/>
      <c r="BD67" s="3"/>
      <c r="BE67" s="3"/>
      <c r="BF67" s="3"/>
      <c r="BG67" s="3"/>
    </row>
    <row r="68" spans="1:59" ht="15">
      <c r="A68" s="66" t="s">
        <v>393</v>
      </c>
      <c r="B68" s="67"/>
      <c r="C68" s="67"/>
      <c r="D68" s="68">
        <v>114.04907331563425</v>
      </c>
      <c r="E68" s="70"/>
      <c r="F68" s="96" t="str">
        <f>HYPERLINK("https://i.ytimg.com/vi/rb9wynggXjk/default.jpg")</f>
        <v>https://i.ytimg.com/vi/rb9wynggXjk/default.jpg</v>
      </c>
      <c r="G68" s="67"/>
      <c r="H68" s="71" t="s">
        <v>729</v>
      </c>
      <c r="I68" s="72"/>
      <c r="J68" s="72" t="s">
        <v>159</v>
      </c>
      <c r="K68" s="71" t="s">
        <v>729</v>
      </c>
      <c r="L68" s="75">
        <v>1250.75</v>
      </c>
      <c r="M68" s="76">
        <v>6486.8544921875</v>
      </c>
      <c r="N68" s="76">
        <v>450.0707702636719</v>
      </c>
      <c r="O68" s="77"/>
      <c r="P68" s="78"/>
      <c r="Q68" s="78"/>
      <c r="R68" s="82"/>
      <c r="S68" s="48">
        <v>1</v>
      </c>
      <c r="T68" s="48">
        <v>0</v>
      </c>
      <c r="U68" s="49">
        <v>0</v>
      </c>
      <c r="V68" s="49">
        <v>0.000912</v>
      </c>
      <c r="W68" s="49">
        <v>0.001461</v>
      </c>
      <c r="X68" s="49">
        <v>0.439553</v>
      </c>
      <c r="Y68" s="49">
        <v>0</v>
      </c>
      <c r="Z68" s="49">
        <v>0</v>
      </c>
      <c r="AA68" s="73">
        <v>68</v>
      </c>
      <c r="AB68" s="73"/>
      <c r="AC68" s="74"/>
      <c r="AD68" s="80" t="s">
        <v>729</v>
      </c>
      <c r="AE68" s="80" t="s">
        <v>1059</v>
      </c>
      <c r="AF68" s="80" t="s">
        <v>1387</v>
      </c>
      <c r="AG68" s="80" t="s">
        <v>1638</v>
      </c>
      <c r="AH68" s="80" t="s">
        <v>1782</v>
      </c>
      <c r="AI68" s="80">
        <v>389113</v>
      </c>
      <c r="AJ68" s="80">
        <v>387</v>
      </c>
      <c r="AK68" s="80">
        <v>4873</v>
      </c>
      <c r="AL68" s="80">
        <v>232</v>
      </c>
      <c r="AM68" s="80" t="s">
        <v>2047</v>
      </c>
      <c r="AN68" s="98" t="str">
        <f>HYPERLINK("https://www.youtube.com/watch?v=rb9wynggXjk")</f>
        <v>https://www.youtube.com/watch?v=rb9wynggXjk</v>
      </c>
      <c r="AO68" s="80" t="str">
        <f>REPLACE(INDEX(GroupVertices[Group],MATCH(Vertices[[#This Row],[Vertex]],GroupVertices[Vertex],0)),1,1,"")</f>
        <v>6</v>
      </c>
      <c r="AP68" s="48">
        <v>6</v>
      </c>
      <c r="AQ68" s="49">
        <v>9.836065573770492</v>
      </c>
      <c r="AR68" s="48">
        <v>6</v>
      </c>
      <c r="AS68" s="49">
        <v>9.836065573770492</v>
      </c>
      <c r="AT68" s="48">
        <v>0</v>
      </c>
      <c r="AU68" s="49">
        <v>0</v>
      </c>
      <c r="AV68" s="48">
        <v>49</v>
      </c>
      <c r="AW68" s="49">
        <v>80.32786885245902</v>
      </c>
      <c r="AX68" s="48">
        <v>61</v>
      </c>
      <c r="AY68" s="48"/>
      <c r="AZ68" s="48"/>
      <c r="BA68" s="48"/>
      <c r="BB68" s="48"/>
      <c r="BC68" s="2"/>
      <c r="BD68" s="3"/>
      <c r="BE68" s="3"/>
      <c r="BF68" s="3"/>
      <c r="BG68" s="3"/>
    </row>
    <row r="69" spans="1:59" ht="15">
      <c r="A69" s="66" t="s">
        <v>394</v>
      </c>
      <c r="B69" s="67"/>
      <c r="C69" s="67"/>
      <c r="D69" s="68">
        <v>312.05837598347057</v>
      </c>
      <c r="E69" s="70"/>
      <c r="F69" s="96" t="str">
        <f>HYPERLINK("https://i.ytimg.com/vi/msT1LTXnWWI/default.jpg")</f>
        <v>https://i.ytimg.com/vi/msT1LTXnWWI/default.jpg</v>
      </c>
      <c r="G69" s="67"/>
      <c r="H69" s="71" t="s">
        <v>730</v>
      </c>
      <c r="I69" s="72"/>
      <c r="J69" s="72" t="s">
        <v>159</v>
      </c>
      <c r="K69" s="71" t="s">
        <v>730</v>
      </c>
      <c r="L69" s="75">
        <v>1250.75</v>
      </c>
      <c r="M69" s="76">
        <v>7027.3271484375</v>
      </c>
      <c r="N69" s="76">
        <v>1121.1927490234375</v>
      </c>
      <c r="O69" s="77"/>
      <c r="P69" s="78"/>
      <c r="Q69" s="78"/>
      <c r="R69" s="82"/>
      <c r="S69" s="48">
        <v>1</v>
      </c>
      <c r="T69" s="48">
        <v>0</v>
      </c>
      <c r="U69" s="49">
        <v>0</v>
      </c>
      <c r="V69" s="49">
        <v>0.000912</v>
      </c>
      <c r="W69" s="49">
        <v>0.001461</v>
      </c>
      <c r="X69" s="49">
        <v>0.439553</v>
      </c>
      <c r="Y69" s="49">
        <v>0</v>
      </c>
      <c r="Z69" s="49">
        <v>0</v>
      </c>
      <c r="AA69" s="73">
        <v>69</v>
      </c>
      <c r="AB69" s="73"/>
      <c r="AC69" s="74"/>
      <c r="AD69" s="80" t="s">
        <v>730</v>
      </c>
      <c r="AE69" s="80" t="s">
        <v>1060</v>
      </c>
      <c r="AF69" s="80" t="s">
        <v>1388</v>
      </c>
      <c r="AG69" s="80" t="s">
        <v>1646</v>
      </c>
      <c r="AH69" s="80" t="s">
        <v>1783</v>
      </c>
      <c r="AI69" s="80">
        <v>2612030</v>
      </c>
      <c r="AJ69" s="80">
        <v>5118</v>
      </c>
      <c r="AK69" s="80">
        <v>53846</v>
      </c>
      <c r="AL69" s="80">
        <v>1177</v>
      </c>
      <c r="AM69" s="80" t="s">
        <v>2047</v>
      </c>
      <c r="AN69" s="98" t="str">
        <f>HYPERLINK("https://www.youtube.com/watch?v=msT1LTXnWWI")</f>
        <v>https://www.youtube.com/watch?v=msT1LTXnWWI</v>
      </c>
      <c r="AO69" s="80" t="str">
        <f>REPLACE(INDEX(GroupVertices[Group],MATCH(Vertices[[#This Row],[Vertex]],GroupVertices[Vertex],0)),1,1,"")</f>
        <v>6</v>
      </c>
      <c r="AP69" s="48">
        <v>4</v>
      </c>
      <c r="AQ69" s="49">
        <v>9.523809523809524</v>
      </c>
      <c r="AR69" s="48">
        <v>6</v>
      </c>
      <c r="AS69" s="49">
        <v>14.285714285714286</v>
      </c>
      <c r="AT69" s="48">
        <v>0</v>
      </c>
      <c r="AU69" s="49">
        <v>0</v>
      </c>
      <c r="AV69" s="48">
        <v>32</v>
      </c>
      <c r="AW69" s="49">
        <v>76.19047619047619</v>
      </c>
      <c r="AX69" s="48">
        <v>42</v>
      </c>
      <c r="AY69" s="48"/>
      <c r="AZ69" s="48"/>
      <c r="BA69" s="48"/>
      <c r="BB69" s="48"/>
      <c r="BC69" s="2"/>
      <c r="BD69" s="3"/>
      <c r="BE69" s="3"/>
      <c r="BF69" s="3"/>
      <c r="BG69" s="3"/>
    </row>
    <row r="70" spans="1:59" ht="15">
      <c r="A70" s="66" t="s">
        <v>395</v>
      </c>
      <c r="B70" s="67"/>
      <c r="C70" s="67"/>
      <c r="D70" s="68">
        <v>88.96847278621098</v>
      </c>
      <c r="E70" s="70"/>
      <c r="F70" s="96" t="str">
        <f>HYPERLINK("https://i.ytimg.com/vi/WHiHDkpHZ2w/default.jpg")</f>
        <v>https://i.ytimg.com/vi/WHiHDkpHZ2w/default.jpg</v>
      </c>
      <c r="G70" s="67"/>
      <c r="H70" s="71" t="s">
        <v>731</v>
      </c>
      <c r="I70" s="72"/>
      <c r="J70" s="72" t="s">
        <v>159</v>
      </c>
      <c r="K70" s="71" t="s">
        <v>731</v>
      </c>
      <c r="L70" s="75">
        <v>1250.75</v>
      </c>
      <c r="M70" s="76">
        <v>3855.027587890625</v>
      </c>
      <c r="N70" s="76">
        <v>2319.737060546875</v>
      </c>
      <c r="O70" s="77"/>
      <c r="P70" s="78"/>
      <c r="Q70" s="78"/>
      <c r="R70" s="82"/>
      <c r="S70" s="48">
        <v>1</v>
      </c>
      <c r="T70" s="48">
        <v>0</v>
      </c>
      <c r="U70" s="49">
        <v>0</v>
      </c>
      <c r="V70" s="49">
        <v>0.000912</v>
      </c>
      <c r="W70" s="49">
        <v>0.001461</v>
      </c>
      <c r="X70" s="49">
        <v>0.439553</v>
      </c>
      <c r="Y70" s="49">
        <v>0</v>
      </c>
      <c r="Z70" s="49">
        <v>0</v>
      </c>
      <c r="AA70" s="73">
        <v>70</v>
      </c>
      <c r="AB70" s="73"/>
      <c r="AC70" s="74"/>
      <c r="AD70" s="80" t="s">
        <v>731</v>
      </c>
      <c r="AE70" s="80" t="s">
        <v>1061</v>
      </c>
      <c r="AF70" s="80" t="s">
        <v>1389</v>
      </c>
      <c r="AG70" s="80" t="s">
        <v>1638</v>
      </c>
      <c r="AH70" s="80" t="s">
        <v>1784</v>
      </c>
      <c r="AI70" s="80">
        <v>107550</v>
      </c>
      <c r="AJ70" s="80">
        <v>744</v>
      </c>
      <c r="AK70" s="80">
        <v>1998</v>
      </c>
      <c r="AL70" s="80">
        <v>100</v>
      </c>
      <c r="AM70" s="80" t="s">
        <v>2047</v>
      </c>
      <c r="AN70" s="98" t="str">
        <f>HYPERLINK("https://www.youtube.com/watch?v=WHiHDkpHZ2w")</f>
        <v>https://www.youtube.com/watch?v=WHiHDkpHZ2w</v>
      </c>
      <c r="AO70" s="80" t="str">
        <f>REPLACE(INDEX(GroupVertices[Group],MATCH(Vertices[[#This Row],[Vertex]],GroupVertices[Vertex],0)),1,1,"")</f>
        <v>6</v>
      </c>
      <c r="AP70" s="48">
        <v>10</v>
      </c>
      <c r="AQ70" s="49">
        <v>14.925373134328359</v>
      </c>
      <c r="AR70" s="48">
        <v>2</v>
      </c>
      <c r="AS70" s="49">
        <v>2.985074626865672</v>
      </c>
      <c r="AT70" s="48">
        <v>0</v>
      </c>
      <c r="AU70" s="49">
        <v>0</v>
      </c>
      <c r="AV70" s="48">
        <v>55</v>
      </c>
      <c r="AW70" s="49">
        <v>82.08955223880596</v>
      </c>
      <c r="AX70" s="48">
        <v>67</v>
      </c>
      <c r="AY70" s="48"/>
      <c r="AZ70" s="48"/>
      <c r="BA70" s="48"/>
      <c r="BB70" s="48"/>
      <c r="BC70" s="2"/>
      <c r="BD70" s="3"/>
      <c r="BE70" s="3"/>
      <c r="BF70" s="3"/>
      <c r="BG70" s="3"/>
    </row>
    <row r="71" spans="1:59" ht="15">
      <c r="A71" s="66" t="s">
        <v>396</v>
      </c>
      <c r="B71" s="67"/>
      <c r="C71" s="67"/>
      <c r="D71" s="68">
        <v>125.07253718452938</v>
      </c>
      <c r="E71" s="70"/>
      <c r="F71" s="96" t="str">
        <f>HYPERLINK("https://i.ytimg.com/vi/h6BLvTSVdKk/default.jpg")</f>
        <v>https://i.ytimg.com/vi/h6BLvTSVdKk/default.jpg</v>
      </c>
      <c r="G71" s="67"/>
      <c r="H71" s="71" t="s">
        <v>732</v>
      </c>
      <c r="I71" s="72"/>
      <c r="J71" s="72" t="s">
        <v>159</v>
      </c>
      <c r="K71" s="71" t="s">
        <v>732</v>
      </c>
      <c r="L71" s="75">
        <v>1250.75</v>
      </c>
      <c r="M71" s="76">
        <v>5384.17626953125</v>
      </c>
      <c r="N71" s="76">
        <v>2860.985595703125</v>
      </c>
      <c r="O71" s="77"/>
      <c r="P71" s="78"/>
      <c r="Q71" s="78"/>
      <c r="R71" s="82"/>
      <c r="S71" s="48">
        <v>1</v>
      </c>
      <c r="T71" s="48">
        <v>0</v>
      </c>
      <c r="U71" s="49">
        <v>0</v>
      </c>
      <c r="V71" s="49">
        <v>0.000912</v>
      </c>
      <c r="W71" s="49">
        <v>0.001461</v>
      </c>
      <c r="X71" s="49">
        <v>0.439553</v>
      </c>
      <c r="Y71" s="49">
        <v>0</v>
      </c>
      <c r="Z71" s="49">
        <v>0</v>
      </c>
      <c r="AA71" s="73">
        <v>71</v>
      </c>
      <c r="AB71" s="73"/>
      <c r="AC71" s="74"/>
      <c r="AD71" s="80" t="s">
        <v>732</v>
      </c>
      <c r="AE71" s="80" t="s">
        <v>1062</v>
      </c>
      <c r="AF71" s="80" t="s">
        <v>1390</v>
      </c>
      <c r="AG71" s="80" t="s">
        <v>1647</v>
      </c>
      <c r="AH71" s="80" t="s">
        <v>1785</v>
      </c>
      <c r="AI71" s="80">
        <v>512866</v>
      </c>
      <c r="AJ71" s="80">
        <v>3473</v>
      </c>
      <c r="AK71" s="80">
        <v>14097</v>
      </c>
      <c r="AL71" s="80">
        <v>202</v>
      </c>
      <c r="AM71" s="80" t="s">
        <v>2047</v>
      </c>
      <c r="AN71" s="98" t="str">
        <f>HYPERLINK("https://www.youtube.com/watch?v=h6BLvTSVdKk")</f>
        <v>https://www.youtube.com/watch?v=h6BLvTSVdKk</v>
      </c>
      <c r="AO71" s="80" t="str">
        <f>REPLACE(INDEX(GroupVertices[Group],MATCH(Vertices[[#This Row],[Vertex]],GroupVertices[Vertex],0)),1,1,"")</f>
        <v>6</v>
      </c>
      <c r="AP71" s="48">
        <v>0</v>
      </c>
      <c r="AQ71" s="49">
        <v>0</v>
      </c>
      <c r="AR71" s="48">
        <v>0</v>
      </c>
      <c r="AS71" s="49">
        <v>0</v>
      </c>
      <c r="AT71" s="48">
        <v>0</v>
      </c>
      <c r="AU71" s="49">
        <v>0</v>
      </c>
      <c r="AV71" s="48">
        <v>1</v>
      </c>
      <c r="AW71" s="49">
        <v>100</v>
      </c>
      <c r="AX71" s="48">
        <v>1</v>
      </c>
      <c r="AY71" s="48"/>
      <c r="AZ71" s="48"/>
      <c r="BA71" s="48"/>
      <c r="BB71" s="48"/>
      <c r="BC71" s="2"/>
      <c r="BD71" s="3"/>
      <c r="BE71" s="3"/>
      <c r="BF71" s="3"/>
      <c r="BG71" s="3"/>
    </row>
    <row r="72" spans="1:59" ht="15">
      <c r="A72" s="66" t="s">
        <v>397</v>
      </c>
      <c r="B72" s="67"/>
      <c r="C72" s="67"/>
      <c r="D72" s="68">
        <v>86.70664645021117</v>
      </c>
      <c r="E72" s="70"/>
      <c r="F72" s="96" t="str">
        <f>HYPERLINK("https://i.ytimg.com/vi/Z1fLOCJMvI4/default.jpg")</f>
        <v>https://i.ytimg.com/vi/Z1fLOCJMvI4/default.jpg</v>
      </c>
      <c r="G72" s="67"/>
      <c r="H72" s="71" t="s">
        <v>733</v>
      </c>
      <c r="I72" s="72"/>
      <c r="J72" s="72" t="s">
        <v>159</v>
      </c>
      <c r="K72" s="71" t="s">
        <v>733</v>
      </c>
      <c r="L72" s="75">
        <v>1250.75</v>
      </c>
      <c r="M72" s="76">
        <v>6325.6171875</v>
      </c>
      <c r="N72" s="76">
        <v>2612.501953125</v>
      </c>
      <c r="O72" s="77"/>
      <c r="P72" s="78"/>
      <c r="Q72" s="78"/>
      <c r="R72" s="82"/>
      <c r="S72" s="48">
        <v>1</v>
      </c>
      <c r="T72" s="48">
        <v>0</v>
      </c>
      <c r="U72" s="49">
        <v>0</v>
      </c>
      <c r="V72" s="49">
        <v>0.000912</v>
      </c>
      <c r="W72" s="49">
        <v>0.001461</v>
      </c>
      <c r="X72" s="49">
        <v>0.439553</v>
      </c>
      <c r="Y72" s="49">
        <v>0</v>
      </c>
      <c r="Z72" s="49">
        <v>0</v>
      </c>
      <c r="AA72" s="73">
        <v>72</v>
      </c>
      <c r="AB72" s="73"/>
      <c r="AC72" s="74"/>
      <c r="AD72" s="80" t="s">
        <v>733</v>
      </c>
      <c r="AE72" s="80" t="s">
        <v>1063</v>
      </c>
      <c r="AF72" s="80" t="s">
        <v>1391</v>
      </c>
      <c r="AG72" s="80" t="s">
        <v>1638</v>
      </c>
      <c r="AH72" s="80" t="s">
        <v>1786</v>
      </c>
      <c r="AI72" s="80">
        <v>82158</v>
      </c>
      <c r="AJ72" s="80">
        <v>209</v>
      </c>
      <c r="AK72" s="80">
        <v>1389</v>
      </c>
      <c r="AL72" s="80">
        <v>80</v>
      </c>
      <c r="AM72" s="80" t="s">
        <v>2047</v>
      </c>
      <c r="AN72" s="98" t="str">
        <f>HYPERLINK("https://www.youtube.com/watch?v=Z1fLOCJMvI4")</f>
        <v>https://www.youtube.com/watch?v=Z1fLOCJMvI4</v>
      </c>
      <c r="AO72" s="80" t="str">
        <f>REPLACE(INDEX(GroupVertices[Group],MATCH(Vertices[[#This Row],[Vertex]],GroupVertices[Vertex],0)),1,1,"")</f>
        <v>6</v>
      </c>
      <c r="AP72" s="48">
        <v>6</v>
      </c>
      <c r="AQ72" s="49">
        <v>10.169491525423728</v>
      </c>
      <c r="AR72" s="48">
        <v>5</v>
      </c>
      <c r="AS72" s="49">
        <v>8.474576271186441</v>
      </c>
      <c r="AT72" s="48">
        <v>0</v>
      </c>
      <c r="AU72" s="49">
        <v>0</v>
      </c>
      <c r="AV72" s="48">
        <v>48</v>
      </c>
      <c r="AW72" s="49">
        <v>81.35593220338983</v>
      </c>
      <c r="AX72" s="48">
        <v>59</v>
      </c>
      <c r="AY72" s="48"/>
      <c r="AZ72" s="48"/>
      <c r="BA72" s="48"/>
      <c r="BB72" s="48"/>
      <c r="BC72" s="2"/>
      <c r="BD72" s="3"/>
      <c r="BE72" s="3"/>
      <c r="BF72" s="3"/>
      <c r="BG72" s="3"/>
    </row>
    <row r="73" spans="1:59" ht="15">
      <c r="A73" s="66" t="s">
        <v>398</v>
      </c>
      <c r="B73" s="67"/>
      <c r="C73" s="67"/>
      <c r="D73" s="68">
        <v>761.3986107964392</v>
      </c>
      <c r="E73" s="70"/>
      <c r="F73" s="96" t="str">
        <f>HYPERLINK("https://i.ytimg.com/vi/xrmOtfZllrU/default.jpg")</f>
        <v>https://i.ytimg.com/vi/xrmOtfZllrU/default.jpg</v>
      </c>
      <c r="G73" s="67"/>
      <c r="H73" s="71" t="s">
        <v>734</v>
      </c>
      <c r="I73" s="72"/>
      <c r="J73" s="72" t="s">
        <v>159</v>
      </c>
      <c r="K73" s="71" t="s">
        <v>734</v>
      </c>
      <c r="L73" s="75">
        <v>1250.75</v>
      </c>
      <c r="M73" s="76">
        <v>6814.23974609375</v>
      </c>
      <c r="N73" s="76">
        <v>777.8099975585938</v>
      </c>
      <c r="O73" s="77"/>
      <c r="P73" s="78"/>
      <c r="Q73" s="78"/>
      <c r="R73" s="82"/>
      <c r="S73" s="48">
        <v>1</v>
      </c>
      <c r="T73" s="48">
        <v>0</v>
      </c>
      <c r="U73" s="49">
        <v>0</v>
      </c>
      <c r="V73" s="49">
        <v>0.000912</v>
      </c>
      <c r="W73" s="49">
        <v>0.001461</v>
      </c>
      <c r="X73" s="49">
        <v>0.439553</v>
      </c>
      <c r="Y73" s="49">
        <v>0</v>
      </c>
      <c r="Z73" s="49">
        <v>0</v>
      </c>
      <c r="AA73" s="73">
        <v>73</v>
      </c>
      <c r="AB73" s="73"/>
      <c r="AC73" s="74"/>
      <c r="AD73" s="80" t="s">
        <v>734</v>
      </c>
      <c r="AE73" s="80" t="s">
        <v>1064</v>
      </c>
      <c r="AF73" s="80" t="s">
        <v>1392</v>
      </c>
      <c r="AG73" s="80" t="s">
        <v>1635</v>
      </c>
      <c r="AH73" s="80" t="s">
        <v>1787</v>
      </c>
      <c r="AI73" s="80">
        <v>7656470</v>
      </c>
      <c r="AJ73" s="80">
        <v>14864</v>
      </c>
      <c r="AK73" s="80">
        <v>252306</v>
      </c>
      <c r="AL73" s="80">
        <v>2029</v>
      </c>
      <c r="AM73" s="80" t="s">
        <v>2047</v>
      </c>
      <c r="AN73" s="98" t="str">
        <f>HYPERLINK("https://www.youtube.com/watch?v=xrmOtfZllrU")</f>
        <v>https://www.youtube.com/watch?v=xrmOtfZllrU</v>
      </c>
      <c r="AO73" s="80" t="str">
        <f>REPLACE(INDEX(GroupVertices[Group],MATCH(Vertices[[#This Row],[Vertex]],GroupVertices[Vertex],0)),1,1,"")</f>
        <v>6</v>
      </c>
      <c r="AP73" s="48">
        <v>7</v>
      </c>
      <c r="AQ73" s="49">
        <v>10.76923076923077</v>
      </c>
      <c r="AR73" s="48">
        <v>1</v>
      </c>
      <c r="AS73" s="49">
        <v>1.5384615384615385</v>
      </c>
      <c r="AT73" s="48">
        <v>0</v>
      </c>
      <c r="AU73" s="49">
        <v>0</v>
      </c>
      <c r="AV73" s="48">
        <v>57</v>
      </c>
      <c r="AW73" s="49">
        <v>87.6923076923077</v>
      </c>
      <c r="AX73" s="48">
        <v>65</v>
      </c>
      <c r="AY73" s="48"/>
      <c r="AZ73" s="48"/>
      <c r="BA73" s="48"/>
      <c r="BB73" s="48"/>
      <c r="BC73" s="2"/>
      <c r="BD73" s="3"/>
      <c r="BE73" s="3"/>
      <c r="BF73" s="3"/>
      <c r="BG73" s="3"/>
    </row>
    <row r="74" spans="1:59" ht="15">
      <c r="A74" s="66" t="s">
        <v>399</v>
      </c>
      <c r="B74" s="67"/>
      <c r="C74" s="67"/>
      <c r="D74" s="68">
        <v>494.8849734029678</v>
      </c>
      <c r="E74" s="70"/>
      <c r="F74" s="96" t="str">
        <f>HYPERLINK("https://i.ytimg.com/vi/DQHMB7V9LtE/default.jpg")</f>
        <v>https://i.ytimg.com/vi/DQHMB7V9LtE/default.jpg</v>
      </c>
      <c r="G74" s="67"/>
      <c r="H74" s="71" t="s">
        <v>735</v>
      </c>
      <c r="I74" s="72"/>
      <c r="J74" s="72" t="s">
        <v>159</v>
      </c>
      <c r="K74" s="71" t="s">
        <v>735</v>
      </c>
      <c r="L74" s="75">
        <v>1250.75</v>
      </c>
      <c r="M74" s="76">
        <v>6667.35693359375</v>
      </c>
      <c r="N74" s="76">
        <v>1739.0802001953125</v>
      </c>
      <c r="O74" s="77"/>
      <c r="P74" s="78"/>
      <c r="Q74" s="78"/>
      <c r="R74" s="82"/>
      <c r="S74" s="48">
        <v>1</v>
      </c>
      <c r="T74" s="48">
        <v>0</v>
      </c>
      <c r="U74" s="49">
        <v>0</v>
      </c>
      <c r="V74" s="49">
        <v>0.000912</v>
      </c>
      <c r="W74" s="49">
        <v>0.001461</v>
      </c>
      <c r="X74" s="49">
        <v>0.439553</v>
      </c>
      <c r="Y74" s="49">
        <v>0</v>
      </c>
      <c r="Z74" s="49">
        <v>0</v>
      </c>
      <c r="AA74" s="73">
        <v>74</v>
      </c>
      <c r="AB74" s="73"/>
      <c r="AC74" s="74"/>
      <c r="AD74" s="80" t="s">
        <v>735</v>
      </c>
      <c r="AE74" s="80" t="s">
        <v>1065</v>
      </c>
      <c r="AF74" s="80" t="s">
        <v>1393</v>
      </c>
      <c r="AG74" s="80" t="s">
        <v>1648</v>
      </c>
      <c r="AH74" s="80" t="s">
        <v>1788</v>
      </c>
      <c r="AI74" s="80">
        <v>4664501</v>
      </c>
      <c r="AJ74" s="80">
        <v>50198</v>
      </c>
      <c r="AK74" s="80">
        <v>126450</v>
      </c>
      <c r="AL74" s="80">
        <v>5588</v>
      </c>
      <c r="AM74" s="80" t="s">
        <v>2047</v>
      </c>
      <c r="AN74" s="98" t="str">
        <f>HYPERLINK("https://www.youtube.com/watch?v=DQHMB7V9LtE")</f>
        <v>https://www.youtube.com/watch?v=DQHMB7V9LtE</v>
      </c>
      <c r="AO74" s="80" t="str">
        <f>REPLACE(INDEX(GroupVertices[Group],MATCH(Vertices[[#This Row],[Vertex]],GroupVertices[Vertex],0)),1,1,"")</f>
        <v>6</v>
      </c>
      <c r="AP74" s="48">
        <v>1</v>
      </c>
      <c r="AQ74" s="49">
        <v>1.9230769230769231</v>
      </c>
      <c r="AR74" s="48">
        <v>1</v>
      </c>
      <c r="AS74" s="49">
        <v>1.9230769230769231</v>
      </c>
      <c r="AT74" s="48">
        <v>0</v>
      </c>
      <c r="AU74" s="49">
        <v>0</v>
      </c>
      <c r="AV74" s="48">
        <v>50</v>
      </c>
      <c r="AW74" s="49">
        <v>96.15384615384616</v>
      </c>
      <c r="AX74" s="48">
        <v>52</v>
      </c>
      <c r="AY74" s="48"/>
      <c r="AZ74" s="48"/>
      <c r="BA74" s="48"/>
      <c r="BB74" s="48"/>
      <c r="BC74" s="2"/>
      <c r="BD74" s="3"/>
      <c r="BE74" s="3"/>
      <c r="BF74" s="3"/>
      <c r="BG74" s="3"/>
    </row>
    <row r="75" spans="1:59" ht="15">
      <c r="A75" s="66" t="s">
        <v>400</v>
      </c>
      <c r="B75" s="67"/>
      <c r="C75" s="67"/>
      <c r="D75" s="68">
        <v>234.5558169752387</v>
      </c>
      <c r="E75" s="70"/>
      <c r="F75" s="96" t="str">
        <f>HYPERLINK("https://i.ytimg.com/vi/32zh2VVt0zc/default.jpg")</f>
        <v>https://i.ytimg.com/vi/32zh2VVt0zc/default.jpg</v>
      </c>
      <c r="G75" s="67"/>
      <c r="H75" s="71" t="s">
        <v>736</v>
      </c>
      <c r="I75" s="72"/>
      <c r="J75" s="72" t="s">
        <v>159</v>
      </c>
      <c r="K75" s="71" t="s">
        <v>736</v>
      </c>
      <c r="L75" s="75">
        <v>1250.75</v>
      </c>
      <c r="M75" s="76">
        <v>5841.12890625</v>
      </c>
      <c r="N75" s="76">
        <v>2731.7900390625</v>
      </c>
      <c r="O75" s="77"/>
      <c r="P75" s="78"/>
      <c r="Q75" s="78"/>
      <c r="R75" s="82"/>
      <c r="S75" s="48">
        <v>1</v>
      </c>
      <c r="T75" s="48">
        <v>0</v>
      </c>
      <c r="U75" s="49">
        <v>0</v>
      </c>
      <c r="V75" s="49">
        <v>0.000912</v>
      </c>
      <c r="W75" s="49">
        <v>0.001461</v>
      </c>
      <c r="X75" s="49">
        <v>0.439553</v>
      </c>
      <c r="Y75" s="49">
        <v>0</v>
      </c>
      <c r="Z75" s="49">
        <v>0</v>
      </c>
      <c r="AA75" s="73">
        <v>75</v>
      </c>
      <c r="AB75" s="73"/>
      <c r="AC75" s="74"/>
      <c r="AD75" s="80" t="s">
        <v>736</v>
      </c>
      <c r="AE75" s="80" t="s">
        <v>1066</v>
      </c>
      <c r="AF75" s="80" t="s">
        <v>1394</v>
      </c>
      <c r="AG75" s="80" t="s">
        <v>1638</v>
      </c>
      <c r="AH75" s="80" t="s">
        <v>1789</v>
      </c>
      <c r="AI75" s="80">
        <v>1741961</v>
      </c>
      <c r="AJ75" s="80">
        <v>14685</v>
      </c>
      <c r="AK75" s="80">
        <v>43499</v>
      </c>
      <c r="AL75" s="80">
        <v>5073</v>
      </c>
      <c r="AM75" s="80" t="s">
        <v>2047</v>
      </c>
      <c r="AN75" s="98" t="str">
        <f>HYPERLINK("https://www.youtube.com/watch?v=32zh2VVt0zc")</f>
        <v>https://www.youtube.com/watch?v=32zh2VVt0zc</v>
      </c>
      <c r="AO75" s="80" t="str">
        <f>REPLACE(INDEX(GroupVertices[Group],MATCH(Vertices[[#This Row],[Vertex]],GroupVertices[Vertex],0)),1,1,"")</f>
        <v>6</v>
      </c>
      <c r="AP75" s="48">
        <v>1</v>
      </c>
      <c r="AQ75" s="49">
        <v>1.492537313432836</v>
      </c>
      <c r="AR75" s="48">
        <v>3</v>
      </c>
      <c r="AS75" s="49">
        <v>4.477611940298507</v>
      </c>
      <c r="AT75" s="48">
        <v>0</v>
      </c>
      <c r="AU75" s="49">
        <v>0</v>
      </c>
      <c r="AV75" s="48">
        <v>63</v>
      </c>
      <c r="AW75" s="49">
        <v>94.02985074626865</v>
      </c>
      <c r="AX75" s="48">
        <v>67</v>
      </c>
      <c r="AY75" s="48"/>
      <c r="AZ75" s="48"/>
      <c r="BA75" s="48"/>
      <c r="BB75" s="48"/>
      <c r="BC75" s="2"/>
      <c r="BD75" s="3"/>
      <c r="BE75" s="3"/>
      <c r="BF75" s="3"/>
      <c r="BG75" s="3"/>
    </row>
    <row r="76" spans="1:59" ht="15">
      <c r="A76" s="66" t="s">
        <v>401</v>
      </c>
      <c r="B76" s="67"/>
      <c r="C76" s="67"/>
      <c r="D76" s="68">
        <v>178.02619231581048</v>
      </c>
      <c r="E76" s="70"/>
      <c r="F76" s="96" t="str">
        <f>HYPERLINK("https://i.ytimg.com/vi/vhcqouX49I0/default.jpg")</f>
        <v>https://i.ytimg.com/vi/vhcqouX49I0/default.jpg</v>
      </c>
      <c r="G76" s="67"/>
      <c r="H76" s="71" t="s">
        <v>737</v>
      </c>
      <c r="I76" s="72"/>
      <c r="J76" s="72" t="s">
        <v>159</v>
      </c>
      <c r="K76" s="71" t="s">
        <v>737</v>
      </c>
      <c r="L76" s="75">
        <v>1250.75</v>
      </c>
      <c r="M76" s="76">
        <v>4185.9755859375</v>
      </c>
      <c r="N76" s="76">
        <v>407.3627624511719</v>
      </c>
      <c r="O76" s="77"/>
      <c r="P76" s="78"/>
      <c r="Q76" s="78"/>
      <c r="R76" s="82"/>
      <c r="S76" s="48">
        <v>1</v>
      </c>
      <c r="T76" s="48">
        <v>0</v>
      </c>
      <c r="U76" s="49">
        <v>0</v>
      </c>
      <c r="V76" s="49">
        <v>0.000912</v>
      </c>
      <c r="W76" s="49">
        <v>0.001461</v>
      </c>
      <c r="X76" s="49">
        <v>0.439553</v>
      </c>
      <c r="Y76" s="49">
        <v>0</v>
      </c>
      <c r="Z76" s="49">
        <v>0</v>
      </c>
      <c r="AA76" s="73">
        <v>76</v>
      </c>
      <c r="AB76" s="73"/>
      <c r="AC76" s="74"/>
      <c r="AD76" s="80" t="s">
        <v>737</v>
      </c>
      <c r="AE76" s="80" t="s">
        <v>1067</v>
      </c>
      <c r="AF76" s="80" t="s">
        <v>1395</v>
      </c>
      <c r="AG76" s="80" t="s">
        <v>1647</v>
      </c>
      <c r="AH76" s="80" t="s">
        <v>1790</v>
      </c>
      <c r="AI76" s="80">
        <v>1107341</v>
      </c>
      <c r="AJ76" s="80">
        <v>5874</v>
      </c>
      <c r="AK76" s="80">
        <v>28194</v>
      </c>
      <c r="AL76" s="80">
        <v>704</v>
      </c>
      <c r="AM76" s="80" t="s">
        <v>2047</v>
      </c>
      <c r="AN76" s="98" t="str">
        <f>HYPERLINK("https://www.youtube.com/watch?v=vhcqouX49I0")</f>
        <v>https://www.youtube.com/watch?v=vhcqouX49I0</v>
      </c>
      <c r="AO76" s="80" t="str">
        <f>REPLACE(INDEX(GroupVertices[Group],MATCH(Vertices[[#This Row],[Vertex]],GroupVertices[Vertex],0)),1,1,"")</f>
        <v>6</v>
      </c>
      <c r="AP76" s="48">
        <v>0</v>
      </c>
      <c r="AQ76" s="49">
        <v>0</v>
      </c>
      <c r="AR76" s="48">
        <v>1</v>
      </c>
      <c r="AS76" s="49">
        <v>33.333333333333336</v>
      </c>
      <c r="AT76" s="48">
        <v>0</v>
      </c>
      <c r="AU76" s="49">
        <v>0</v>
      </c>
      <c r="AV76" s="48">
        <v>2</v>
      </c>
      <c r="AW76" s="49">
        <v>66.66666666666667</v>
      </c>
      <c r="AX76" s="48">
        <v>3</v>
      </c>
      <c r="AY76" s="48"/>
      <c r="AZ76" s="48"/>
      <c r="BA76" s="48"/>
      <c r="BB76" s="48"/>
      <c r="BC76" s="2"/>
      <c r="BD76" s="3"/>
      <c r="BE76" s="3"/>
      <c r="BF76" s="3"/>
      <c r="BG76" s="3"/>
    </row>
    <row r="77" spans="1:59" ht="15">
      <c r="A77" s="66" t="s">
        <v>402</v>
      </c>
      <c r="B77" s="67"/>
      <c r="C77" s="67"/>
      <c r="D77" s="68">
        <v>385.9666157382395</v>
      </c>
      <c r="E77" s="70"/>
      <c r="F77" s="96" t="str">
        <f>HYPERLINK("https://i.ytimg.com/vi/zlmarLZpsyQ/default.jpg")</f>
        <v>https://i.ytimg.com/vi/zlmarLZpsyQ/default.jpg</v>
      </c>
      <c r="G77" s="67"/>
      <c r="H77" s="71" t="s">
        <v>738</v>
      </c>
      <c r="I77" s="72"/>
      <c r="J77" s="72" t="s">
        <v>159</v>
      </c>
      <c r="K77" s="71" t="s">
        <v>738</v>
      </c>
      <c r="L77" s="75">
        <v>1250.75</v>
      </c>
      <c r="M77" s="76">
        <v>4217.7978515625</v>
      </c>
      <c r="N77" s="76">
        <v>1185.496337890625</v>
      </c>
      <c r="O77" s="77"/>
      <c r="P77" s="78"/>
      <c r="Q77" s="78"/>
      <c r="R77" s="82"/>
      <c r="S77" s="48">
        <v>1</v>
      </c>
      <c r="T77" s="48">
        <v>0</v>
      </c>
      <c r="U77" s="49">
        <v>0</v>
      </c>
      <c r="V77" s="49">
        <v>0.000912</v>
      </c>
      <c r="W77" s="49">
        <v>0.001461</v>
      </c>
      <c r="X77" s="49">
        <v>0.439553</v>
      </c>
      <c r="Y77" s="49">
        <v>0</v>
      </c>
      <c r="Z77" s="49">
        <v>0</v>
      </c>
      <c r="AA77" s="73">
        <v>77</v>
      </c>
      <c r="AB77" s="73"/>
      <c r="AC77" s="74"/>
      <c r="AD77" s="80" t="s">
        <v>738</v>
      </c>
      <c r="AE77" s="80" t="s">
        <v>1068</v>
      </c>
      <c r="AF77" s="80" t="s">
        <v>1396</v>
      </c>
      <c r="AG77" s="80" t="s">
        <v>1649</v>
      </c>
      <c r="AH77" s="80" t="s">
        <v>1791</v>
      </c>
      <c r="AI77" s="80">
        <v>3441748</v>
      </c>
      <c r="AJ77" s="80">
        <v>42122</v>
      </c>
      <c r="AK77" s="80">
        <v>103325</v>
      </c>
      <c r="AL77" s="80">
        <v>5363</v>
      </c>
      <c r="AM77" s="80" t="s">
        <v>2047</v>
      </c>
      <c r="AN77" s="98" t="str">
        <f>HYPERLINK("https://www.youtube.com/watch?v=zlmarLZpsyQ")</f>
        <v>https://www.youtube.com/watch?v=zlmarLZpsyQ</v>
      </c>
      <c r="AO77" s="80" t="str">
        <f>REPLACE(INDEX(GroupVertices[Group],MATCH(Vertices[[#This Row],[Vertex]],GroupVertices[Vertex],0)),1,1,"")</f>
        <v>6</v>
      </c>
      <c r="AP77" s="48">
        <v>0</v>
      </c>
      <c r="AQ77" s="49">
        <v>0</v>
      </c>
      <c r="AR77" s="48">
        <v>0</v>
      </c>
      <c r="AS77" s="49">
        <v>0</v>
      </c>
      <c r="AT77" s="48">
        <v>0</v>
      </c>
      <c r="AU77" s="49">
        <v>0</v>
      </c>
      <c r="AV77" s="48">
        <v>13</v>
      </c>
      <c r="AW77" s="49">
        <v>100</v>
      </c>
      <c r="AX77" s="48">
        <v>13</v>
      </c>
      <c r="AY77" s="48"/>
      <c r="AZ77" s="48"/>
      <c r="BA77" s="48"/>
      <c r="BB77" s="48"/>
      <c r="BC77" s="2"/>
      <c r="BD77" s="3"/>
      <c r="BE77" s="3"/>
      <c r="BF77" s="3"/>
      <c r="BG77" s="3"/>
    </row>
    <row r="78" spans="1:59" ht="15">
      <c r="A78" s="66" t="s">
        <v>403</v>
      </c>
      <c r="B78" s="67"/>
      <c r="C78" s="67"/>
      <c r="D78" s="68">
        <v>422.5247022236165</v>
      </c>
      <c r="E78" s="70"/>
      <c r="F78" s="96" t="str">
        <f>HYPERLINK("https://i.ytimg.com/vi/NTKLRgkzrQE/default.jpg")</f>
        <v>https://i.ytimg.com/vi/NTKLRgkzrQE/default.jpg</v>
      </c>
      <c r="G78" s="67"/>
      <c r="H78" s="71" t="s">
        <v>739</v>
      </c>
      <c r="I78" s="72"/>
      <c r="J78" s="72" t="s">
        <v>159</v>
      </c>
      <c r="K78" s="71" t="s">
        <v>739</v>
      </c>
      <c r="L78" s="75">
        <v>1250.75</v>
      </c>
      <c r="M78" s="76">
        <v>3971.458984375</v>
      </c>
      <c r="N78" s="76">
        <v>1726.0771484375</v>
      </c>
      <c r="O78" s="77"/>
      <c r="P78" s="78"/>
      <c r="Q78" s="78"/>
      <c r="R78" s="82"/>
      <c r="S78" s="48">
        <v>1</v>
      </c>
      <c r="T78" s="48">
        <v>0</v>
      </c>
      <c r="U78" s="49">
        <v>0</v>
      </c>
      <c r="V78" s="49">
        <v>0.000912</v>
      </c>
      <c r="W78" s="49">
        <v>0.001461</v>
      </c>
      <c r="X78" s="49">
        <v>0.439553</v>
      </c>
      <c r="Y78" s="49">
        <v>0</v>
      </c>
      <c r="Z78" s="49">
        <v>0</v>
      </c>
      <c r="AA78" s="73">
        <v>78</v>
      </c>
      <c r="AB78" s="73"/>
      <c r="AC78" s="74"/>
      <c r="AD78" s="80" t="s">
        <v>739</v>
      </c>
      <c r="AE78" s="80" t="s">
        <v>1069</v>
      </c>
      <c r="AF78" s="80" t="s">
        <v>1397</v>
      </c>
      <c r="AG78" s="80" t="s">
        <v>1650</v>
      </c>
      <c r="AH78" s="80" t="s">
        <v>1792</v>
      </c>
      <c r="AI78" s="80">
        <v>3852161</v>
      </c>
      <c r="AJ78" s="80">
        <v>10931</v>
      </c>
      <c r="AK78" s="80">
        <v>108912</v>
      </c>
      <c r="AL78" s="80">
        <v>5416</v>
      </c>
      <c r="AM78" s="80" t="s">
        <v>2047</v>
      </c>
      <c r="AN78" s="98" t="str">
        <f>HYPERLINK("https://www.youtube.com/watch?v=NTKLRgkzrQE")</f>
        <v>https://www.youtube.com/watch?v=NTKLRgkzrQE</v>
      </c>
      <c r="AO78" s="80" t="str">
        <f>REPLACE(INDEX(GroupVertices[Group],MATCH(Vertices[[#This Row],[Vertex]],GroupVertices[Vertex],0)),1,1,"")</f>
        <v>6</v>
      </c>
      <c r="AP78" s="48">
        <v>6</v>
      </c>
      <c r="AQ78" s="49">
        <v>20</v>
      </c>
      <c r="AR78" s="48">
        <v>2</v>
      </c>
      <c r="AS78" s="49">
        <v>6.666666666666667</v>
      </c>
      <c r="AT78" s="48">
        <v>0</v>
      </c>
      <c r="AU78" s="49">
        <v>0</v>
      </c>
      <c r="AV78" s="48">
        <v>22</v>
      </c>
      <c r="AW78" s="49">
        <v>73.33333333333333</v>
      </c>
      <c r="AX78" s="48">
        <v>30</v>
      </c>
      <c r="AY78" s="48"/>
      <c r="AZ78" s="48"/>
      <c r="BA78" s="48"/>
      <c r="BB78" s="48"/>
      <c r="BC78" s="2"/>
      <c r="BD78" s="3"/>
      <c r="BE78" s="3"/>
      <c r="BF78" s="3"/>
      <c r="BG78" s="3"/>
    </row>
    <row r="79" spans="1:59" ht="15">
      <c r="A79" s="66" t="s">
        <v>404</v>
      </c>
      <c r="B79" s="67"/>
      <c r="C79" s="67"/>
      <c r="D79" s="68">
        <v>109.27164216099192</v>
      </c>
      <c r="E79" s="70"/>
      <c r="F79" s="96" t="str">
        <f>HYPERLINK("https://i.ytimg.com/vi/CcEwlL6PWBs/default.jpg")</f>
        <v>https://i.ytimg.com/vi/CcEwlL6PWBs/default.jpg</v>
      </c>
      <c r="G79" s="67"/>
      <c r="H79" s="71" t="s">
        <v>740</v>
      </c>
      <c r="I79" s="72"/>
      <c r="J79" s="72" t="s">
        <v>159</v>
      </c>
      <c r="K79" s="71" t="s">
        <v>740</v>
      </c>
      <c r="L79" s="75">
        <v>1250.75</v>
      </c>
      <c r="M79" s="76">
        <v>3576.64697265625</v>
      </c>
      <c r="N79" s="76">
        <v>2021.2064208984375</v>
      </c>
      <c r="O79" s="77"/>
      <c r="P79" s="78"/>
      <c r="Q79" s="78"/>
      <c r="R79" s="82"/>
      <c r="S79" s="48">
        <v>1</v>
      </c>
      <c r="T79" s="48">
        <v>0</v>
      </c>
      <c r="U79" s="49">
        <v>0</v>
      </c>
      <c r="V79" s="49">
        <v>0.000912</v>
      </c>
      <c r="W79" s="49">
        <v>0.001461</v>
      </c>
      <c r="X79" s="49">
        <v>0.439553</v>
      </c>
      <c r="Y79" s="49">
        <v>0</v>
      </c>
      <c r="Z79" s="49">
        <v>0</v>
      </c>
      <c r="AA79" s="73">
        <v>79</v>
      </c>
      <c r="AB79" s="73"/>
      <c r="AC79" s="74"/>
      <c r="AD79" s="80" t="s">
        <v>740</v>
      </c>
      <c r="AE79" s="80" t="s">
        <v>1070</v>
      </c>
      <c r="AF79" s="80" t="s">
        <v>1390</v>
      </c>
      <c r="AG79" s="80" t="s">
        <v>1647</v>
      </c>
      <c r="AH79" s="80" t="s">
        <v>1793</v>
      </c>
      <c r="AI79" s="80">
        <v>335480</v>
      </c>
      <c r="AJ79" s="80">
        <v>2171</v>
      </c>
      <c r="AK79" s="80">
        <v>11559</v>
      </c>
      <c r="AL79" s="80">
        <v>123</v>
      </c>
      <c r="AM79" s="80" t="s">
        <v>2047</v>
      </c>
      <c r="AN79" s="98" t="str">
        <f>HYPERLINK("https://www.youtube.com/watch?v=CcEwlL6PWBs")</f>
        <v>https://www.youtube.com/watch?v=CcEwlL6PWBs</v>
      </c>
      <c r="AO79" s="80" t="str">
        <f>REPLACE(INDEX(GroupVertices[Group],MATCH(Vertices[[#This Row],[Vertex]],GroupVertices[Vertex],0)),1,1,"")</f>
        <v>6</v>
      </c>
      <c r="AP79" s="48">
        <v>0</v>
      </c>
      <c r="AQ79" s="49">
        <v>0</v>
      </c>
      <c r="AR79" s="48">
        <v>0</v>
      </c>
      <c r="AS79" s="49">
        <v>0</v>
      </c>
      <c r="AT79" s="48">
        <v>0</v>
      </c>
      <c r="AU79" s="49">
        <v>0</v>
      </c>
      <c r="AV79" s="48">
        <v>1</v>
      </c>
      <c r="AW79" s="49">
        <v>100</v>
      </c>
      <c r="AX79" s="48">
        <v>1</v>
      </c>
      <c r="AY79" s="48"/>
      <c r="AZ79" s="48"/>
      <c r="BA79" s="48"/>
      <c r="BB79" s="48"/>
      <c r="BC79" s="2"/>
      <c r="BD79" s="3"/>
      <c r="BE79" s="3"/>
      <c r="BF79" s="3"/>
      <c r="BG79" s="3"/>
    </row>
    <row r="80" spans="1:59" ht="15">
      <c r="A80" s="66" t="s">
        <v>405</v>
      </c>
      <c r="B80" s="67"/>
      <c r="C80" s="67"/>
      <c r="D80" s="68">
        <v>284.42725271150306</v>
      </c>
      <c r="E80" s="70"/>
      <c r="F80" s="96" t="str">
        <f>HYPERLINK("https://i.ytimg.com/vi/hwwryUU7pQQ/default.jpg")</f>
        <v>https://i.ytimg.com/vi/hwwryUU7pQQ/default.jpg</v>
      </c>
      <c r="G80" s="67"/>
      <c r="H80" s="71" t="s">
        <v>741</v>
      </c>
      <c r="I80" s="72"/>
      <c r="J80" s="72" t="s">
        <v>159</v>
      </c>
      <c r="K80" s="71" t="s">
        <v>741</v>
      </c>
      <c r="L80" s="75">
        <v>1250.75</v>
      </c>
      <c r="M80" s="76">
        <v>4514.89990234375</v>
      </c>
      <c r="N80" s="76">
        <v>2223.910888671875</v>
      </c>
      <c r="O80" s="77"/>
      <c r="P80" s="78"/>
      <c r="Q80" s="78"/>
      <c r="R80" s="82"/>
      <c r="S80" s="48">
        <v>1</v>
      </c>
      <c r="T80" s="48">
        <v>0</v>
      </c>
      <c r="U80" s="49">
        <v>0</v>
      </c>
      <c r="V80" s="49">
        <v>0.000912</v>
      </c>
      <c r="W80" s="49">
        <v>0.001461</v>
      </c>
      <c r="X80" s="49">
        <v>0.439553</v>
      </c>
      <c r="Y80" s="49">
        <v>0</v>
      </c>
      <c r="Z80" s="49">
        <v>0</v>
      </c>
      <c r="AA80" s="73">
        <v>80</v>
      </c>
      <c r="AB80" s="73"/>
      <c r="AC80" s="74"/>
      <c r="AD80" s="80" t="s">
        <v>741</v>
      </c>
      <c r="AE80" s="80" t="s">
        <v>1071</v>
      </c>
      <c r="AF80" s="80" t="s">
        <v>1398</v>
      </c>
      <c r="AG80" s="80" t="s">
        <v>1650</v>
      </c>
      <c r="AH80" s="80" t="s">
        <v>1794</v>
      </c>
      <c r="AI80" s="80">
        <v>2301834</v>
      </c>
      <c r="AJ80" s="80">
        <v>12955</v>
      </c>
      <c r="AK80" s="80">
        <v>39989</v>
      </c>
      <c r="AL80" s="80">
        <v>1468</v>
      </c>
      <c r="AM80" s="80" t="s">
        <v>2047</v>
      </c>
      <c r="AN80" s="98" t="str">
        <f>HYPERLINK("https://www.youtube.com/watch?v=hwwryUU7pQQ")</f>
        <v>https://www.youtube.com/watch?v=hwwryUU7pQQ</v>
      </c>
      <c r="AO80" s="80" t="str">
        <f>REPLACE(INDEX(GroupVertices[Group],MATCH(Vertices[[#This Row],[Vertex]],GroupVertices[Vertex],0)),1,1,"")</f>
        <v>6</v>
      </c>
      <c r="AP80" s="48">
        <v>6</v>
      </c>
      <c r="AQ80" s="49">
        <v>14.634146341463415</v>
      </c>
      <c r="AR80" s="48">
        <v>4</v>
      </c>
      <c r="AS80" s="49">
        <v>9.75609756097561</v>
      </c>
      <c r="AT80" s="48">
        <v>0</v>
      </c>
      <c r="AU80" s="49">
        <v>0</v>
      </c>
      <c r="AV80" s="48">
        <v>31</v>
      </c>
      <c r="AW80" s="49">
        <v>75.60975609756098</v>
      </c>
      <c r="AX80" s="48">
        <v>41</v>
      </c>
      <c r="AY80" s="48"/>
      <c r="AZ80" s="48"/>
      <c r="BA80" s="48"/>
      <c r="BB80" s="48"/>
      <c r="BC80" s="2"/>
      <c r="BD80" s="3"/>
      <c r="BE80" s="3"/>
      <c r="BF80" s="3"/>
      <c r="BG80" s="3"/>
    </row>
    <row r="81" spans="1:59" ht="15">
      <c r="A81" s="66" t="s">
        <v>406</v>
      </c>
      <c r="B81" s="67"/>
      <c r="C81" s="67"/>
      <c r="D81" s="68">
        <v>122.22512301248423</v>
      </c>
      <c r="E81" s="70"/>
      <c r="F81" s="96" t="str">
        <f>HYPERLINK("https://i.ytimg.com/vi/aiMstewMvSo/default.jpg")</f>
        <v>https://i.ytimg.com/vi/aiMstewMvSo/default.jpg</v>
      </c>
      <c r="G81" s="67"/>
      <c r="H81" s="71" t="s">
        <v>742</v>
      </c>
      <c r="I81" s="72"/>
      <c r="J81" s="72" t="s">
        <v>159</v>
      </c>
      <c r="K81" s="71" t="s">
        <v>742</v>
      </c>
      <c r="L81" s="75">
        <v>1250.75</v>
      </c>
      <c r="M81" s="76">
        <v>7005.96337890625</v>
      </c>
      <c r="N81" s="76">
        <v>1980.9281005859375</v>
      </c>
      <c r="O81" s="77"/>
      <c r="P81" s="78"/>
      <c r="Q81" s="78"/>
      <c r="R81" s="82"/>
      <c r="S81" s="48">
        <v>1</v>
      </c>
      <c r="T81" s="48">
        <v>0</v>
      </c>
      <c r="U81" s="49">
        <v>0</v>
      </c>
      <c r="V81" s="49">
        <v>0.000912</v>
      </c>
      <c r="W81" s="49">
        <v>0.001461</v>
      </c>
      <c r="X81" s="49">
        <v>0.439553</v>
      </c>
      <c r="Y81" s="49">
        <v>0</v>
      </c>
      <c r="Z81" s="49">
        <v>0</v>
      </c>
      <c r="AA81" s="73">
        <v>81</v>
      </c>
      <c r="AB81" s="73"/>
      <c r="AC81" s="74"/>
      <c r="AD81" s="80" t="s">
        <v>742</v>
      </c>
      <c r="AE81" s="80" t="s">
        <v>1072</v>
      </c>
      <c r="AF81" s="80" t="s">
        <v>1399</v>
      </c>
      <c r="AG81" s="80" t="s">
        <v>1651</v>
      </c>
      <c r="AH81" s="80" t="s">
        <v>1795</v>
      </c>
      <c r="AI81" s="80">
        <v>480900</v>
      </c>
      <c r="AJ81" s="80">
        <v>2270</v>
      </c>
      <c r="AK81" s="80">
        <v>12505</v>
      </c>
      <c r="AL81" s="80">
        <v>331</v>
      </c>
      <c r="AM81" s="80" t="s">
        <v>2047</v>
      </c>
      <c r="AN81" s="98" t="str">
        <f>HYPERLINK("https://www.youtube.com/watch?v=aiMstewMvSo")</f>
        <v>https://www.youtube.com/watch?v=aiMstewMvSo</v>
      </c>
      <c r="AO81" s="80" t="str">
        <f>REPLACE(INDEX(GroupVertices[Group],MATCH(Vertices[[#This Row],[Vertex]],GroupVertices[Vertex],0)),1,1,"")</f>
        <v>6</v>
      </c>
      <c r="AP81" s="48">
        <v>8</v>
      </c>
      <c r="AQ81" s="49">
        <v>13.793103448275861</v>
      </c>
      <c r="AR81" s="48">
        <v>2</v>
      </c>
      <c r="AS81" s="49">
        <v>3.4482758620689653</v>
      </c>
      <c r="AT81" s="48">
        <v>0</v>
      </c>
      <c r="AU81" s="49">
        <v>0</v>
      </c>
      <c r="AV81" s="48">
        <v>48</v>
      </c>
      <c r="AW81" s="49">
        <v>82.75862068965517</v>
      </c>
      <c r="AX81" s="48">
        <v>58</v>
      </c>
      <c r="AY81" s="48"/>
      <c r="AZ81" s="48"/>
      <c r="BA81" s="48"/>
      <c r="BB81" s="48"/>
      <c r="BC81" s="2"/>
      <c r="BD81" s="3"/>
      <c r="BE81" s="3"/>
      <c r="BF81" s="3"/>
      <c r="BG81" s="3"/>
    </row>
    <row r="82" spans="1:59" ht="15">
      <c r="A82" s="66" t="s">
        <v>407</v>
      </c>
      <c r="B82" s="67"/>
      <c r="C82" s="67"/>
      <c r="D82" s="68">
        <v>159.1806681112525</v>
      </c>
      <c r="E82" s="70"/>
      <c r="F82" s="96" t="str">
        <f>HYPERLINK("https://i.ytimg.com/vi/nVAGDYDeADQ/default.jpg")</f>
        <v>https://i.ytimg.com/vi/nVAGDYDeADQ/default.jpg</v>
      </c>
      <c r="G82" s="67"/>
      <c r="H82" s="71" t="s">
        <v>743</v>
      </c>
      <c r="I82" s="72"/>
      <c r="J82" s="72" t="s">
        <v>159</v>
      </c>
      <c r="K82" s="71" t="s">
        <v>743</v>
      </c>
      <c r="L82" s="75">
        <v>1250.75</v>
      </c>
      <c r="M82" s="76">
        <v>6111.39306640625</v>
      </c>
      <c r="N82" s="76">
        <v>2254.2685546875</v>
      </c>
      <c r="O82" s="77"/>
      <c r="P82" s="78"/>
      <c r="Q82" s="78"/>
      <c r="R82" s="82"/>
      <c r="S82" s="48">
        <v>1</v>
      </c>
      <c r="T82" s="48">
        <v>0</v>
      </c>
      <c r="U82" s="49">
        <v>0</v>
      </c>
      <c r="V82" s="49">
        <v>0.000912</v>
      </c>
      <c r="W82" s="49">
        <v>0.001461</v>
      </c>
      <c r="X82" s="49">
        <v>0.439553</v>
      </c>
      <c r="Y82" s="49">
        <v>0</v>
      </c>
      <c r="Z82" s="49">
        <v>0</v>
      </c>
      <c r="AA82" s="73">
        <v>82</v>
      </c>
      <c r="AB82" s="73"/>
      <c r="AC82" s="74"/>
      <c r="AD82" s="80" t="s">
        <v>743</v>
      </c>
      <c r="AE82" s="80" t="s">
        <v>1073</v>
      </c>
      <c r="AF82" s="80"/>
      <c r="AG82" s="80" t="s">
        <v>1647</v>
      </c>
      <c r="AH82" s="80" t="s">
        <v>1796</v>
      </c>
      <c r="AI82" s="80">
        <v>895775</v>
      </c>
      <c r="AJ82" s="80">
        <v>6204</v>
      </c>
      <c r="AK82" s="80">
        <v>21041</v>
      </c>
      <c r="AL82" s="80">
        <v>318</v>
      </c>
      <c r="AM82" s="80" t="s">
        <v>2047</v>
      </c>
      <c r="AN82" s="98" t="str">
        <f>HYPERLINK("https://www.youtube.com/watch?v=nVAGDYDeADQ")</f>
        <v>https://www.youtube.com/watch?v=nVAGDYDeADQ</v>
      </c>
      <c r="AO82" s="80" t="str">
        <f>REPLACE(INDEX(GroupVertices[Group],MATCH(Vertices[[#This Row],[Vertex]],GroupVertices[Vertex],0)),1,1,"")</f>
        <v>6</v>
      </c>
      <c r="AP82" s="48"/>
      <c r="AQ82" s="49"/>
      <c r="AR82" s="48"/>
      <c r="AS82" s="49"/>
      <c r="AT82" s="48"/>
      <c r="AU82" s="49"/>
      <c r="AV82" s="48"/>
      <c r="AW82" s="49"/>
      <c r="AX82" s="48"/>
      <c r="AY82" s="48"/>
      <c r="AZ82" s="48"/>
      <c r="BA82" s="48"/>
      <c r="BB82" s="48"/>
      <c r="BC82" s="2"/>
      <c r="BD82" s="3"/>
      <c r="BE82" s="3"/>
      <c r="BF82" s="3"/>
      <c r="BG82" s="3"/>
    </row>
    <row r="83" spans="1:59" ht="15">
      <c r="A83" s="66" t="s">
        <v>408</v>
      </c>
      <c r="B83" s="67"/>
      <c r="C83" s="67"/>
      <c r="D83" s="68">
        <v>93.21108961660383</v>
      </c>
      <c r="E83" s="70"/>
      <c r="F83" s="96" t="str">
        <f>HYPERLINK("https://i.ytimg.com/vi/gZoYxZtjGyg/default.jpg")</f>
        <v>https://i.ytimg.com/vi/gZoYxZtjGyg/default.jpg</v>
      </c>
      <c r="G83" s="67"/>
      <c r="H83" s="71" t="s">
        <v>744</v>
      </c>
      <c r="I83" s="72"/>
      <c r="J83" s="72" t="s">
        <v>159</v>
      </c>
      <c r="K83" s="71" t="s">
        <v>744</v>
      </c>
      <c r="L83" s="75">
        <v>1250.75</v>
      </c>
      <c r="M83" s="76">
        <v>5028.53466796875</v>
      </c>
      <c r="N83" s="76">
        <v>144.4942169189453</v>
      </c>
      <c r="O83" s="77"/>
      <c r="P83" s="78"/>
      <c r="Q83" s="78"/>
      <c r="R83" s="82"/>
      <c r="S83" s="48">
        <v>1</v>
      </c>
      <c r="T83" s="48">
        <v>0</v>
      </c>
      <c r="U83" s="49">
        <v>0</v>
      </c>
      <c r="V83" s="49">
        <v>0.000912</v>
      </c>
      <c r="W83" s="49">
        <v>0.001461</v>
      </c>
      <c r="X83" s="49">
        <v>0.439553</v>
      </c>
      <c r="Y83" s="49">
        <v>0</v>
      </c>
      <c r="Z83" s="49">
        <v>0</v>
      </c>
      <c r="AA83" s="73">
        <v>83</v>
      </c>
      <c r="AB83" s="73"/>
      <c r="AC83" s="74"/>
      <c r="AD83" s="80" t="s">
        <v>744</v>
      </c>
      <c r="AE83" s="80" t="s">
        <v>1074</v>
      </c>
      <c r="AF83" s="80" t="s">
        <v>1400</v>
      </c>
      <c r="AG83" s="80" t="s">
        <v>1638</v>
      </c>
      <c r="AH83" s="80" t="s">
        <v>1797</v>
      </c>
      <c r="AI83" s="80">
        <v>155179</v>
      </c>
      <c r="AJ83" s="80">
        <v>1192</v>
      </c>
      <c r="AK83" s="80">
        <v>3279</v>
      </c>
      <c r="AL83" s="80">
        <v>121</v>
      </c>
      <c r="AM83" s="80" t="s">
        <v>2047</v>
      </c>
      <c r="AN83" s="98" t="str">
        <f>HYPERLINK("https://www.youtube.com/watch?v=gZoYxZtjGyg")</f>
        <v>https://www.youtube.com/watch?v=gZoYxZtjGyg</v>
      </c>
      <c r="AO83" s="80" t="str">
        <f>REPLACE(INDEX(GroupVertices[Group],MATCH(Vertices[[#This Row],[Vertex]],GroupVertices[Vertex],0)),1,1,"")</f>
        <v>6</v>
      </c>
      <c r="AP83" s="48">
        <v>2</v>
      </c>
      <c r="AQ83" s="49">
        <v>3.1746031746031744</v>
      </c>
      <c r="AR83" s="48">
        <v>4</v>
      </c>
      <c r="AS83" s="49">
        <v>6.349206349206349</v>
      </c>
      <c r="AT83" s="48">
        <v>0</v>
      </c>
      <c r="AU83" s="49">
        <v>0</v>
      </c>
      <c r="AV83" s="48">
        <v>57</v>
      </c>
      <c r="AW83" s="49">
        <v>90.47619047619048</v>
      </c>
      <c r="AX83" s="48">
        <v>63</v>
      </c>
      <c r="AY83" s="48"/>
      <c r="AZ83" s="48"/>
      <c r="BA83" s="48"/>
      <c r="BB83" s="48"/>
      <c r="BC83" s="2"/>
      <c r="BD83" s="3"/>
      <c r="BE83" s="3"/>
      <c r="BF83" s="3"/>
      <c r="BG83" s="3"/>
    </row>
    <row r="84" spans="1:59" ht="15">
      <c r="A84" s="66" t="s">
        <v>409</v>
      </c>
      <c r="B84" s="67"/>
      <c r="C84" s="67"/>
      <c r="D84" s="68">
        <v>92.57036352827495</v>
      </c>
      <c r="E84" s="70"/>
      <c r="F84" s="96" t="str">
        <f>HYPERLINK("https://i.ytimg.com/vi/V522Hs8E6NU/default.jpg")</f>
        <v>https://i.ytimg.com/vi/V522Hs8E6NU/default.jpg</v>
      </c>
      <c r="G84" s="67"/>
      <c r="H84" s="71" t="s">
        <v>745</v>
      </c>
      <c r="I84" s="72"/>
      <c r="J84" s="72" t="s">
        <v>75</v>
      </c>
      <c r="K84" s="71" t="s">
        <v>745</v>
      </c>
      <c r="L84" s="75">
        <v>5000</v>
      </c>
      <c r="M84" s="76">
        <v>7235.55908203125</v>
      </c>
      <c r="N84" s="76">
        <v>4794.3994140625</v>
      </c>
      <c r="O84" s="77"/>
      <c r="P84" s="78"/>
      <c r="Q84" s="78"/>
      <c r="R84" s="82"/>
      <c r="S84" s="48">
        <v>4</v>
      </c>
      <c r="T84" s="48">
        <v>0</v>
      </c>
      <c r="U84" s="49">
        <v>359.508104</v>
      </c>
      <c r="V84" s="49">
        <v>0.001117</v>
      </c>
      <c r="W84" s="49">
        <v>0.008683</v>
      </c>
      <c r="X84" s="49">
        <v>1.195222</v>
      </c>
      <c r="Y84" s="49">
        <v>0.3333333333333333</v>
      </c>
      <c r="Z84" s="49">
        <v>0</v>
      </c>
      <c r="AA84" s="73">
        <v>84</v>
      </c>
      <c r="AB84" s="73"/>
      <c r="AC84" s="74"/>
      <c r="AD84" s="80" t="s">
        <v>745</v>
      </c>
      <c r="AE84" s="80" t="s">
        <v>1075</v>
      </c>
      <c r="AF84" s="80" t="s">
        <v>1401</v>
      </c>
      <c r="AG84" s="80" t="s">
        <v>1652</v>
      </c>
      <c r="AH84" s="80" t="s">
        <v>1798</v>
      </c>
      <c r="AI84" s="80">
        <v>147986</v>
      </c>
      <c r="AJ84" s="80">
        <v>1413</v>
      </c>
      <c r="AK84" s="80">
        <v>2000</v>
      </c>
      <c r="AL84" s="80">
        <v>1141</v>
      </c>
      <c r="AM84" s="80" t="s">
        <v>2047</v>
      </c>
      <c r="AN84" s="98" t="str">
        <f>HYPERLINK("https://www.youtube.com/watch?v=V522Hs8E6NU")</f>
        <v>https://www.youtube.com/watch?v=V522Hs8E6NU</v>
      </c>
      <c r="AO84" s="80" t="str">
        <f>REPLACE(INDEX(GroupVertices[Group],MATCH(Vertices[[#This Row],[Vertex]],GroupVertices[Vertex],0)),1,1,"")</f>
        <v>7</v>
      </c>
      <c r="AP84" s="48">
        <v>1</v>
      </c>
      <c r="AQ84" s="49">
        <v>1.7543859649122806</v>
      </c>
      <c r="AR84" s="48">
        <v>1</v>
      </c>
      <c r="AS84" s="49">
        <v>1.7543859649122806</v>
      </c>
      <c r="AT84" s="48">
        <v>0</v>
      </c>
      <c r="AU84" s="49">
        <v>0</v>
      </c>
      <c r="AV84" s="48">
        <v>55</v>
      </c>
      <c r="AW84" s="49">
        <v>96.49122807017544</v>
      </c>
      <c r="AX84" s="48">
        <v>57</v>
      </c>
      <c r="AY84" s="48"/>
      <c r="AZ84" s="48"/>
      <c r="BA84" s="48"/>
      <c r="BB84" s="48"/>
      <c r="BC84" s="2"/>
      <c r="BD84" s="3"/>
      <c r="BE84" s="3"/>
      <c r="BF84" s="3"/>
      <c r="BG84" s="3"/>
    </row>
    <row r="85" spans="1:59" ht="15">
      <c r="A85" s="66" t="s">
        <v>410</v>
      </c>
      <c r="B85" s="67"/>
      <c r="C85" s="67"/>
      <c r="D85" s="68">
        <v>107.05943134441365</v>
      </c>
      <c r="E85" s="70"/>
      <c r="F85" s="96" t="str">
        <f>HYPERLINK("https://i.ytimg.com/vi/HrUYKKaUDHo/default.jpg")</f>
        <v>https://i.ytimg.com/vi/HrUYKKaUDHo/default.jpg</v>
      </c>
      <c r="G85" s="67"/>
      <c r="H85" s="71" t="s">
        <v>746</v>
      </c>
      <c r="I85" s="72"/>
      <c r="J85" s="72" t="s">
        <v>75</v>
      </c>
      <c r="K85" s="71" t="s">
        <v>746</v>
      </c>
      <c r="L85" s="75">
        <v>3750.25</v>
      </c>
      <c r="M85" s="76">
        <v>8163.39453125</v>
      </c>
      <c r="N85" s="76">
        <v>888.025634765625</v>
      </c>
      <c r="O85" s="77"/>
      <c r="P85" s="78"/>
      <c r="Q85" s="78"/>
      <c r="R85" s="82"/>
      <c r="S85" s="48">
        <v>3</v>
      </c>
      <c r="T85" s="48">
        <v>0</v>
      </c>
      <c r="U85" s="49">
        <v>202.451963</v>
      </c>
      <c r="V85" s="49">
        <v>0.00108</v>
      </c>
      <c r="W85" s="49">
        <v>0.006353</v>
      </c>
      <c r="X85" s="49">
        <v>0.939648</v>
      </c>
      <c r="Y85" s="49">
        <v>0.3333333333333333</v>
      </c>
      <c r="Z85" s="49">
        <v>0</v>
      </c>
      <c r="AA85" s="73">
        <v>85</v>
      </c>
      <c r="AB85" s="73"/>
      <c r="AC85" s="74"/>
      <c r="AD85" s="80" t="s">
        <v>746</v>
      </c>
      <c r="AE85" s="80" t="s">
        <v>1076</v>
      </c>
      <c r="AF85" s="80" t="s">
        <v>1402</v>
      </c>
      <c r="AG85" s="80" t="s">
        <v>1653</v>
      </c>
      <c r="AH85" s="80" t="s">
        <v>1799</v>
      </c>
      <c r="AI85" s="80">
        <v>310645</v>
      </c>
      <c r="AJ85" s="80">
        <v>4820</v>
      </c>
      <c r="AK85" s="80">
        <v>6295</v>
      </c>
      <c r="AL85" s="80">
        <v>510</v>
      </c>
      <c r="AM85" s="80" t="s">
        <v>2047</v>
      </c>
      <c r="AN85" s="98" t="str">
        <f>HYPERLINK("https://www.youtube.com/watch?v=HrUYKKaUDHo")</f>
        <v>https://www.youtube.com/watch?v=HrUYKKaUDHo</v>
      </c>
      <c r="AO85" s="80" t="str">
        <f>REPLACE(INDEX(GroupVertices[Group],MATCH(Vertices[[#This Row],[Vertex]],GroupVertices[Vertex],0)),1,1,"")</f>
        <v>8</v>
      </c>
      <c r="AP85" s="48">
        <v>0</v>
      </c>
      <c r="AQ85" s="49">
        <v>0</v>
      </c>
      <c r="AR85" s="48">
        <v>7</v>
      </c>
      <c r="AS85" s="49">
        <v>12.068965517241379</v>
      </c>
      <c r="AT85" s="48">
        <v>0</v>
      </c>
      <c r="AU85" s="49">
        <v>0</v>
      </c>
      <c r="AV85" s="48">
        <v>51</v>
      </c>
      <c r="AW85" s="49">
        <v>87.93103448275862</v>
      </c>
      <c r="AX85" s="48">
        <v>58</v>
      </c>
      <c r="AY85" s="48"/>
      <c r="AZ85" s="48"/>
      <c r="BA85" s="48"/>
      <c r="BB85" s="48"/>
      <c r="BC85" s="2"/>
      <c r="BD85" s="3"/>
      <c r="BE85" s="3"/>
      <c r="BF85" s="3"/>
      <c r="BG85" s="3"/>
    </row>
    <row r="86" spans="1:59" ht="15">
      <c r="A86" s="66" t="s">
        <v>411</v>
      </c>
      <c r="B86" s="67"/>
      <c r="C86" s="67"/>
      <c r="D86" s="68">
        <v>95.41563986824448</v>
      </c>
      <c r="E86" s="70"/>
      <c r="F86" s="96" t="str">
        <f>HYPERLINK("https://i.ytimg.com/vi/XrXzkPygrCo/default.jpg")</f>
        <v>https://i.ytimg.com/vi/XrXzkPygrCo/default.jpg</v>
      </c>
      <c r="G86" s="67"/>
      <c r="H86" s="71" t="s">
        <v>747</v>
      </c>
      <c r="I86" s="72"/>
      <c r="J86" s="72" t="s">
        <v>75</v>
      </c>
      <c r="K86" s="71" t="s">
        <v>747</v>
      </c>
      <c r="L86" s="75">
        <v>2500.5</v>
      </c>
      <c r="M86" s="76">
        <v>7524.09716796875</v>
      </c>
      <c r="N86" s="76">
        <v>1292.739990234375</v>
      </c>
      <c r="O86" s="77"/>
      <c r="P86" s="78"/>
      <c r="Q86" s="78"/>
      <c r="R86" s="82"/>
      <c r="S86" s="48">
        <v>2</v>
      </c>
      <c r="T86" s="48">
        <v>0</v>
      </c>
      <c r="U86" s="49">
        <v>94.884712</v>
      </c>
      <c r="V86" s="49">
        <v>0.001053</v>
      </c>
      <c r="W86" s="49">
        <v>0.003939</v>
      </c>
      <c r="X86" s="49">
        <v>0.686495</v>
      </c>
      <c r="Y86" s="49">
        <v>0</v>
      </c>
      <c r="Z86" s="49">
        <v>0</v>
      </c>
      <c r="AA86" s="73">
        <v>86</v>
      </c>
      <c r="AB86" s="73"/>
      <c r="AC86" s="74"/>
      <c r="AD86" s="80" t="s">
        <v>747</v>
      </c>
      <c r="AE86" s="80" t="s">
        <v>1077</v>
      </c>
      <c r="AF86" s="80" t="s">
        <v>1403</v>
      </c>
      <c r="AG86" s="80" t="s">
        <v>1654</v>
      </c>
      <c r="AH86" s="80" t="s">
        <v>1800</v>
      </c>
      <c r="AI86" s="80">
        <v>179928</v>
      </c>
      <c r="AJ86" s="80">
        <v>2957</v>
      </c>
      <c r="AK86" s="80">
        <v>3260</v>
      </c>
      <c r="AL86" s="80">
        <v>341</v>
      </c>
      <c r="AM86" s="80" t="s">
        <v>2047</v>
      </c>
      <c r="AN86" s="98" t="str">
        <f>HYPERLINK("https://www.youtube.com/watch?v=XrXzkPygrCo")</f>
        <v>https://www.youtube.com/watch?v=XrXzkPygrCo</v>
      </c>
      <c r="AO86" s="80" t="str">
        <f>REPLACE(INDEX(GroupVertices[Group],MATCH(Vertices[[#This Row],[Vertex]],GroupVertices[Vertex],0)),1,1,"")</f>
        <v>8</v>
      </c>
      <c r="AP86" s="48">
        <v>0</v>
      </c>
      <c r="AQ86" s="49">
        <v>0</v>
      </c>
      <c r="AR86" s="48">
        <v>3</v>
      </c>
      <c r="AS86" s="49">
        <v>5.2631578947368425</v>
      </c>
      <c r="AT86" s="48">
        <v>0</v>
      </c>
      <c r="AU86" s="49">
        <v>0</v>
      </c>
      <c r="AV86" s="48">
        <v>54</v>
      </c>
      <c r="AW86" s="49">
        <v>94.73684210526316</v>
      </c>
      <c r="AX86" s="48">
        <v>57</v>
      </c>
      <c r="AY86" s="48"/>
      <c r="AZ86" s="48"/>
      <c r="BA86" s="48"/>
      <c r="BB86" s="48"/>
      <c r="BC86" s="2"/>
      <c r="BD86" s="3"/>
      <c r="BE86" s="3"/>
      <c r="BF86" s="3"/>
      <c r="BG86" s="3"/>
    </row>
    <row r="87" spans="1:59" ht="15">
      <c r="A87" s="66" t="s">
        <v>329</v>
      </c>
      <c r="B87" s="67"/>
      <c r="C87" s="67"/>
      <c r="D87" s="68">
        <v>875.2925053881502</v>
      </c>
      <c r="E87" s="70"/>
      <c r="F87" s="96" t="str">
        <f>HYPERLINK("https://i.ytimg.com/vi/QgpfNScEd3M/default.jpg")</f>
        <v>https://i.ytimg.com/vi/QgpfNScEd3M/default.jpg</v>
      </c>
      <c r="G87" s="67"/>
      <c r="H87" s="71" t="s">
        <v>748</v>
      </c>
      <c r="I87" s="72"/>
      <c r="J87" s="72" t="s">
        <v>75</v>
      </c>
      <c r="K87" s="71" t="s">
        <v>748</v>
      </c>
      <c r="L87" s="75">
        <v>6249.75</v>
      </c>
      <c r="M87" s="76">
        <v>2281.44921875</v>
      </c>
      <c r="N87" s="76">
        <v>7225.10986328125</v>
      </c>
      <c r="O87" s="77"/>
      <c r="P87" s="78"/>
      <c r="Q87" s="78"/>
      <c r="R87" s="82"/>
      <c r="S87" s="48">
        <v>5</v>
      </c>
      <c r="T87" s="48">
        <v>50</v>
      </c>
      <c r="U87" s="49">
        <v>35868.168421</v>
      </c>
      <c r="V87" s="49">
        <v>0.001524</v>
      </c>
      <c r="W87" s="49">
        <v>0.034493</v>
      </c>
      <c r="X87" s="49">
        <v>15.656998</v>
      </c>
      <c r="Y87" s="49">
        <v>0.03265602322206096</v>
      </c>
      <c r="Z87" s="49">
        <v>0.03773584905660377</v>
      </c>
      <c r="AA87" s="73">
        <v>87</v>
      </c>
      <c r="AB87" s="73"/>
      <c r="AC87" s="74"/>
      <c r="AD87" s="80" t="s">
        <v>748</v>
      </c>
      <c r="AE87" s="80" t="s">
        <v>1078</v>
      </c>
      <c r="AF87" s="80" t="s">
        <v>1404</v>
      </c>
      <c r="AG87" s="80" t="s">
        <v>1655</v>
      </c>
      <c r="AH87" s="80" t="s">
        <v>1801</v>
      </c>
      <c r="AI87" s="80">
        <v>8935080</v>
      </c>
      <c r="AJ87" s="80">
        <v>37818</v>
      </c>
      <c r="AK87" s="80">
        <v>80346</v>
      </c>
      <c r="AL87" s="80">
        <v>13871</v>
      </c>
      <c r="AM87" s="80" t="s">
        <v>2047</v>
      </c>
      <c r="AN87" s="98" t="str">
        <f>HYPERLINK("https://www.youtube.com/watch?v=QgpfNScEd3M")</f>
        <v>https://www.youtube.com/watch?v=QgpfNScEd3M</v>
      </c>
      <c r="AO87" s="80" t="str">
        <f>REPLACE(INDEX(GroupVertices[Group],MATCH(Vertices[[#This Row],[Vertex]],GroupVertices[Vertex],0)),1,1,"")</f>
        <v>1</v>
      </c>
      <c r="AP87" s="48">
        <v>3</v>
      </c>
      <c r="AQ87" s="49">
        <v>6.122448979591836</v>
      </c>
      <c r="AR87" s="48">
        <v>3</v>
      </c>
      <c r="AS87" s="49">
        <v>6.122448979591836</v>
      </c>
      <c r="AT87" s="48">
        <v>0</v>
      </c>
      <c r="AU87" s="49">
        <v>0</v>
      </c>
      <c r="AV87" s="48">
        <v>43</v>
      </c>
      <c r="AW87" s="49">
        <v>87.75510204081633</v>
      </c>
      <c r="AX87" s="48">
        <v>49</v>
      </c>
      <c r="AY87" s="119" t="s">
        <v>3491</v>
      </c>
      <c r="AZ87" s="119" t="s">
        <v>3491</v>
      </c>
      <c r="BA87" s="119" t="s">
        <v>3491</v>
      </c>
      <c r="BB87" s="119" t="s">
        <v>3491</v>
      </c>
      <c r="BC87" s="2"/>
      <c r="BD87" s="3"/>
      <c r="BE87" s="3"/>
      <c r="BF87" s="3"/>
      <c r="BG87" s="3"/>
    </row>
    <row r="88" spans="1:59" ht="15">
      <c r="A88" s="66" t="s">
        <v>412</v>
      </c>
      <c r="B88" s="67"/>
      <c r="C88" s="67"/>
      <c r="D88" s="68">
        <v>143.53289531013087</v>
      </c>
      <c r="E88" s="70"/>
      <c r="F88" s="96" t="str">
        <f>HYPERLINK("https://i.ytimg.com/vi/npYocgDntyY/default.jpg")</f>
        <v>https://i.ytimg.com/vi/npYocgDntyY/default.jpg</v>
      </c>
      <c r="G88" s="67"/>
      <c r="H88" s="71" t="s">
        <v>749</v>
      </c>
      <c r="I88" s="72"/>
      <c r="J88" s="72" t="s">
        <v>75</v>
      </c>
      <c r="K88" s="71" t="s">
        <v>749</v>
      </c>
      <c r="L88" s="75">
        <v>5000</v>
      </c>
      <c r="M88" s="76">
        <v>5967.02490234375</v>
      </c>
      <c r="N88" s="76">
        <v>1729.683349609375</v>
      </c>
      <c r="O88" s="77"/>
      <c r="P88" s="78"/>
      <c r="Q88" s="78"/>
      <c r="R88" s="82"/>
      <c r="S88" s="48">
        <v>4</v>
      </c>
      <c r="T88" s="48">
        <v>0</v>
      </c>
      <c r="U88" s="49">
        <v>359.508104</v>
      </c>
      <c r="V88" s="49">
        <v>0.001117</v>
      </c>
      <c r="W88" s="49">
        <v>0.008683</v>
      </c>
      <c r="X88" s="49">
        <v>1.195222</v>
      </c>
      <c r="Y88" s="49">
        <v>0.3333333333333333</v>
      </c>
      <c r="Z88" s="49">
        <v>0</v>
      </c>
      <c r="AA88" s="73">
        <v>88</v>
      </c>
      <c r="AB88" s="73"/>
      <c r="AC88" s="74"/>
      <c r="AD88" s="80" t="s">
        <v>749</v>
      </c>
      <c r="AE88" s="80" t="s">
        <v>1079</v>
      </c>
      <c r="AF88" s="80" t="s">
        <v>1405</v>
      </c>
      <c r="AG88" s="80" t="s">
        <v>1653</v>
      </c>
      <c r="AH88" s="80" t="s">
        <v>1802</v>
      </c>
      <c r="AI88" s="80">
        <v>720108</v>
      </c>
      <c r="AJ88" s="80">
        <v>9763</v>
      </c>
      <c r="AK88" s="80">
        <v>7586</v>
      </c>
      <c r="AL88" s="80">
        <v>1562</v>
      </c>
      <c r="AM88" s="80" t="s">
        <v>2047</v>
      </c>
      <c r="AN88" s="98" t="str">
        <f>HYPERLINK("https://www.youtube.com/watch?v=npYocgDntyY")</f>
        <v>https://www.youtube.com/watch?v=npYocgDntyY</v>
      </c>
      <c r="AO88" s="80" t="str">
        <f>REPLACE(INDEX(GroupVertices[Group],MATCH(Vertices[[#This Row],[Vertex]],GroupVertices[Vertex],0)),1,1,"")</f>
        <v>6</v>
      </c>
      <c r="AP88" s="48">
        <v>0</v>
      </c>
      <c r="AQ88" s="49">
        <v>0</v>
      </c>
      <c r="AR88" s="48">
        <v>10</v>
      </c>
      <c r="AS88" s="49">
        <v>17.54385964912281</v>
      </c>
      <c r="AT88" s="48">
        <v>0</v>
      </c>
      <c r="AU88" s="49">
        <v>0</v>
      </c>
      <c r="AV88" s="48">
        <v>47</v>
      </c>
      <c r="AW88" s="49">
        <v>82.45614035087719</v>
      </c>
      <c r="AX88" s="48">
        <v>57</v>
      </c>
      <c r="AY88" s="48"/>
      <c r="AZ88" s="48"/>
      <c r="BA88" s="48"/>
      <c r="BB88" s="48"/>
      <c r="BC88" s="2"/>
      <c r="BD88" s="3"/>
      <c r="BE88" s="3"/>
      <c r="BF88" s="3"/>
      <c r="BG88" s="3"/>
    </row>
    <row r="89" spans="1:59" ht="15">
      <c r="A89" s="66" t="s">
        <v>328</v>
      </c>
      <c r="B89" s="67"/>
      <c r="C89" s="67"/>
      <c r="D89" s="68">
        <v>294.39320231366105</v>
      </c>
      <c r="E89" s="70"/>
      <c r="F89" s="96" t="str">
        <f>HYPERLINK("https://i.ytimg.com/vi/Rzxr9FeZf1g/default.jpg")</f>
        <v>https://i.ytimg.com/vi/Rzxr9FeZf1g/default.jpg</v>
      </c>
      <c r="G89" s="67"/>
      <c r="H89" s="71" t="s">
        <v>750</v>
      </c>
      <c r="I89" s="72"/>
      <c r="J89" s="72" t="s">
        <v>75</v>
      </c>
      <c r="K89" s="71" t="s">
        <v>750</v>
      </c>
      <c r="L89" s="75">
        <v>7499.5</v>
      </c>
      <c r="M89" s="76">
        <v>8415.5966796875</v>
      </c>
      <c r="N89" s="76">
        <v>7979.9189453125</v>
      </c>
      <c r="O89" s="77"/>
      <c r="P89" s="78"/>
      <c r="Q89" s="78"/>
      <c r="R89" s="82"/>
      <c r="S89" s="48">
        <v>6</v>
      </c>
      <c r="T89" s="48">
        <v>50</v>
      </c>
      <c r="U89" s="49">
        <v>24599.649373</v>
      </c>
      <c r="V89" s="49">
        <v>0.001332</v>
      </c>
      <c r="W89" s="49">
        <v>0.02698</v>
      </c>
      <c r="X89" s="49">
        <v>18.660989</v>
      </c>
      <c r="Y89" s="49">
        <v>0.01816911250873515</v>
      </c>
      <c r="Z89" s="49">
        <v>0.037037037037037035</v>
      </c>
      <c r="AA89" s="73">
        <v>89</v>
      </c>
      <c r="AB89" s="73"/>
      <c r="AC89" s="74"/>
      <c r="AD89" s="80" t="s">
        <v>750</v>
      </c>
      <c r="AE89" s="80" t="s">
        <v>1080</v>
      </c>
      <c r="AF89" s="80" t="s">
        <v>1406</v>
      </c>
      <c r="AG89" s="80" t="s">
        <v>1656</v>
      </c>
      <c r="AH89" s="80" t="s">
        <v>1803</v>
      </c>
      <c r="AI89" s="80">
        <v>2413715</v>
      </c>
      <c r="AJ89" s="80">
        <v>33826</v>
      </c>
      <c r="AK89" s="80">
        <v>69784</v>
      </c>
      <c r="AL89" s="80">
        <v>5638</v>
      </c>
      <c r="AM89" s="80" t="s">
        <v>2047</v>
      </c>
      <c r="AN89" s="98" t="str">
        <f>HYPERLINK("https://www.youtube.com/watch?v=Rzxr9FeZf1g")</f>
        <v>https://www.youtube.com/watch?v=Rzxr9FeZf1g</v>
      </c>
      <c r="AO89" s="80" t="str">
        <f>REPLACE(INDEX(GroupVertices[Group],MATCH(Vertices[[#This Row],[Vertex]],GroupVertices[Vertex],0)),1,1,"")</f>
        <v>5</v>
      </c>
      <c r="AP89" s="48">
        <v>0</v>
      </c>
      <c r="AQ89" s="49">
        <v>0</v>
      </c>
      <c r="AR89" s="48">
        <v>6</v>
      </c>
      <c r="AS89" s="49">
        <v>15</v>
      </c>
      <c r="AT89" s="48">
        <v>0</v>
      </c>
      <c r="AU89" s="49">
        <v>0</v>
      </c>
      <c r="AV89" s="48">
        <v>34</v>
      </c>
      <c r="AW89" s="49">
        <v>85</v>
      </c>
      <c r="AX89" s="48">
        <v>40</v>
      </c>
      <c r="AY89" s="119" t="s">
        <v>3491</v>
      </c>
      <c r="AZ89" s="119" t="s">
        <v>3491</v>
      </c>
      <c r="BA89" s="119" t="s">
        <v>3491</v>
      </c>
      <c r="BB89" s="119" t="s">
        <v>3491</v>
      </c>
      <c r="BC89" s="2"/>
      <c r="BD89" s="3"/>
      <c r="BE89" s="3"/>
      <c r="BF89" s="3"/>
      <c r="BG89" s="3"/>
    </row>
    <row r="90" spans="1:59" ht="15">
      <c r="A90" s="66" t="s">
        <v>413</v>
      </c>
      <c r="B90" s="67"/>
      <c r="C90" s="67"/>
      <c r="D90" s="68">
        <v>516.3020423654802</v>
      </c>
      <c r="E90" s="70"/>
      <c r="F90" s="96" t="str">
        <f>HYPERLINK("https://i.ytimg.com/vi/M5F2tU5V9Mw/default.jpg")</f>
        <v>https://i.ytimg.com/vi/M5F2tU5V9Mw/default.jpg</v>
      </c>
      <c r="G90" s="67"/>
      <c r="H90" s="71" t="s">
        <v>751</v>
      </c>
      <c r="I90" s="72"/>
      <c r="J90" s="72" t="s">
        <v>75</v>
      </c>
      <c r="K90" s="71" t="s">
        <v>751</v>
      </c>
      <c r="L90" s="75">
        <v>3750.25</v>
      </c>
      <c r="M90" s="76">
        <v>1570.086181640625</v>
      </c>
      <c r="N90" s="76">
        <v>3129.433837890625</v>
      </c>
      <c r="O90" s="77"/>
      <c r="P90" s="78"/>
      <c r="Q90" s="78"/>
      <c r="R90" s="82"/>
      <c r="S90" s="48">
        <v>3</v>
      </c>
      <c r="T90" s="48">
        <v>0</v>
      </c>
      <c r="U90" s="49">
        <v>28000</v>
      </c>
      <c r="V90" s="49">
        <v>0.001185</v>
      </c>
      <c r="W90" s="49">
        <v>0.004039</v>
      </c>
      <c r="X90" s="49">
        <v>1.081011</v>
      </c>
      <c r="Y90" s="49">
        <v>0.16666666666666666</v>
      </c>
      <c r="Z90" s="49">
        <v>0</v>
      </c>
      <c r="AA90" s="73">
        <v>90</v>
      </c>
      <c r="AB90" s="73"/>
      <c r="AC90" s="74"/>
      <c r="AD90" s="80" t="s">
        <v>751</v>
      </c>
      <c r="AE90" s="80" t="s">
        <v>1081</v>
      </c>
      <c r="AF90" s="80" t="s">
        <v>1407</v>
      </c>
      <c r="AG90" s="80" t="s">
        <v>1657</v>
      </c>
      <c r="AH90" s="80" t="s">
        <v>1804</v>
      </c>
      <c r="AI90" s="80">
        <v>4904936</v>
      </c>
      <c r="AJ90" s="80">
        <v>2614</v>
      </c>
      <c r="AK90" s="80">
        <v>37154</v>
      </c>
      <c r="AL90" s="80">
        <v>1012</v>
      </c>
      <c r="AM90" s="80" t="s">
        <v>2047</v>
      </c>
      <c r="AN90" s="98" t="str">
        <f>HYPERLINK("https://www.youtube.com/watch?v=M5F2tU5V9Mw")</f>
        <v>https://www.youtube.com/watch?v=M5F2tU5V9Mw</v>
      </c>
      <c r="AO90" s="80" t="str">
        <f>REPLACE(INDEX(GroupVertices[Group],MATCH(Vertices[[#This Row],[Vertex]],GroupVertices[Vertex],0)),1,1,"")</f>
        <v>2</v>
      </c>
      <c r="AP90" s="48">
        <v>2</v>
      </c>
      <c r="AQ90" s="49">
        <v>3.508771929824561</v>
      </c>
      <c r="AR90" s="48">
        <v>1</v>
      </c>
      <c r="AS90" s="49">
        <v>1.7543859649122806</v>
      </c>
      <c r="AT90" s="48">
        <v>0</v>
      </c>
      <c r="AU90" s="49">
        <v>0</v>
      </c>
      <c r="AV90" s="48">
        <v>54</v>
      </c>
      <c r="AW90" s="49">
        <v>94.73684210526316</v>
      </c>
      <c r="AX90" s="48">
        <v>57</v>
      </c>
      <c r="AY90" s="48"/>
      <c r="AZ90" s="48"/>
      <c r="BA90" s="48"/>
      <c r="BB90" s="48"/>
      <c r="BC90" s="2"/>
      <c r="BD90" s="3"/>
      <c r="BE90" s="3"/>
      <c r="BF90" s="3"/>
      <c r="BG90" s="3"/>
    </row>
    <row r="91" spans="1:59" ht="15">
      <c r="A91" s="66" t="s">
        <v>414</v>
      </c>
      <c r="B91" s="67"/>
      <c r="C91" s="67"/>
      <c r="D91" s="68">
        <v>258.5693720699211</v>
      </c>
      <c r="E91" s="70"/>
      <c r="F91" s="96" t="str">
        <f>HYPERLINK("https://i.ytimg.com/vi/XbapWiUq94o/default.jpg")</f>
        <v>https://i.ytimg.com/vi/XbapWiUq94o/default.jpg</v>
      </c>
      <c r="G91" s="67"/>
      <c r="H91" s="71" t="s">
        <v>752</v>
      </c>
      <c r="I91" s="72"/>
      <c r="J91" s="72" t="s">
        <v>75</v>
      </c>
      <c r="K91" s="71" t="s">
        <v>752</v>
      </c>
      <c r="L91" s="75">
        <v>2500.5</v>
      </c>
      <c r="M91" s="76">
        <v>9590.37890625</v>
      </c>
      <c r="N91" s="76">
        <v>611.3955688476562</v>
      </c>
      <c r="O91" s="77"/>
      <c r="P91" s="78"/>
      <c r="Q91" s="78"/>
      <c r="R91" s="82"/>
      <c r="S91" s="48">
        <v>2</v>
      </c>
      <c r="T91" s="48">
        <v>0</v>
      </c>
      <c r="U91" s="49">
        <v>94.884712</v>
      </c>
      <c r="V91" s="49">
        <v>0.001053</v>
      </c>
      <c r="W91" s="49">
        <v>0.003939</v>
      </c>
      <c r="X91" s="49">
        <v>0.686495</v>
      </c>
      <c r="Y91" s="49">
        <v>0</v>
      </c>
      <c r="Z91" s="49">
        <v>0</v>
      </c>
      <c r="AA91" s="73">
        <v>91</v>
      </c>
      <c r="AB91" s="73"/>
      <c r="AC91" s="74"/>
      <c r="AD91" s="80" t="s">
        <v>752</v>
      </c>
      <c r="AE91" s="80" t="s">
        <v>1082</v>
      </c>
      <c r="AF91" s="80" t="s">
        <v>1408</v>
      </c>
      <c r="AG91" s="80" t="s">
        <v>1647</v>
      </c>
      <c r="AH91" s="80" t="s">
        <v>1805</v>
      </c>
      <c r="AI91" s="80">
        <v>2011545</v>
      </c>
      <c r="AJ91" s="80">
        <v>12839</v>
      </c>
      <c r="AK91" s="80">
        <v>44794</v>
      </c>
      <c r="AL91" s="80">
        <v>1089</v>
      </c>
      <c r="AM91" s="80" t="s">
        <v>2047</v>
      </c>
      <c r="AN91" s="98" t="str">
        <f>HYPERLINK("https://www.youtube.com/watch?v=XbapWiUq94o")</f>
        <v>https://www.youtube.com/watch?v=XbapWiUq94o</v>
      </c>
      <c r="AO91" s="80" t="str">
        <f>REPLACE(INDEX(GroupVertices[Group],MATCH(Vertices[[#This Row],[Vertex]],GroupVertices[Vertex],0)),1,1,"")</f>
        <v>8</v>
      </c>
      <c r="AP91" s="48">
        <v>0</v>
      </c>
      <c r="AQ91" s="49">
        <v>0</v>
      </c>
      <c r="AR91" s="48">
        <v>0</v>
      </c>
      <c r="AS91" s="49">
        <v>0</v>
      </c>
      <c r="AT91" s="48">
        <v>0</v>
      </c>
      <c r="AU91" s="49">
        <v>0</v>
      </c>
      <c r="AV91" s="48">
        <v>4</v>
      </c>
      <c r="AW91" s="49">
        <v>100</v>
      </c>
      <c r="AX91" s="48">
        <v>4</v>
      </c>
      <c r="AY91" s="48"/>
      <c r="AZ91" s="48"/>
      <c r="BA91" s="48"/>
      <c r="BB91" s="48"/>
      <c r="BC91" s="2"/>
      <c r="BD91" s="3"/>
      <c r="BE91" s="3"/>
      <c r="BF91" s="3"/>
      <c r="BG91" s="3"/>
    </row>
    <row r="92" spans="1:59" ht="15">
      <c r="A92" s="66" t="s">
        <v>415</v>
      </c>
      <c r="B92" s="67"/>
      <c r="C92" s="67"/>
      <c r="D92" s="68">
        <v>539.9657056104537</v>
      </c>
      <c r="E92" s="70"/>
      <c r="F92" s="96" t="str">
        <f>HYPERLINK("https://i.ytimg.com/vi/urZLTobAfJc/default.jpg")</f>
        <v>https://i.ytimg.com/vi/urZLTobAfJc/default.jpg</v>
      </c>
      <c r="G92" s="67"/>
      <c r="H92" s="71" t="s">
        <v>753</v>
      </c>
      <c r="I92" s="72"/>
      <c r="J92" s="72" t="s">
        <v>75</v>
      </c>
      <c r="K92" s="71" t="s">
        <v>753</v>
      </c>
      <c r="L92" s="75">
        <v>6249.75</v>
      </c>
      <c r="M92" s="76">
        <v>2005.9853515625</v>
      </c>
      <c r="N92" s="76">
        <v>7734.34033203125</v>
      </c>
      <c r="O92" s="77"/>
      <c r="P92" s="78"/>
      <c r="Q92" s="78"/>
      <c r="R92" s="82"/>
      <c r="S92" s="48">
        <v>5</v>
      </c>
      <c r="T92" s="48">
        <v>0</v>
      </c>
      <c r="U92" s="49">
        <v>359.508104</v>
      </c>
      <c r="V92" s="49">
        <v>0.001142</v>
      </c>
      <c r="W92" s="49">
        <v>0.01123</v>
      </c>
      <c r="X92" s="49">
        <v>1.446324</v>
      </c>
      <c r="Y92" s="49">
        <v>0.45</v>
      </c>
      <c r="Z92" s="49">
        <v>0</v>
      </c>
      <c r="AA92" s="73">
        <v>92</v>
      </c>
      <c r="AB92" s="73"/>
      <c r="AC92" s="74"/>
      <c r="AD92" s="80" t="s">
        <v>753</v>
      </c>
      <c r="AE92" s="80" t="s">
        <v>1083</v>
      </c>
      <c r="AF92" s="80" t="s">
        <v>1409</v>
      </c>
      <c r="AG92" s="80" t="s">
        <v>1657</v>
      </c>
      <c r="AH92" s="80" t="s">
        <v>1806</v>
      </c>
      <c r="AI92" s="80">
        <v>5170592</v>
      </c>
      <c r="AJ92" s="80">
        <v>8360</v>
      </c>
      <c r="AK92" s="80">
        <v>77653</v>
      </c>
      <c r="AL92" s="80">
        <v>1112</v>
      </c>
      <c r="AM92" s="80" t="s">
        <v>2047</v>
      </c>
      <c r="AN92" s="98" t="str">
        <f>HYPERLINK("https://www.youtube.com/watch?v=urZLTobAfJc")</f>
        <v>https://www.youtube.com/watch?v=urZLTobAfJc</v>
      </c>
      <c r="AO92" s="80" t="str">
        <f>REPLACE(INDEX(GroupVertices[Group],MATCH(Vertices[[#This Row],[Vertex]],GroupVertices[Vertex],0)),1,1,"")</f>
        <v>1</v>
      </c>
      <c r="AP92" s="48">
        <v>2</v>
      </c>
      <c r="AQ92" s="49">
        <v>3.7735849056603774</v>
      </c>
      <c r="AR92" s="48">
        <v>1</v>
      </c>
      <c r="AS92" s="49">
        <v>1.8867924528301887</v>
      </c>
      <c r="AT92" s="48">
        <v>0</v>
      </c>
      <c r="AU92" s="49">
        <v>0</v>
      </c>
      <c r="AV92" s="48">
        <v>50</v>
      </c>
      <c r="AW92" s="49">
        <v>94.33962264150944</v>
      </c>
      <c r="AX92" s="48">
        <v>53</v>
      </c>
      <c r="AY92" s="48"/>
      <c r="AZ92" s="48"/>
      <c r="BA92" s="48"/>
      <c r="BB92" s="48"/>
      <c r="BC92" s="2"/>
      <c r="BD92" s="3"/>
      <c r="BE92" s="3"/>
      <c r="BF92" s="3"/>
      <c r="BG92" s="3"/>
    </row>
    <row r="93" spans="1:59" ht="15">
      <c r="A93" s="66" t="s">
        <v>416</v>
      </c>
      <c r="B93" s="67"/>
      <c r="C93" s="67"/>
      <c r="D93" s="68">
        <v>296.96314369755873</v>
      </c>
      <c r="E93" s="70"/>
      <c r="F93" s="96" t="str">
        <f>HYPERLINK("https://i.ytimg.com/vi/gpEXtTzz5Aw/default.jpg")</f>
        <v>https://i.ytimg.com/vi/gpEXtTzz5Aw/default.jpg</v>
      </c>
      <c r="G93" s="67"/>
      <c r="H93" s="71" t="s">
        <v>754</v>
      </c>
      <c r="I93" s="72"/>
      <c r="J93" s="72" t="s">
        <v>75</v>
      </c>
      <c r="K93" s="71" t="s">
        <v>754</v>
      </c>
      <c r="L93" s="75">
        <v>6249.75</v>
      </c>
      <c r="M93" s="76">
        <v>1557.2459716796875</v>
      </c>
      <c r="N93" s="76">
        <v>8739.240234375</v>
      </c>
      <c r="O93" s="77"/>
      <c r="P93" s="78"/>
      <c r="Q93" s="78"/>
      <c r="R93" s="82"/>
      <c r="S93" s="48">
        <v>5</v>
      </c>
      <c r="T93" s="48">
        <v>0</v>
      </c>
      <c r="U93" s="49">
        <v>359.508104</v>
      </c>
      <c r="V93" s="49">
        <v>0.001142</v>
      </c>
      <c r="W93" s="49">
        <v>0.01123</v>
      </c>
      <c r="X93" s="49">
        <v>1.446324</v>
      </c>
      <c r="Y93" s="49">
        <v>0.45</v>
      </c>
      <c r="Z93" s="49">
        <v>0</v>
      </c>
      <c r="AA93" s="73">
        <v>93</v>
      </c>
      <c r="AB93" s="73"/>
      <c r="AC93" s="74"/>
      <c r="AD93" s="80" t="s">
        <v>754</v>
      </c>
      <c r="AE93" s="80" t="s">
        <v>1084</v>
      </c>
      <c r="AF93" s="80" t="s">
        <v>1410</v>
      </c>
      <c r="AG93" s="80" t="s">
        <v>1658</v>
      </c>
      <c r="AH93" s="80" t="s">
        <v>1807</v>
      </c>
      <c r="AI93" s="80">
        <v>2442566</v>
      </c>
      <c r="AJ93" s="80">
        <v>19629</v>
      </c>
      <c r="AK93" s="80">
        <v>64837</v>
      </c>
      <c r="AL93" s="80">
        <v>1614</v>
      </c>
      <c r="AM93" s="80" t="s">
        <v>2047</v>
      </c>
      <c r="AN93" s="98" t="str">
        <f>HYPERLINK("https://www.youtube.com/watch?v=gpEXtTzz5Aw")</f>
        <v>https://www.youtube.com/watch?v=gpEXtTzz5Aw</v>
      </c>
      <c r="AO93" s="80" t="str">
        <f>REPLACE(INDEX(GroupVertices[Group],MATCH(Vertices[[#This Row],[Vertex]],GroupVertices[Vertex],0)),1,1,"")</f>
        <v>1</v>
      </c>
      <c r="AP93" s="48">
        <v>0</v>
      </c>
      <c r="AQ93" s="49">
        <v>0</v>
      </c>
      <c r="AR93" s="48">
        <v>0</v>
      </c>
      <c r="AS93" s="49">
        <v>0</v>
      </c>
      <c r="AT93" s="48">
        <v>0</v>
      </c>
      <c r="AU93" s="49">
        <v>0</v>
      </c>
      <c r="AV93" s="48">
        <v>16</v>
      </c>
      <c r="AW93" s="49">
        <v>100</v>
      </c>
      <c r="AX93" s="48">
        <v>16</v>
      </c>
      <c r="AY93" s="48"/>
      <c r="AZ93" s="48"/>
      <c r="BA93" s="48"/>
      <c r="BB93" s="48"/>
      <c r="BC93" s="2"/>
      <c r="BD93" s="3"/>
      <c r="BE93" s="3"/>
      <c r="BF93" s="3"/>
      <c r="BG93" s="3"/>
    </row>
    <row r="94" spans="1:59" ht="15">
      <c r="A94" s="66" t="s">
        <v>417</v>
      </c>
      <c r="B94" s="67"/>
      <c r="C94" s="67"/>
      <c r="D94" s="68">
        <v>566.9746306720809</v>
      </c>
      <c r="E94" s="70"/>
      <c r="F94" s="96" t="str">
        <f>HYPERLINK("https://i.ytimg.com/vi/yqUFy-t4MlQ/default.jpg")</f>
        <v>https://i.ytimg.com/vi/yqUFy-t4MlQ/default.jpg</v>
      </c>
      <c r="G94" s="67"/>
      <c r="H94" s="71" t="s">
        <v>755</v>
      </c>
      <c r="I94" s="72"/>
      <c r="J94" s="72" t="s">
        <v>75</v>
      </c>
      <c r="K94" s="71" t="s">
        <v>755</v>
      </c>
      <c r="L94" s="75">
        <v>5000</v>
      </c>
      <c r="M94" s="76">
        <v>5283.162109375</v>
      </c>
      <c r="N94" s="76">
        <v>561.2811889648438</v>
      </c>
      <c r="O94" s="77"/>
      <c r="P94" s="78"/>
      <c r="Q94" s="78"/>
      <c r="R94" s="82"/>
      <c r="S94" s="48">
        <v>4</v>
      </c>
      <c r="T94" s="48">
        <v>0</v>
      </c>
      <c r="U94" s="49">
        <v>910.345029</v>
      </c>
      <c r="V94" s="49">
        <v>0.001159</v>
      </c>
      <c r="W94" s="49">
        <v>0.00735</v>
      </c>
      <c r="X94" s="49">
        <v>1.321386</v>
      </c>
      <c r="Y94" s="49">
        <v>0.4166666666666667</v>
      </c>
      <c r="Z94" s="49">
        <v>0</v>
      </c>
      <c r="AA94" s="73">
        <v>94</v>
      </c>
      <c r="AB94" s="73"/>
      <c r="AC94" s="74"/>
      <c r="AD94" s="80" t="s">
        <v>755</v>
      </c>
      <c r="AE94" s="80" t="s">
        <v>1085</v>
      </c>
      <c r="AF94" s="80" t="s">
        <v>1411</v>
      </c>
      <c r="AG94" s="80" t="s">
        <v>1659</v>
      </c>
      <c r="AH94" s="80" t="s">
        <v>1808</v>
      </c>
      <c r="AI94" s="80">
        <v>5473803</v>
      </c>
      <c r="AJ94" s="80">
        <v>6236</v>
      </c>
      <c r="AK94" s="80">
        <v>58999</v>
      </c>
      <c r="AL94" s="80">
        <v>1366</v>
      </c>
      <c r="AM94" s="80" t="s">
        <v>2047</v>
      </c>
      <c r="AN94" s="98" t="str">
        <f>HYPERLINK("https://www.youtube.com/watch?v=yqUFy-t4MlQ")</f>
        <v>https://www.youtube.com/watch?v=yqUFy-t4MlQ</v>
      </c>
      <c r="AO94" s="80" t="str">
        <f>REPLACE(INDEX(GroupVertices[Group],MATCH(Vertices[[#This Row],[Vertex]],GroupVertices[Vertex],0)),1,1,"")</f>
        <v>6</v>
      </c>
      <c r="AP94" s="48">
        <v>0</v>
      </c>
      <c r="AQ94" s="49">
        <v>0</v>
      </c>
      <c r="AR94" s="48">
        <v>1</v>
      </c>
      <c r="AS94" s="49">
        <v>6.25</v>
      </c>
      <c r="AT94" s="48">
        <v>0</v>
      </c>
      <c r="AU94" s="49">
        <v>0</v>
      </c>
      <c r="AV94" s="48">
        <v>15</v>
      </c>
      <c r="AW94" s="49">
        <v>93.75</v>
      </c>
      <c r="AX94" s="48">
        <v>16</v>
      </c>
      <c r="AY94" s="48"/>
      <c r="AZ94" s="48"/>
      <c r="BA94" s="48"/>
      <c r="BB94" s="48"/>
      <c r="BC94" s="2"/>
      <c r="BD94" s="3"/>
      <c r="BE94" s="3"/>
      <c r="BF94" s="3"/>
      <c r="BG94" s="3"/>
    </row>
    <row r="95" spans="1:59" ht="15">
      <c r="A95" s="66" t="s">
        <v>418</v>
      </c>
      <c r="B95" s="67"/>
      <c r="C95" s="67"/>
      <c r="D95" s="68">
        <v>141.48173450991555</v>
      </c>
      <c r="E95" s="70"/>
      <c r="F95" s="96" t="str">
        <f>HYPERLINK("https://i.ytimg.com/vi/o-nCSXX4H24/default.jpg")</f>
        <v>https://i.ytimg.com/vi/o-nCSXX4H24/default.jpg</v>
      </c>
      <c r="G95" s="67"/>
      <c r="H95" s="71" t="s">
        <v>756</v>
      </c>
      <c r="I95" s="72"/>
      <c r="J95" s="72" t="s">
        <v>75</v>
      </c>
      <c r="K95" s="71" t="s">
        <v>756</v>
      </c>
      <c r="L95" s="75">
        <v>7499.5</v>
      </c>
      <c r="M95" s="76">
        <v>1854.947509765625</v>
      </c>
      <c r="N95" s="76">
        <v>7211.68798828125</v>
      </c>
      <c r="O95" s="77"/>
      <c r="P95" s="78"/>
      <c r="Q95" s="78"/>
      <c r="R95" s="82"/>
      <c r="S95" s="48">
        <v>6</v>
      </c>
      <c r="T95" s="48">
        <v>0</v>
      </c>
      <c r="U95" s="49">
        <v>359.508104</v>
      </c>
      <c r="V95" s="49">
        <v>0.001195</v>
      </c>
      <c r="W95" s="49">
        <v>0.013331</v>
      </c>
      <c r="X95" s="49">
        <v>1.740893</v>
      </c>
      <c r="Y95" s="49">
        <v>0.4666666666666667</v>
      </c>
      <c r="Z95" s="49">
        <v>0</v>
      </c>
      <c r="AA95" s="73">
        <v>95</v>
      </c>
      <c r="AB95" s="73"/>
      <c r="AC95" s="74"/>
      <c r="AD95" s="80" t="s">
        <v>756</v>
      </c>
      <c r="AE95" s="80" t="s">
        <v>1086</v>
      </c>
      <c r="AF95" s="80" t="s">
        <v>1412</v>
      </c>
      <c r="AG95" s="80" t="s">
        <v>1660</v>
      </c>
      <c r="AH95" s="80" t="s">
        <v>1809</v>
      </c>
      <c r="AI95" s="80">
        <v>697081</v>
      </c>
      <c r="AJ95" s="80">
        <v>7728</v>
      </c>
      <c r="AK95" s="80">
        <v>26657</v>
      </c>
      <c r="AL95" s="80">
        <v>1510</v>
      </c>
      <c r="AM95" s="80" t="s">
        <v>2047</v>
      </c>
      <c r="AN95" s="98" t="str">
        <f>HYPERLINK("https://www.youtube.com/watch?v=o-nCSXX4H24")</f>
        <v>https://www.youtube.com/watch?v=o-nCSXX4H24</v>
      </c>
      <c r="AO95" s="80" t="str">
        <f>REPLACE(INDEX(GroupVertices[Group],MATCH(Vertices[[#This Row],[Vertex]],GroupVertices[Vertex],0)),1,1,"")</f>
        <v>1</v>
      </c>
      <c r="AP95" s="48">
        <v>0</v>
      </c>
      <c r="AQ95" s="49">
        <v>0</v>
      </c>
      <c r="AR95" s="48">
        <v>4</v>
      </c>
      <c r="AS95" s="49">
        <v>14.814814814814815</v>
      </c>
      <c r="AT95" s="48">
        <v>0</v>
      </c>
      <c r="AU95" s="49">
        <v>0</v>
      </c>
      <c r="AV95" s="48">
        <v>23</v>
      </c>
      <c r="AW95" s="49">
        <v>85.18518518518519</v>
      </c>
      <c r="AX95" s="48">
        <v>27</v>
      </c>
      <c r="AY95" s="48"/>
      <c r="AZ95" s="48"/>
      <c r="BA95" s="48"/>
      <c r="BB95" s="48"/>
      <c r="BC95" s="2"/>
      <c r="BD95" s="3"/>
      <c r="BE95" s="3"/>
      <c r="BF95" s="3"/>
      <c r="BG95" s="3"/>
    </row>
    <row r="96" spans="1:59" ht="15">
      <c r="A96" s="66" t="s">
        <v>419</v>
      </c>
      <c r="B96" s="67"/>
      <c r="C96" s="67"/>
      <c r="D96" s="68">
        <v>573.9017410550898</v>
      </c>
      <c r="E96" s="70"/>
      <c r="F96" s="96" t="str">
        <f>HYPERLINK("https://i.ytimg.com/vi/zacqRZH5t5s/default.jpg")</f>
        <v>https://i.ytimg.com/vi/zacqRZH5t5s/default.jpg</v>
      </c>
      <c r="G96" s="67"/>
      <c r="H96" s="71" t="s">
        <v>757</v>
      </c>
      <c r="I96" s="72"/>
      <c r="J96" s="72" t="s">
        <v>75</v>
      </c>
      <c r="K96" s="71" t="s">
        <v>757</v>
      </c>
      <c r="L96" s="75">
        <v>9999</v>
      </c>
      <c r="M96" s="76">
        <v>3612.8388671875</v>
      </c>
      <c r="N96" s="76">
        <v>916.4199829101562</v>
      </c>
      <c r="O96" s="77"/>
      <c r="P96" s="78"/>
      <c r="Q96" s="78"/>
      <c r="R96" s="82"/>
      <c r="S96" s="48">
        <v>8</v>
      </c>
      <c r="T96" s="48">
        <v>0</v>
      </c>
      <c r="U96" s="49">
        <v>1773.285881</v>
      </c>
      <c r="V96" s="49">
        <v>0.001332</v>
      </c>
      <c r="W96" s="49">
        <v>0.016696</v>
      </c>
      <c r="X96" s="49">
        <v>2.368742</v>
      </c>
      <c r="Y96" s="49">
        <v>0.5</v>
      </c>
      <c r="Z96" s="49">
        <v>0</v>
      </c>
      <c r="AA96" s="73">
        <v>96</v>
      </c>
      <c r="AB96" s="73"/>
      <c r="AC96" s="74"/>
      <c r="AD96" s="80" t="s">
        <v>757</v>
      </c>
      <c r="AE96" s="80" t="s">
        <v>1087</v>
      </c>
      <c r="AF96" s="80" t="s">
        <v>1413</v>
      </c>
      <c r="AG96" s="80" t="s">
        <v>1635</v>
      </c>
      <c r="AH96" s="80" t="s">
        <v>1810</v>
      </c>
      <c r="AI96" s="80">
        <v>5551569</v>
      </c>
      <c r="AJ96" s="80">
        <v>49792</v>
      </c>
      <c r="AK96" s="80">
        <v>258762</v>
      </c>
      <c r="AL96" s="80">
        <v>3942</v>
      </c>
      <c r="AM96" s="80" t="s">
        <v>2047</v>
      </c>
      <c r="AN96" s="98" t="str">
        <f>HYPERLINK("https://www.youtube.com/watch?v=zacqRZH5t5s")</f>
        <v>https://www.youtube.com/watch?v=zacqRZH5t5s</v>
      </c>
      <c r="AO96" s="80" t="str">
        <f>REPLACE(INDEX(GroupVertices[Group],MATCH(Vertices[[#This Row],[Vertex]],GroupVertices[Vertex],0)),1,1,"")</f>
        <v>6</v>
      </c>
      <c r="AP96" s="48">
        <v>1</v>
      </c>
      <c r="AQ96" s="49">
        <v>1.694915254237288</v>
      </c>
      <c r="AR96" s="48">
        <v>2</v>
      </c>
      <c r="AS96" s="49">
        <v>3.389830508474576</v>
      </c>
      <c r="AT96" s="48">
        <v>0</v>
      </c>
      <c r="AU96" s="49">
        <v>0</v>
      </c>
      <c r="AV96" s="48">
        <v>56</v>
      </c>
      <c r="AW96" s="49">
        <v>94.91525423728814</v>
      </c>
      <c r="AX96" s="48">
        <v>59</v>
      </c>
      <c r="AY96" s="48"/>
      <c r="AZ96" s="48"/>
      <c r="BA96" s="48"/>
      <c r="BB96" s="48"/>
      <c r="BC96" s="2"/>
      <c r="BD96" s="3"/>
      <c r="BE96" s="3"/>
      <c r="BF96" s="3"/>
      <c r="BG96" s="3"/>
    </row>
    <row r="97" spans="1:59" ht="15">
      <c r="A97" s="66" t="s">
        <v>420</v>
      </c>
      <c r="B97" s="67"/>
      <c r="C97" s="67"/>
      <c r="D97" s="68">
        <v>235.53948695903068</v>
      </c>
      <c r="E97" s="70"/>
      <c r="F97" s="96" t="str">
        <f>HYPERLINK("https://i.ytimg.com/vi/hhb4hb7HOKQ/default.jpg")</f>
        <v>https://i.ytimg.com/vi/hhb4hb7HOKQ/default.jpg</v>
      </c>
      <c r="G97" s="67"/>
      <c r="H97" s="71" t="s">
        <v>758</v>
      </c>
      <c r="I97" s="72"/>
      <c r="J97" s="72" t="s">
        <v>75</v>
      </c>
      <c r="K97" s="71" t="s">
        <v>758</v>
      </c>
      <c r="L97" s="75">
        <v>3750.25</v>
      </c>
      <c r="M97" s="76">
        <v>8328.248046875</v>
      </c>
      <c r="N97" s="76">
        <v>3682.025634765625</v>
      </c>
      <c r="O97" s="77"/>
      <c r="P97" s="78"/>
      <c r="Q97" s="78"/>
      <c r="R97" s="82"/>
      <c r="S97" s="48">
        <v>3</v>
      </c>
      <c r="T97" s="48">
        <v>0</v>
      </c>
      <c r="U97" s="49">
        <v>107.567251</v>
      </c>
      <c r="V97" s="49">
        <v>0.001099</v>
      </c>
      <c r="W97" s="49">
        <v>0.005977</v>
      </c>
      <c r="X97" s="49">
        <v>0.987275</v>
      </c>
      <c r="Y97" s="49">
        <v>0.3333333333333333</v>
      </c>
      <c r="Z97" s="49">
        <v>0</v>
      </c>
      <c r="AA97" s="73">
        <v>97</v>
      </c>
      <c r="AB97" s="73"/>
      <c r="AC97" s="74"/>
      <c r="AD97" s="80" t="s">
        <v>758</v>
      </c>
      <c r="AE97" s="80" t="s">
        <v>1088</v>
      </c>
      <c r="AF97" s="80" t="s">
        <v>1414</v>
      </c>
      <c r="AG97" s="80" t="s">
        <v>1661</v>
      </c>
      <c r="AH97" s="80" t="s">
        <v>1811</v>
      </c>
      <c r="AI97" s="80">
        <v>1753004</v>
      </c>
      <c r="AJ97" s="80">
        <v>12632</v>
      </c>
      <c r="AK97" s="80">
        <v>62879</v>
      </c>
      <c r="AL97" s="80">
        <v>3610</v>
      </c>
      <c r="AM97" s="80" t="s">
        <v>2047</v>
      </c>
      <c r="AN97" s="98" t="str">
        <f>HYPERLINK("https://www.youtube.com/watch?v=hhb4hb7HOKQ")</f>
        <v>https://www.youtube.com/watch?v=hhb4hb7HOKQ</v>
      </c>
      <c r="AO97" s="80" t="str">
        <f>REPLACE(INDEX(GroupVertices[Group],MATCH(Vertices[[#This Row],[Vertex]],GroupVertices[Vertex],0)),1,1,"")</f>
        <v>7</v>
      </c>
      <c r="AP97" s="48">
        <v>2</v>
      </c>
      <c r="AQ97" s="49">
        <v>3.4482758620689653</v>
      </c>
      <c r="AR97" s="48">
        <v>1</v>
      </c>
      <c r="AS97" s="49">
        <v>1.7241379310344827</v>
      </c>
      <c r="AT97" s="48">
        <v>0</v>
      </c>
      <c r="AU97" s="49">
        <v>0</v>
      </c>
      <c r="AV97" s="48">
        <v>55</v>
      </c>
      <c r="AW97" s="49">
        <v>94.82758620689656</v>
      </c>
      <c r="AX97" s="48">
        <v>58</v>
      </c>
      <c r="AY97" s="48"/>
      <c r="AZ97" s="48"/>
      <c r="BA97" s="48"/>
      <c r="BB97" s="48"/>
      <c r="BC97" s="2"/>
      <c r="BD97" s="3"/>
      <c r="BE97" s="3"/>
      <c r="BF97" s="3"/>
      <c r="BG97" s="3"/>
    </row>
    <row r="98" spans="1:59" ht="15">
      <c r="A98" s="66" t="s">
        <v>330</v>
      </c>
      <c r="B98" s="67"/>
      <c r="C98" s="67"/>
      <c r="D98" s="68">
        <v>547.6685818079011</v>
      </c>
      <c r="E98" s="70"/>
      <c r="F98" s="96" t="str">
        <f>HYPERLINK("https://i.ytimg.com/vi/b03U6BYF9L0/default.jpg")</f>
        <v>https://i.ytimg.com/vi/b03U6BYF9L0/default.jpg</v>
      </c>
      <c r="G98" s="67"/>
      <c r="H98" s="71" t="s">
        <v>759</v>
      </c>
      <c r="I98" s="72"/>
      <c r="J98" s="72" t="s">
        <v>75</v>
      </c>
      <c r="K98" s="71" t="s">
        <v>759</v>
      </c>
      <c r="L98" s="75">
        <v>8749.25</v>
      </c>
      <c r="M98" s="76">
        <v>5256.50927734375</v>
      </c>
      <c r="N98" s="76">
        <v>4485.66748046875</v>
      </c>
      <c r="O98" s="77"/>
      <c r="P98" s="78"/>
      <c r="Q98" s="78"/>
      <c r="R98" s="82"/>
      <c r="S98" s="48">
        <v>7</v>
      </c>
      <c r="T98" s="48">
        <v>50</v>
      </c>
      <c r="U98" s="49">
        <v>26147.249373</v>
      </c>
      <c r="V98" s="49">
        <v>0.00142</v>
      </c>
      <c r="W98" s="49">
        <v>0.028443</v>
      </c>
      <c r="X98" s="49">
        <v>19.060328</v>
      </c>
      <c r="Y98" s="49">
        <v>0.019865319865319864</v>
      </c>
      <c r="Z98" s="49">
        <v>0.03636363636363636</v>
      </c>
      <c r="AA98" s="73">
        <v>98</v>
      </c>
      <c r="AB98" s="73"/>
      <c r="AC98" s="74"/>
      <c r="AD98" s="80" t="s">
        <v>759</v>
      </c>
      <c r="AE98" s="80" t="s">
        <v>1089</v>
      </c>
      <c r="AF98" s="80" t="s">
        <v>1415</v>
      </c>
      <c r="AG98" s="80" t="s">
        <v>1662</v>
      </c>
      <c r="AH98" s="80" t="s">
        <v>1812</v>
      </c>
      <c r="AI98" s="80">
        <v>5257067</v>
      </c>
      <c r="AJ98" s="80">
        <v>107462</v>
      </c>
      <c r="AK98" s="80">
        <v>212168</v>
      </c>
      <c r="AL98" s="80">
        <v>9169</v>
      </c>
      <c r="AM98" s="80" t="s">
        <v>2047</v>
      </c>
      <c r="AN98" s="98" t="str">
        <f>HYPERLINK("https://www.youtube.com/watch?v=b03U6BYF9L0")</f>
        <v>https://www.youtube.com/watch?v=b03U6BYF9L0</v>
      </c>
      <c r="AO98" s="80" t="str">
        <f>REPLACE(INDEX(GroupVertices[Group],MATCH(Vertices[[#This Row],[Vertex]],GroupVertices[Vertex],0)),1,1,"")</f>
        <v>4</v>
      </c>
      <c r="AP98" s="48">
        <v>2</v>
      </c>
      <c r="AQ98" s="49">
        <v>2.857142857142857</v>
      </c>
      <c r="AR98" s="48">
        <v>1</v>
      </c>
      <c r="AS98" s="49">
        <v>1.4285714285714286</v>
      </c>
      <c r="AT98" s="48">
        <v>0</v>
      </c>
      <c r="AU98" s="49">
        <v>0</v>
      </c>
      <c r="AV98" s="48">
        <v>67</v>
      </c>
      <c r="AW98" s="49">
        <v>95.71428571428571</v>
      </c>
      <c r="AX98" s="48">
        <v>70</v>
      </c>
      <c r="AY98" s="119" t="s">
        <v>3491</v>
      </c>
      <c r="AZ98" s="119" t="s">
        <v>3491</v>
      </c>
      <c r="BA98" s="119" t="s">
        <v>3491</v>
      </c>
      <c r="BB98" s="119" t="s">
        <v>3491</v>
      </c>
      <c r="BC98" s="2"/>
      <c r="BD98" s="3"/>
      <c r="BE98" s="3"/>
      <c r="BF98" s="3"/>
      <c r="BG98" s="3"/>
    </row>
    <row r="99" spans="1:59" ht="15">
      <c r="A99" s="66" t="s">
        <v>421</v>
      </c>
      <c r="B99" s="67"/>
      <c r="C99" s="67"/>
      <c r="D99" s="68">
        <v>837.1933092052648</v>
      </c>
      <c r="E99" s="70"/>
      <c r="F99" s="96" t="str">
        <f>HYPERLINK("https://i.ytimg.com/vi/zBkVCpbNnkU/default.jpg")</f>
        <v>https://i.ytimg.com/vi/zBkVCpbNnkU/default.jpg</v>
      </c>
      <c r="G99" s="67"/>
      <c r="H99" s="71" t="s">
        <v>760</v>
      </c>
      <c r="I99" s="72"/>
      <c r="J99" s="72" t="s">
        <v>75</v>
      </c>
      <c r="K99" s="71" t="s">
        <v>760</v>
      </c>
      <c r="L99" s="75">
        <v>7499.5</v>
      </c>
      <c r="M99" s="76">
        <v>7111.71484375</v>
      </c>
      <c r="N99" s="76">
        <v>4708.322265625</v>
      </c>
      <c r="O99" s="77"/>
      <c r="P99" s="78"/>
      <c r="Q99" s="78"/>
      <c r="R99" s="82"/>
      <c r="S99" s="48">
        <v>6</v>
      </c>
      <c r="T99" s="48">
        <v>0</v>
      </c>
      <c r="U99" s="49">
        <v>202.451963</v>
      </c>
      <c r="V99" s="49">
        <v>0.00122</v>
      </c>
      <c r="W99" s="49">
        <v>0.012994</v>
      </c>
      <c r="X99" s="49">
        <v>1.779057</v>
      </c>
      <c r="Y99" s="49">
        <v>0.5333333333333333</v>
      </c>
      <c r="Z99" s="49">
        <v>0</v>
      </c>
      <c r="AA99" s="73">
        <v>99</v>
      </c>
      <c r="AB99" s="73"/>
      <c r="AC99" s="74"/>
      <c r="AD99" s="80" t="s">
        <v>760</v>
      </c>
      <c r="AE99" s="80" t="s">
        <v>1090</v>
      </c>
      <c r="AF99" s="80" t="s">
        <v>1416</v>
      </c>
      <c r="AG99" s="80" t="s">
        <v>1663</v>
      </c>
      <c r="AH99" s="80" t="s">
        <v>1813</v>
      </c>
      <c r="AI99" s="80">
        <v>8507366</v>
      </c>
      <c r="AJ99" s="80">
        <v>100629</v>
      </c>
      <c r="AK99" s="80">
        <v>499124</v>
      </c>
      <c r="AL99" s="80">
        <v>10587</v>
      </c>
      <c r="AM99" s="80" t="s">
        <v>2047</v>
      </c>
      <c r="AN99" s="98" t="str">
        <f>HYPERLINK("https://www.youtube.com/watch?v=zBkVCpbNnkU")</f>
        <v>https://www.youtube.com/watch?v=zBkVCpbNnkU</v>
      </c>
      <c r="AO99" s="80" t="str">
        <f>REPLACE(INDEX(GroupVertices[Group],MATCH(Vertices[[#This Row],[Vertex]],GroupVertices[Vertex],0)),1,1,"")</f>
        <v>4</v>
      </c>
      <c r="AP99" s="48">
        <v>0</v>
      </c>
      <c r="AQ99" s="49">
        <v>0</v>
      </c>
      <c r="AR99" s="48">
        <v>11</v>
      </c>
      <c r="AS99" s="49">
        <v>26.19047619047619</v>
      </c>
      <c r="AT99" s="48">
        <v>0</v>
      </c>
      <c r="AU99" s="49">
        <v>0</v>
      </c>
      <c r="AV99" s="48">
        <v>31</v>
      </c>
      <c r="AW99" s="49">
        <v>73.80952380952381</v>
      </c>
      <c r="AX99" s="48">
        <v>42</v>
      </c>
      <c r="AY99" s="48"/>
      <c r="AZ99" s="48"/>
      <c r="BA99" s="48"/>
      <c r="BB99" s="48"/>
      <c r="BC99" s="2"/>
      <c r="BD99" s="3"/>
      <c r="BE99" s="3"/>
      <c r="BF99" s="3"/>
      <c r="BG99" s="3"/>
    </row>
    <row r="100" spans="1:59" ht="15">
      <c r="A100" s="66" t="s">
        <v>422</v>
      </c>
      <c r="B100" s="67"/>
      <c r="C100" s="67"/>
      <c r="D100" s="68">
        <v>534.8593155451763</v>
      </c>
      <c r="E100" s="70"/>
      <c r="F100" s="96" t="str">
        <f>HYPERLINK("https://i.ytimg.com/vi/WQptarOLSBU/default.jpg")</f>
        <v>https://i.ytimg.com/vi/WQptarOLSBU/default.jpg</v>
      </c>
      <c r="G100" s="67"/>
      <c r="H100" s="71" t="s">
        <v>761</v>
      </c>
      <c r="I100" s="72"/>
      <c r="J100" s="72" t="s">
        <v>75</v>
      </c>
      <c r="K100" s="71" t="s">
        <v>761</v>
      </c>
      <c r="L100" s="75">
        <v>8749.25</v>
      </c>
      <c r="M100" s="76">
        <v>1758.091552734375</v>
      </c>
      <c r="N100" s="76">
        <v>8285.3623046875</v>
      </c>
      <c r="O100" s="77"/>
      <c r="P100" s="78"/>
      <c r="Q100" s="78"/>
      <c r="R100" s="82"/>
      <c r="S100" s="48">
        <v>7</v>
      </c>
      <c r="T100" s="48">
        <v>0</v>
      </c>
      <c r="U100" s="49">
        <v>359.508104</v>
      </c>
      <c r="V100" s="49">
        <v>0.001253</v>
      </c>
      <c r="W100" s="49">
        <v>0.015324</v>
      </c>
      <c r="X100" s="49">
        <v>2.034631</v>
      </c>
      <c r="Y100" s="49">
        <v>0.5238095238095238</v>
      </c>
      <c r="Z100" s="49">
        <v>0</v>
      </c>
      <c r="AA100" s="73">
        <v>100</v>
      </c>
      <c r="AB100" s="73"/>
      <c r="AC100" s="74"/>
      <c r="AD100" s="80" t="s">
        <v>761</v>
      </c>
      <c r="AE100" s="80" t="s">
        <v>1091</v>
      </c>
      <c r="AF100" s="80" t="s">
        <v>1417</v>
      </c>
      <c r="AG100" s="80" t="s">
        <v>1648</v>
      </c>
      <c r="AH100" s="80" t="s">
        <v>1814</v>
      </c>
      <c r="AI100" s="80">
        <v>5113266</v>
      </c>
      <c r="AJ100" s="80">
        <v>53967</v>
      </c>
      <c r="AK100" s="80">
        <v>119535</v>
      </c>
      <c r="AL100" s="80">
        <v>7385</v>
      </c>
      <c r="AM100" s="80" t="s">
        <v>2047</v>
      </c>
      <c r="AN100" s="98" t="str">
        <f>HYPERLINK("https://www.youtube.com/watch?v=WQptarOLSBU")</f>
        <v>https://www.youtube.com/watch?v=WQptarOLSBU</v>
      </c>
      <c r="AO100" s="80" t="str">
        <f>REPLACE(INDEX(GroupVertices[Group],MATCH(Vertices[[#This Row],[Vertex]],GroupVertices[Vertex],0)),1,1,"")</f>
        <v>1</v>
      </c>
      <c r="AP100" s="48">
        <v>1</v>
      </c>
      <c r="AQ100" s="49">
        <v>1.7241379310344827</v>
      </c>
      <c r="AR100" s="48">
        <v>3</v>
      </c>
      <c r="AS100" s="49">
        <v>5.172413793103448</v>
      </c>
      <c r="AT100" s="48">
        <v>0</v>
      </c>
      <c r="AU100" s="49">
        <v>0</v>
      </c>
      <c r="AV100" s="48">
        <v>54</v>
      </c>
      <c r="AW100" s="49">
        <v>93.10344827586206</v>
      </c>
      <c r="AX100" s="48">
        <v>58</v>
      </c>
      <c r="AY100" s="48"/>
      <c r="AZ100" s="48"/>
      <c r="BA100" s="48"/>
      <c r="BB100" s="48"/>
      <c r="BC100" s="2"/>
      <c r="BD100" s="3"/>
      <c r="BE100" s="3"/>
      <c r="BF100" s="3"/>
      <c r="BG100" s="3"/>
    </row>
    <row r="101" spans="1:59" ht="15">
      <c r="A101" s="66" t="s">
        <v>324</v>
      </c>
      <c r="B101" s="67"/>
      <c r="C101" s="67"/>
      <c r="D101" s="68">
        <v>131.79521737530766</v>
      </c>
      <c r="E101" s="70"/>
      <c r="F101" s="96" t="str">
        <f>HYPERLINK("https://i.ytimg.com/vi/9gku93laoec/default.jpg")</f>
        <v>https://i.ytimg.com/vi/9gku93laoec/default.jpg</v>
      </c>
      <c r="G101" s="67"/>
      <c r="H101" s="71" t="s">
        <v>762</v>
      </c>
      <c r="I101" s="72"/>
      <c r="J101" s="72" t="s">
        <v>159</v>
      </c>
      <c r="K101" s="71" t="s">
        <v>762</v>
      </c>
      <c r="L101" s="75">
        <v>1</v>
      </c>
      <c r="M101" s="76">
        <v>1712.14306640625</v>
      </c>
      <c r="N101" s="76">
        <v>2322.468505859375</v>
      </c>
      <c r="O101" s="77"/>
      <c r="P101" s="78"/>
      <c r="Q101" s="78"/>
      <c r="R101" s="82"/>
      <c r="S101" s="48">
        <v>0</v>
      </c>
      <c r="T101" s="48">
        <v>50</v>
      </c>
      <c r="U101" s="49">
        <v>29890</v>
      </c>
      <c r="V101" s="49">
        <v>0.00093</v>
      </c>
      <c r="W101" s="49">
        <v>0.000407</v>
      </c>
      <c r="X101" s="49">
        <v>22.962073</v>
      </c>
      <c r="Y101" s="49">
        <v>0</v>
      </c>
      <c r="Z101" s="49">
        <v>0</v>
      </c>
      <c r="AA101" s="73">
        <v>101</v>
      </c>
      <c r="AB101" s="73"/>
      <c r="AC101" s="74"/>
      <c r="AD101" s="80" t="s">
        <v>762</v>
      </c>
      <c r="AE101" s="80" t="s">
        <v>1092</v>
      </c>
      <c r="AF101" s="80" t="s">
        <v>1418</v>
      </c>
      <c r="AG101" s="80" t="s">
        <v>1664</v>
      </c>
      <c r="AH101" s="80" t="s">
        <v>1815</v>
      </c>
      <c r="AI101" s="80">
        <v>588337</v>
      </c>
      <c r="AJ101" s="80">
        <v>370</v>
      </c>
      <c r="AK101" s="80">
        <v>4751</v>
      </c>
      <c r="AL101" s="80">
        <v>158</v>
      </c>
      <c r="AM101" s="80" t="s">
        <v>2047</v>
      </c>
      <c r="AN101" s="98" t="str">
        <f>HYPERLINK("https://www.youtube.com/watch?v=9gku93laoec")</f>
        <v>https://www.youtube.com/watch?v=9gku93laoec</v>
      </c>
      <c r="AO101" s="80" t="str">
        <f>REPLACE(INDEX(GroupVertices[Group],MATCH(Vertices[[#This Row],[Vertex]],GroupVertices[Vertex],0)),1,1,"")</f>
        <v>2</v>
      </c>
      <c r="AP101" s="48">
        <v>0</v>
      </c>
      <c r="AQ101" s="49">
        <v>0</v>
      </c>
      <c r="AR101" s="48">
        <v>3</v>
      </c>
      <c r="AS101" s="49">
        <v>4.6875</v>
      </c>
      <c r="AT101" s="48">
        <v>0</v>
      </c>
      <c r="AU101" s="49">
        <v>0</v>
      </c>
      <c r="AV101" s="48">
        <v>61</v>
      </c>
      <c r="AW101" s="49">
        <v>95.3125</v>
      </c>
      <c r="AX101" s="48">
        <v>64</v>
      </c>
      <c r="AY101" s="119" t="s">
        <v>3491</v>
      </c>
      <c r="AZ101" s="119" t="s">
        <v>3491</v>
      </c>
      <c r="BA101" s="119" t="s">
        <v>3491</v>
      </c>
      <c r="BB101" s="119" t="s">
        <v>3491</v>
      </c>
      <c r="BC101" s="2"/>
      <c r="BD101" s="3"/>
      <c r="BE101" s="3"/>
      <c r="BF101" s="3"/>
      <c r="BG101" s="3"/>
    </row>
    <row r="102" spans="1:59" ht="15">
      <c r="A102" s="66" t="s">
        <v>423</v>
      </c>
      <c r="B102" s="67"/>
      <c r="C102" s="67"/>
      <c r="D102" s="68">
        <v>346.7650998913656</v>
      </c>
      <c r="E102" s="70"/>
      <c r="F102" s="96" t="str">
        <f>HYPERLINK("https://i.ytimg.com/vi/LYgG07JlguI/default.jpg")</f>
        <v>https://i.ytimg.com/vi/LYgG07JlguI/default.jpg</v>
      </c>
      <c r="G102" s="67"/>
      <c r="H102" s="71" t="s">
        <v>763</v>
      </c>
      <c r="I102" s="72"/>
      <c r="J102" s="72" t="s">
        <v>159</v>
      </c>
      <c r="K102" s="71" t="s">
        <v>763</v>
      </c>
      <c r="L102" s="75">
        <v>1250.75</v>
      </c>
      <c r="M102" s="76">
        <v>261.6578674316406</v>
      </c>
      <c r="N102" s="76">
        <v>3300.071533203125</v>
      </c>
      <c r="O102" s="77"/>
      <c r="P102" s="78"/>
      <c r="Q102" s="78"/>
      <c r="R102" s="82"/>
      <c r="S102" s="48">
        <v>1</v>
      </c>
      <c r="T102" s="48">
        <v>0</v>
      </c>
      <c r="U102" s="49">
        <v>0</v>
      </c>
      <c r="V102" s="49">
        <v>0.000712</v>
      </c>
      <c r="W102" s="49">
        <v>3E-05</v>
      </c>
      <c r="X102" s="49">
        <v>0.540355</v>
      </c>
      <c r="Y102" s="49">
        <v>0</v>
      </c>
      <c r="Z102" s="49">
        <v>0</v>
      </c>
      <c r="AA102" s="73">
        <v>102</v>
      </c>
      <c r="AB102" s="73"/>
      <c r="AC102" s="74"/>
      <c r="AD102" s="80" t="s">
        <v>763</v>
      </c>
      <c r="AE102" s="80" t="s">
        <v>1093</v>
      </c>
      <c r="AF102" s="80" t="s">
        <v>1419</v>
      </c>
      <c r="AG102" s="80" t="s">
        <v>1635</v>
      </c>
      <c r="AH102" s="80" t="s">
        <v>1816</v>
      </c>
      <c r="AI102" s="80">
        <v>3001659</v>
      </c>
      <c r="AJ102" s="80">
        <v>6103</v>
      </c>
      <c r="AK102" s="80">
        <v>91714</v>
      </c>
      <c r="AL102" s="80">
        <v>690</v>
      </c>
      <c r="AM102" s="80" t="s">
        <v>2047</v>
      </c>
      <c r="AN102" s="98" t="str">
        <f>HYPERLINK("https://www.youtube.com/watch?v=LYgG07JlguI")</f>
        <v>https://www.youtube.com/watch?v=LYgG07JlguI</v>
      </c>
      <c r="AO102" s="80" t="str">
        <f>REPLACE(INDEX(GroupVertices[Group],MATCH(Vertices[[#This Row],[Vertex]],GroupVertices[Vertex],0)),1,1,"")</f>
        <v>2</v>
      </c>
      <c r="AP102" s="48">
        <v>10</v>
      </c>
      <c r="AQ102" s="49">
        <v>13.513513513513514</v>
      </c>
      <c r="AR102" s="48">
        <v>1</v>
      </c>
      <c r="AS102" s="49">
        <v>1.3513513513513513</v>
      </c>
      <c r="AT102" s="48">
        <v>0</v>
      </c>
      <c r="AU102" s="49">
        <v>0</v>
      </c>
      <c r="AV102" s="48">
        <v>63</v>
      </c>
      <c r="AW102" s="49">
        <v>85.13513513513513</v>
      </c>
      <c r="AX102" s="48">
        <v>74</v>
      </c>
      <c r="AY102" s="48"/>
      <c r="AZ102" s="48"/>
      <c r="BA102" s="48"/>
      <c r="BB102" s="48"/>
      <c r="BC102" s="2"/>
      <c r="BD102" s="3"/>
      <c r="BE102" s="3"/>
      <c r="BF102" s="3"/>
      <c r="BG102" s="3"/>
    </row>
    <row r="103" spans="1:59" ht="15">
      <c r="A103" s="66" t="s">
        <v>424</v>
      </c>
      <c r="B103" s="67"/>
      <c r="C103" s="67"/>
      <c r="D103" s="68">
        <v>96.10348733857334</v>
      </c>
      <c r="E103" s="70"/>
      <c r="F103" s="96" t="str">
        <f>HYPERLINK("https://i.ytimg.com/vi/79kUBiiXqrM/default.jpg")</f>
        <v>https://i.ytimg.com/vi/79kUBiiXqrM/default.jpg</v>
      </c>
      <c r="G103" s="67"/>
      <c r="H103" s="71" t="s">
        <v>764</v>
      </c>
      <c r="I103" s="72"/>
      <c r="J103" s="72" t="s">
        <v>159</v>
      </c>
      <c r="K103" s="71" t="s">
        <v>764</v>
      </c>
      <c r="L103" s="75">
        <v>1250.75</v>
      </c>
      <c r="M103" s="76">
        <v>1939.080810546875</v>
      </c>
      <c r="N103" s="76">
        <v>4214.6318359375</v>
      </c>
      <c r="O103" s="77"/>
      <c r="P103" s="78"/>
      <c r="Q103" s="78"/>
      <c r="R103" s="82"/>
      <c r="S103" s="48">
        <v>1</v>
      </c>
      <c r="T103" s="48">
        <v>0</v>
      </c>
      <c r="U103" s="49">
        <v>0</v>
      </c>
      <c r="V103" s="49">
        <v>0.000712</v>
      </c>
      <c r="W103" s="49">
        <v>3E-05</v>
      </c>
      <c r="X103" s="49">
        <v>0.540355</v>
      </c>
      <c r="Y103" s="49">
        <v>0</v>
      </c>
      <c r="Z103" s="49">
        <v>0</v>
      </c>
      <c r="AA103" s="73">
        <v>103</v>
      </c>
      <c r="AB103" s="73"/>
      <c r="AC103" s="74"/>
      <c r="AD103" s="80" t="s">
        <v>764</v>
      </c>
      <c r="AE103" s="80" t="s">
        <v>1094</v>
      </c>
      <c r="AF103" s="80" t="s">
        <v>1420</v>
      </c>
      <c r="AG103" s="80" t="s">
        <v>1665</v>
      </c>
      <c r="AH103" s="80" t="s">
        <v>1817</v>
      </c>
      <c r="AI103" s="80">
        <v>187650</v>
      </c>
      <c r="AJ103" s="80">
        <v>47</v>
      </c>
      <c r="AK103" s="80">
        <v>562</v>
      </c>
      <c r="AL103" s="80">
        <v>44</v>
      </c>
      <c r="AM103" s="80" t="s">
        <v>2047</v>
      </c>
      <c r="AN103" s="98" t="str">
        <f>HYPERLINK("https://www.youtube.com/watch?v=79kUBiiXqrM")</f>
        <v>https://www.youtube.com/watch?v=79kUBiiXqrM</v>
      </c>
      <c r="AO103" s="80" t="str">
        <f>REPLACE(INDEX(GroupVertices[Group],MATCH(Vertices[[#This Row],[Vertex]],GroupVertices[Vertex],0)),1,1,"")</f>
        <v>2</v>
      </c>
      <c r="AP103" s="48">
        <v>0</v>
      </c>
      <c r="AQ103" s="49">
        <v>0</v>
      </c>
      <c r="AR103" s="48">
        <v>0</v>
      </c>
      <c r="AS103" s="49">
        <v>0</v>
      </c>
      <c r="AT103" s="48">
        <v>0</v>
      </c>
      <c r="AU103" s="49">
        <v>0</v>
      </c>
      <c r="AV103" s="48">
        <v>12</v>
      </c>
      <c r="AW103" s="49">
        <v>100</v>
      </c>
      <c r="AX103" s="48">
        <v>12</v>
      </c>
      <c r="AY103" s="48"/>
      <c r="AZ103" s="48"/>
      <c r="BA103" s="48"/>
      <c r="BB103" s="48"/>
      <c r="BC103" s="2"/>
      <c r="BD103" s="3"/>
      <c r="BE103" s="3"/>
      <c r="BF103" s="3"/>
      <c r="BG103" s="3"/>
    </row>
    <row r="104" spans="1:59" ht="15">
      <c r="A104" s="66" t="s">
        <v>425</v>
      </c>
      <c r="B104" s="67"/>
      <c r="C104" s="67"/>
      <c r="D104" s="68">
        <v>303.0218488761858</v>
      </c>
      <c r="E104" s="70"/>
      <c r="F104" s="96" t="str">
        <f>HYPERLINK("https://i.ytimg.com/vi/v6KJWomiJa4/default.jpg")</f>
        <v>https://i.ytimg.com/vi/v6KJWomiJa4/default.jpg</v>
      </c>
      <c r="G104" s="67"/>
      <c r="H104" s="71" t="s">
        <v>765</v>
      </c>
      <c r="I104" s="72"/>
      <c r="J104" s="72" t="s">
        <v>159</v>
      </c>
      <c r="K104" s="71" t="s">
        <v>765</v>
      </c>
      <c r="L104" s="75">
        <v>1250.75</v>
      </c>
      <c r="M104" s="76">
        <v>2246.254638671875</v>
      </c>
      <c r="N104" s="76">
        <v>1824.008544921875</v>
      </c>
      <c r="O104" s="77"/>
      <c r="P104" s="78"/>
      <c r="Q104" s="78"/>
      <c r="R104" s="82"/>
      <c r="S104" s="48">
        <v>1</v>
      </c>
      <c r="T104" s="48">
        <v>0</v>
      </c>
      <c r="U104" s="49">
        <v>0</v>
      </c>
      <c r="V104" s="49">
        <v>0.000712</v>
      </c>
      <c r="W104" s="49">
        <v>3E-05</v>
      </c>
      <c r="X104" s="49">
        <v>0.540355</v>
      </c>
      <c r="Y104" s="49">
        <v>0</v>
      </c>
      <c r="Z104" s="49">
        <v>0</v>
      </c>
      <c r="AA104" s="73">
        <v>104</v>
      </c>
      <c r="AB104" s="73"/>
      <c r="AC104" s="74"/>
      <c r="AD104" s="80" t="s">
        <v>765</v>
      </c>
      <c r="AE104" s="80" t="s">
        <v>1095</v>
      </c>
      <c r="AF104" s="80" t="s">
        <v>1421</v>
      </c>
      <c r="AG104" s="80" t="s">
        <v>1666</v>
      </c>
      <c r="AH104" s="80" t="s">
        <v>1818</v>
      </c>
      <c r="AI104" s="80">
        <v>2510583</v>
      </c>
      <c r="AJ104" s="80">
        <v>514</v>
      </c>
      <c r="AK104" s="80">
        <v>13081</v>
      </c>
      <c r="AL104" s="80">
        <v>569</v>
      </c>
      <c r="AM104" s="80" t="s">
        <v>2047</v>
      </c>
      <c r="AN104" s="98" t="str">
        <f>HYPERLINK("https://www.youtube.com/watch?v=v6KJWomiJa4")</f>
        <v>https://www.youtube.com/watch?v=v6KJWomiJa4</v>
      </c>
      <c r="AO104" s="80" t="str">
        <f>REPLACE(INDEX(GroupVertices[Group],MATCH(Vertices[[#This Row],[Vertex]],GroupVertices[Vertex],0)),1,1,"")</f>
        <v>2</v>
      </c>
      <c r="AP104" s="48">
        <v>0</v>
      </c>
      <c r="AQ104" s="49">
        <v>0</v>
      </c>
      <c r="AR104" s="48">
        <v>1</v>
      </c>
      <c r="AS104" s="49">
        <v>7.6923076923076925</v>
      </c>
      <c r="AT104" s="48">
        <v>0</v>
      </c>
      <c r="AU104" s="49">
        <v>0</v>
      </c>
      <c r="AV104" s="48">
        <v>12</v>
      </c>
      <c r="AW104" s="49">
        <v>92.3076923076923</v>
      </c>
      <c r="AX104" s="48">
        <v>13</v>
      </c>
      <c r="AY104" s="48"/>
      <c r="AZ104" s="48"/>
      <c r="BA104" s="48"/>
      <c r="BB104" s="48"/>
      <c r="BC104" s="2"/>
      <c r="BD104" s="3"/>
      <c r="BE104" s="3"/>
      <c r="BF104" s="3"/>
      <c r="BG104" s="3"/>
    </row>
    <row r="105" spans="1:59" ht="15">
      <c r="A105" s="66" t="s">
        <v>426</v>
      </c>
      <c r="B105" s="67"/>
      <c r="C105" s="67"/>
      <c r="D105" s="68">
        <v>673.3749784570816</v>
      </c>
      <c r="E105" s="70"/>
      <c r="F105" s="96" t="str">
        <f>HYPERLINK("https://i.ytimg.com/vi/cYGuWN1OhD8/default.jpg")</f>
        <v>https://i.ytimg.com/vi/cYGuWN1OhD8/default.jpg</v>
      </c>
      <c r="G105" s="67"/>
      <c r="H105" s="71" t="s">
        <v>766</v>
      </c>
      <c r="I105" s="72"/>
      <c r="J105" s="72" t="s">
        <v>159</v>
      </c>
      <c r="K105" s="71" t="s">
        <v>766</v>
      </c>
      <c r="L105" s="75">
        <v>1250.75</v>
      </c>
      <c r="M105" s="76">
        <v>983.40234375</v>
      </c>
      <c r="N105" s="76">
        <v>4239.1337890625</v>
      </c>
      <c r="O105" s="77"/>
      <c r="P105" s="78"/>
      <c r="Q105" s="78"/>
      <c r="R105" s="82"/>
      <c r="S105" s="48">
        <v>1</v>
      </c>
      <c r="T105" s="48">
        <v>0</v>
      </c>
      <c r="U105" s="49">
        <v>0</v>
      </c>
      <c r="V105" s="49">
        <v>0.000712</v>
      </c>
      <c r="W105" s="49">
        <v>3E-05</v>
      </c>
      <c r="X105" s="49">
        <v>0.540355</v>
      </c>
      <c r="Y105" s="49">
        <v>0</v>
      </c>
      <c r="Z105" s="49">
        <v>0</v>
      </c>
      <c r="AA105" s="73">
        <v>105</v>
      </c>
      <c r="AB105" s="73"/>
      <c r="AC105" s="74"/>
      <c r="AD105" s="80" t="s">
        <v>766</v>
      </c>
      <c r="AE105" s="80" t="s">
        <v>1096</v>
      </c>
      <c r="AF105" s="80" t="s">
        <v>1422</v>
      </c>
      <c r="AG105" s="80" t="s">
        <v>1667</v>
      </c>
      <c r="AH105" s="80" t="s">
        <v>1819</v>
      </c>
      <c r="AI105" s="80">
        <v>6668288</v>
      </c>
      <c r="AJ105" s="80">
        <v>2927</v>
      </c>
      <c r="AK105" s="80">
        <v>65539</v>
      </c>
      <c r="AL105" s="80">
        <v>1466</v>
      </c>
      <c r="AM105" s="80" t="s">
        <v>2047</v>
      </c>
      <c r="AN105" s="98" t="str">
        <f>HYPERLINK("https://www.youtube.com/watch?v=cYGuWN1OhD8")</f>
        <v>https://www.youtube.com/watch?v=cYGuWN1OhD8</v>
      </c>
      <c r="AO105" s="80" t="str">
        <f>REPLACE(INDEX(GroupVertices[Group],MATCH(Vertices[[#This Row],[Vertex]],GroupVertices[Vertex],0)),1,1,"")</f>
        <v>2</v>
      </c>
      <c r="AP105" s="48">
        <v>0</v>
      </c>
      <c r="AQ105" s="49">
        <v>0</v>
      </c>
      <c r="AR105" s="48">
        <v>0</v>
      </c>
      <c r="AS105" s="49">
        <v>0</v>
      </c>
      <c r="AT105" s="48">
        <v>0</v>
      </c>
      <c r="AU105" s="49">
        <v>0</v>
      </c>
      <c r="AV105" s="48">
        <v>3</v>
      </c>
      <c r="AW105" s="49">
        <v>100</v>
      </c>
      <c r="AX105" s="48">
        <v>3</v>
      </c>
      <c r="AY105" s="48"/>
      <c r="AZ105" s="48"/>
      <c r="BA105" s="48"/>
      <c r="BB105" s="48"/>
      <c r="BC105" s="2"/>
      <c r="BD105" s="3"/>
      <c r="BE105" s="3"/>
      <c r="BF105" s="3"/>
      <c r="BG105" s="3"/>
    </row>
    <row r="106" spans="1:59" ht="15">
      <c r="A106" s="66" t="s">
        <v>427</v>
      </c>
      <c r="B106" s="67"/>
      <c r="C106" s="67"/>
      <c r="D106" s="68">
        <v>465.4639502256923</v>
      </c>
      <c r="E106" s="70"/>
      <c r="F106" s="96" t="str">
        <f>HYPERLINK("https://i.ytimg.com/vi/UqHh6TvGQIQ/default.jpg")</f>
        <v>https://i.ytimg.com/vi/UqHh6TvGQIQ/default.jpg</v>
      </c>
      <c r="G106" s="67"/>
      <c r="H106" s="71" t="s">
        <v>767</v>
      </c>
      <c r="I106" s="72"/>
      <c r="J106" s="72" t="s">
        <v>159</v>
      </c>
      <c r="K106" s="71" t="s">
        <v>767</v>
      </c>
      <c r="L106" s="75">
        <v>1250.75</v>
      </c>
      <c r="M106" s="76">
        <v>2668.37890625</v>
      </c>
      <c r="N106" s="76">
        <v>2795.40234375</v>
      </c>
      <c r="O106" s="77"/>
      <c r="P106" s="78"/>
      <c r="Q106" s="78"/>
      <c r="R106" s="82"/>
      <c r="S106" s="48">
        <v>1</v>
      </c>
      <c r="T106" s="48">
        <v>0</v>
      </c>
      <c r="U106" s="49">
        <v>0</v>
      </c>
      <c r="V106" s="49">
        <v>0.000712</v>
      </c>
      <c r="W106" s="49">
        <v>3E-05</v>
      </c>
      <c r="X106" s="49">
        <v>0.540355</v>
      </c>
      <c r="Y106" s="49">
        <v>0</v>
      </c>
      <c r="Z106" s="49">
        <v>0</v>
      </c>
      <c r="AA106" s="73">
        <v>106</v>
      </c>
      <c r="AB106" s="73"/>
      <c r="AC106" s="74"/>
      <c r="AD106" s="80" t="s">
        <v>767</v>
      </c>
      <c r="AE106" s="80" t="s">
        <v>1097</v>
      </c>
      <c r="AF106" s="80" t="s">
        <v>1423</v>
      </c>
      <c r="AG106" s="80" t="s">
        <v>1668</v>
      </c>
      <c r="AH106" s="80" t="s">
        <v>1820</v>
      </c>
      <c r="AI106" s="80">
        <v>4334211</v>
      </c>
      <c r="AJ106" s="80">
        <v>2697</v>
      </c>
      <c r="AK106" s="80">
        <v>49821</v>
      </c>
      <c r="AL106" s="80">
        <v>576</v>
      </c>
      <c r="AM106" s="80" t="s">
        <v>2047</v>
      </c>
      <c r="AN106" s="98" t="str">
        <f>HYPERLINK("https://www.youtube.com/watch?v=UqHh6TvGQIQ")</f>
        <v>https://www.youtube.com/watch?v=UqHh6TvGQIQ</v>
      </c>
      <c r="AO106" s="80" t="str">
        <f>REPLACE(INDEX(GroupVertices[Group],MATCH(Vertices[[#This Row],[Vertex]],GroupVertices[Vertex],0)),1,1,"")</f>
        <v>2</v>
      </c>
      <c r="AP106" s="48">
        <v>0</v>
      </c>
      <c r="AQ106" s="49">
        <v>0</v>
      </c>
      <c r="AR106" s="48">
        <v>0</v>
      </c>
      <c r="AS106" s="49">
        <v>0</v>
      </c>
      <c r="AT106" s="48">
        <v>0</v>
      </c>
      <c r="AU106" s="49">
        <v>0</v>
      </c>
      <c r="AV106" s="48">
        <v>2</v>
      </c>
      <c r="AW106" s="49">
        <v>100</v>
      </c>
      <c r="AX106" s="48">
        <v>2</v>
      </c>
      <c r="AY106" s="48"/>
      <c r="AZ106" s="48"/>
      <c r="BA106" s="48"/>
      <c r="BB106" s="48"/>
      <c r="BC106" s="2"/>
      <c r="BD106" s="3"/>
      <c r="BE106" s="3"/>
      <c r="BF106" s="3"/>
      <c r="BG106" s="3"/>
    </row>
    <row r="107" spans="1:59" ht="15">
      <c r="A107" s="66" t="s">
        <v>428</v>
      </c>
      <c r="B107" s="67"/>
      <c r="C107" s="67"/>
      <c r="D107" s="68">
        <v>394.27627993981537</v>
      </c>
      <c r="E107" s="70"/>
      <c r="F107" s="96" t="str">
        <f>HYPERLINK("https://i.ytimg.com/vi/RQr4zytg3z0/default.jpg")</f>
        <v>https://i.ytimg.com/vi/RQr4zytg3z0/default.jpg</v>
      </c>
      <c r="G107" s="67"/>
      <c r="H107" s="71" t="s">
        <v>768</v>
      </c>
      <c r="I107" s="72"/>
      <c r="J107" s="72" t="s">
        <v>159</v>
      </c>
      <c r="K107" s="71" t="s">
        <v>768</v>
      </c>
      <c r="L107" s="75">
        <v>1250.75</v>
      </c>
      <c r="M107" s="76">
        <v>691.9635620117188</v>
      </c>
      <c r="N107" s="76">
        <v>1537.30419921875</v>
      </c>
      <c r="O107" s="77"/>
      <c r="P107" s="78"/>
      <c r="Q107" s="78"/>
      <c r="R107" s="82"/>
      <c r="S107" s="48">
        <v>1</v>
      </c>
      <c r="T107" s="48">
        <v>0</v>
      </c>
      <c r="U107" s="49">
        <v>0</v>
      </c>
      <c r="V107" s="49">
        <v>0.000712</v>
      </c>
      <c r="W107" s="49">
        <v>3E-05</v>
      </c>
      <c r="X107" s="49">
        <v>0.540355</v>
      </c>
      <c r="Y107" s="49">
        <v>0</v>
      </c>
      <c r="Z107" s="49">
        <v>0</v>
      </c>
      <c r="AA107" s="73">
        <v>107</v>
      </c>
      <c r="AB107" s="73"/>
      <c r="AC107" s="74"/>
      <c r="AD107" s="80" t="s">
        <v>768</v>
      </c>
      <c r="AE107" s="80" t="s">
        <v>1098</v>
      </c>
      <c r="AF107" s="80" t="s">
        <v>1424</v>
      </c>
      <c r="AG107" s="80" t="s">
        <v>1669</v>
      </c>
      <c r="AH107" s="80" t="s">
        <v>1821</v>
      </c>
      <c r="AI107" s="80">
        <v>3535035</v>
      </c>
      <c r="AJ107" s="80">
        <v>2024</v>
      </c>
      <c r="AK107" s="80">
        <v>26413</v>
      </c>
      <c r="AL107" s="80">
        <v>649</v>
      </c>
      <c r="AM107" s="80" t="s">
        <v>2047</v>
      </c>
      <c r="AN107" s="98" t="str">
        <f>HYPERLINK("https://www.youtube.com/watch?v=RQr4zytg3z0")</f>
        <v>https://www.youtube.com/watch?v=RQr4zytg3z0</v>
      </c>
      <c r="AO107" s="80" t="str">
        <f>REPLACE(INDEX(GroupVertices[Group],MATCH(Vertices[[#This Row],[Vertex]],GroupVertices[Vertex],0)),1,1,"")</f>
        <v>2</v>
      </c>
      <c r="AP107" s="48">
        <v>1</v>
      </c>
      <c r="AQ107" s="49">
        <v>16.666666666666668</v>
      </c>
      <c r="AR107" s="48">
        <v>1</v>
      </c>
      <c r="AS107" s="49">
        <v>16.666666666666668</v>
      </c>
      <c r="AT107" s="48">
        <v>0</v>
      </c>
      <c r="AU107" s="49">
        <v>0</v>
      </c>
      <c r="AV107" s="48">
        <v>4</v>
      </c>
      <c r="AW107" s="49">
        <v>66.66666666666667</v>
      </c>
      <c r="AX107" s="48">
        <v>6</v>
      </c>
      <c r="AY107" s="48"/>
      <c r="AZ107" s="48"/>
      <c r="BA107" s="48"/>
      <c r="BB107" s="48"/>
      <c r="BC107" s="2"/>
      <c r="BD107" s="3"/>
      <c r="BE107" s="3"/>
      <c r="BF107" s="3"/>
      <c r="BG107" s="3"/>
    </row>
    <row r="108" spans="1:59" ht="15">
      <c r="A108" s="66" t="s">
        <v>429</v>
      </c>
      <c r="B108" s="67"/>
      <c r="C108" s="67"/>
      <c r="D108" s="68">
        <v>297.2130918977326</v>
      </c>
      <c r="E108" s="70"/>
      <c r="F108" s="96" t="str">
        <f>HYPERLINK("https://i.ytimg.com/vi/ppH3n4cXkF4/default.jpg")</f>
        <v>https://i.ytimg.com/vi/ppH3n4cXkF4/default.jpg</v>
      </c>
      <c r="G108" s="67"/>
      <c r="H108" s="71" t="s">
        <v>769</v>
      </c>
      <c r="I108" s="72"/>
      <c r="J108" s="72" t="s">
        <v>159</v>
      </c>
      <c r="K108" s="71" t="s">
        <v>769</v>
      </c>
      <c r="L108" s="75">
        <v>1250.75</v>
      </c>
      <c r="M108" s="76">
        <v>927.9063720703125</v>
      </c>
      <c r="N108" s="76">
        <v>443.593017578125</v>
      </c>
      <c r="O108" s="77"/>
      <c r="P108" s="78"/>
      <c r="Q108" s="78"/>
      <c r="R108" s="82"/>
      <c r="S108" s="48">
        <v>1</v>
      </c>
      <c r="T108" s="48">
        <v>0</v>
      </c>
      <c r="U108" s="49">
        <v>0</v>
      </c>
      <c r="V108" s="49">
        <v>0.000712</v>
      </c>
      <c r="W108" s="49">
        <v>3E-05</v>
      </c>
      <c r="X108" s="49">
        <v>0.540355</v>
      </c>
      <c r="Y108" s="49">
        <v>0</v>
      </c>
      <c r="Z108" s="49">
        <v>0</v>
      </c>
      <c r="AA108" s="73">
        <v>108</v>
      </c>
      <c r="AB108" s="73"/>
      <c r="AC108" s="74"/>
      <c r="AD108" s="80" t="s">
        <v>769</v>
      </c>
      <c r="AE108" s="80" t="s">
        <v>1099</v>
      </c>
      <c r="AF108" s="80" t="s">
        <v>1425</v>
      </c>
      <c r="AG108" s="80" t="s">
        <v>1670</v>
      </c>
      <c r="AH108" s="80" t="s">
        <v>1822</v>
      </c>
      <c r="AI108" s="80">
        <v>2445372</v>
      </c>
      <c r="AJ108" s="80">
        <v>115</v>
      </c>
      <c r="AK108" s="80">
        <v>16923</v>
      </c>
      <c r="AL108" s="80">
        <v>401</v>
      </c>
      <c r="AM108" s="80" t="s">
        <v>2047</v>
      </c>
      <c r="AN108" s="98" t="str">
        <f>HYPERLINK("https://www.youtube.com/watch?v=ppH3n4cXkF4")</f>
        <v>https://www.youtube.com/watch?v=ppH3n4cXkF4</v>
      </c>
      <c r="AO108" s="80" t="str">
        <f>REPLACE(INDEX(GroupVertices[Group],MATCH(Vertices[[#This Row],[Vertex]],GroupVertices[Vertex],0)),1,1,"")</f>
        <v>2</v>
      </c>
      <c r="AP108" s="48">
        <v>5</v>
      </c>
      <c r="AQ108" s="49">
        <v>27.77777777777778</v>
      </c>
      <c r="AR108" s="48">
        <v>0</v>
      </c>
      <c r="AS108" s="49">
        <v>0</v>
      </c>
      <c r="AT108" s="48">
        <v>0</v>
      </c>
      <c r="AU108" s="49">
        <v>0</v>
      </c>
      <c r="AV108" s="48">
        <v>13</v>
      </c>
      <c r="AW108" s="49">
        <v>72.22222222222223</v>
      </c>
      <c r="AX108" s="48">
        <v>18</v>
      </c>
      <c r="AY108" s="48"/>
      <c r="AZ108" s="48"/>
      <c r="BA108" s="48"/>
      <c r="BB108" s="48"/>
      <c r="BC108" s="2"/>
      <c r="BD108" s="3"/>
      <c r="BE108" s="3"/>
      <c r="BF108" s="3"/>
      <c r="BG108" s="3"/>
    </row>
    <row r="109" spans="1:59" ht="15">
      <c r="A109" s="66" t="s">
        <v>430</v>
      </c>
      <c r="B109" s="67"/>
      <c r="C109" s="67"/>
      <c r="D109" s="68">
        <v>99.9282470745201</v>
      </c>
      <c r="E109" s="70"/>
      <c r="F109" s="96" t="str">
        <f>HYPERLINK("https://i.ytimg.com/vi/bwAO2Uy-Rdg/default.jpg")</f>
        <v>https://i.ytimg.com/vi/bwAO2Uy-Rdg/default.jpg</v>
      </c>
      <c r="G109" s="67"/>
      <c r="H109" s="71" t="s">
        <v>770</v>
      </c>
      <c r="I109" s="72"/>
      <c r="J109" s="72" t="s">
        <v>159</v>
      </c>
      <c r="K109" s="71" t="s">
        <v>770</v>
      </c>
      <c r="L109" s="75">
        <v>1250.75</v>
      </c>
      <c r="M109" s="76">
        <v>3313.278076171875</v>
      </c>
      <c r="N109" s="76">
        <v>2384.017822265625</v>
      </c>
      <c r="O109" s="77"/>
      <c r="P109" s="78"/>
      <c r="Q109" s="78"/>
      <c r="R109" s="82"/>
      <c r="S109" s="48">
        <v>1</v>
      </c>
      <c r="T109" s="48">
        <v>0</v>
      </c>
      <c r="U109" s="49">
        <v>0</v>
      </c>
      <c r="V109" s="49">
        <v>0.000712</v>
      </c>
      <c r="W109" s="49">
        <v>3E-05</v>
      </c>
      <c r="X109" s="49">
        <v>0.540355</v>
      </c>
      <c r="Y109" s="49">
        <v>0</v>
      </c>
      <c r="Z109" s="49">
        <v>0</v>
      </c>
      <c r="AA109" s="73">
        <v>109</v>
      </c>
      <c r="AB109" s="73"/>
      <c r="AC109" s="74"/>
      <c r="AD109" s="80" t="s">
        <v>770</v>
      </c>
      <c r="AE109" s="80"/>
      <c r="AF109" s="80" t="s">
        <v>1426</v>
      </c>
      <c r="AG109" s="80" t="s">
        <v>1671</v>
      </c>
      <c r="AH109" s="80" t="s">
        <v>1823</v>
      </c>
      <c r="AI109" s="80">
        <v>230588</v>
      </c>
      <c r="AJ109" s="80">
        <v>216</v>
      </c>
      <c r="AK109" s="80">
        <v>2416</v>
      </c>
      <c r="AL109" s="80">
        <v>51</v>
      </c>
      <c r="AM109" s="80" t="s">
        <v>2047</v>
      </c>
      <c r="AN109" s="98" t="str">
        <f>HYPERLINK("https://www.youtube.com/watch?v=bwAO2Uy-Rdg")</f>
        <v>https://www.youtube.com/watch?v=bwAO2Uy-Rdg</v>
      </c>
      <c r="AO109" s="80" t="str">
        <f>REPLACE(INDEX(GroupVertices[Group],MATCH(Vertices[[#This Row],[Vertex]],GroupVertices[Vertex],0)),1,1,"")</f>
        <v>2</v>
      </c>
      <c r="AP109" s="48">
        <v>1</v>
      </c>
      <c r="AQ109" s="49">
        <v>8.333333333333334</v>
      </c>
      <c r="AR109" s="48">
        <v>1</v>
      </c>
      <c r="AS109" s="49">
        <v>8.333333333333334</v>
      </c>
      <c r="AT109" s="48">
        <v>0</v>
      </c>
      <c r="AU109" s="49">
        <v>0</v>
      </c>
      <c r="AV109" s="48">
        <v>10</v>
      </c>
      <c r="AW109" s="49">
        <v>83.33333333333333</v>
      </c>
      <c r="AX109" s="48">
        <v>12</v>
      </c>
      <c r="AY109" s="48"/>
      <c r="AZ109" s="48"/>
      <c r="BA109" s="48"/>
      <c r="BB109" s="48"/>
      <c r="BC109" s="2"/>
      <c r="BD109" s="3"/>
      <c r="BE109" s="3"/>
      <c r="BF109" s="3"/>
      <c r="BG109" s="3"/>
    </row>
    <row r="110" spans="1:59" ht="15">
      <c r="A110" s="66" t="s">
        <v>431</v>
      </c>
      <c r="B110" s="67"/>
      <c r="C110" s="67"/>
      <c r="D110" s="68">
        <v>150.7064799161908</v>
      </c>
      <c r="E110" s="70"/>
      <c r="F110" s="96" t="str">
        <f>HYPERLINK("https://i.ytimg.com/vi/bueW1i9kQao/default.jpg")</f>
        <v>https://i.ytimg.com/vi/bueW1i9kQao/default.jpg</v>
      </c>
      <c r="G110" s="67"/>
      <c r="H110" s="71" t="s">
        <v>771</v>
      </c>
      <c r="I110" s="72"/>
      <c r="J110" s="72" t="s">
        <v>159</v>
      </c>
      <c r="K110" s="71" t="s">
        <v>771</v>
      </c>
      <c r="L110" s="75">
        <v>1250.75</v>
      </c>
      <c r="M110" s="76">
        <v>1032.941650390625</v>
      </c>
      <c r="N110" s="76">
        <v>2957.668212890625</v>
      </c>
      <c r="O110" s="77"/>
      <c r="P110" s="78"/>
      <c r="Q110" s="78"/>
      <c r="R110" s="82"/>
      <c r="S110" s="48">
        <v>1</v>
      </c>
      <c r="T110" s="48">
        <v>0</v>
      </c>
      <c r="U110" s="49">
        <v>0</v>
      </c>
      <c r="V110" s="49">
        <v>0.000712</v>
      </c>
      <c r="W110" s="49">
        <v>3E-05</v>
      </c>
      <c r="X110" s="49">
        <v>0.540355</v>
      </c>
      <c r="Y110" s="49">
        <v>0</v>
      </c>
      <c r="Z110" s="49">
        <v>0</v>
      </c>
      <c r="AA110" s="73">
        <v>110</v>
      </c>
      <c r="AB110" s="73"/>
      <c r="AC110" s="74"/>
      <c r="AD110" s="80" t="s">
        <v>771</v>
      </c>
      <c r="AE110" s="80" t="s">
        <v>1100</v>
      </c>
      <c r="AF110" s="80" t="s">
        <v>1427</v>
      </c>
      <c r="AG110" s="80" t="s">
        <v>1672</v>
      </c>
      <c r="AH110" s="80" t="s">
        <v>1824</v>
      </c>
      <c r="AI110" s="80">
        <v>800641</v>
      </c>
      <c r="AJ110" s="80">
        <v>515</v>
      </c>
      <c r="AK110" s="80">
        <v>4517</v>
      </c>
      <c r="AL110" s="80">
        <v>75</v>
      </c>
      <c r="AM110" s="80" t="s">
        <v>2047</v>
      </c>
      <c r="AN110" s="98" t="str">
        <f>HYPERLINK("https://www.youtube.com/watch?v=bueW1i9kQao")</f>
        <v>https://www.youtube.com/watch?v=bueW1i9kQao</v>
      </c>
      <c r="AO110" s="80" t="str">
        <f>REPLACE(INDEX(GroupVertices[Group],MATCH(Vertices[[#This Row],[Vertex]],GroupVertices[Vertex],0)),1,1,"")</f>
        <v>2</v>
      </c>
      <c r="AP110" s="48">
        <v>0</v>
      </c>
      <c r="AQ110" s="49">
        <v>0</v>
      </c>
      <c r="AR110" s="48">
        <v>0</v>
      </c>
      <c r="AS110" s="49">
        <v>0</v>
      </c>
      <c r="AT110" s="48">
        <v>0</v>
      </c>
      <c r="AU110" s="49">
        <v>0</v>
      </c>
      <c r="AV110" s="48">
        <v>10</v>
      </c>
      <c r="AW110" s="49">
        <v>100</v>
      </c>
      <c r="AX110" s="48">
        <v>10</v>
      </c>
      <c r="AY110" s="48"/>
      <c r="AZ110" s="48"/>
      <c r="BA110" s="48"/>
      <c r="BB110" s="48"/>
      <c r="BC110" s="2"/>
      <c r="BD110" s="3"/>
      <c r="BE110" s="3"/>
      <c r="BF110" s="3"/>
      <c r="BG110" s="3"/>
    </row>
    <row r="111" spans="1:59" ht="15">
      <c r="A111" s="66" t="s">
        <v>432</v>
      </c>
      <c r="B111" s="67"/>
      <c r="C111" s="67"/>
      <c r="D111" s="68">
        <v>130.74188969638524</v>
      </c>
      <c r="E111" s="70"/>
      <c r="F111" s="96" t="str">
        <f>HYPERLINK("https://i.ytimg.com/vi/dfdhaAg9sf4/default.jpg")</f>
        <v>https://i.ytimg.com/vi/dfdhaAg9sf4/default.jpg</v>
      </c>
      <c r="G111" s="67"/>
      <c r="H111" s="71" t="s">
        <v>772</v>
      </c>
      <c r="I111" s="72"/>
      <c r="J111" s="72" t="s">
        <v>159</v>
      </c>
      <c r="K111" s="71" t="s">
        <v>772</v>
      </c>
      <c r="L111" s="75">
        <v>1250.75</v>
      </c>
      <c r="M111" s="76">
        <v>701.7156982421875</v>
      </c>
      <c r="N111" s="76">
        <v>727.1902465820312</v>
      </c>
      <c r="O111" s="77"/>
      <c r="P111" s="78"/>
      <c r="Q111" s="78"/>
      <c r="R111" s="82"/>
      <c r="S111" s="48">
        <v>1</v>
      </c>
      <c r="T111" s="48">
        <v>0</v>
      </c>
      <c r="U111" s="49">
        <v>0</v>
      </c>
      <c r="V111" s="49">
        <v>0.000712</v>
      </c>
      <c r="W111" s="49">
        <v>3E-05</v>
      </c>
      <c r="X111" s="49">
        <v>0.540355</v>
      </c>
      <c r="Y111" s="49">
        <v>0</v>
      </c>
      <c r="Z111" s="49">
        <v>0</v>
      </c>
      <c r="AA111" s="73">
        <v>111</v>
      </c>
      <c r="AB111" s="73"/>
      <c r="AC111" s="74"/>
      <c r="AD111" s="80" t="s">
        <v>772</v>
      </c>
      <c r="AE111" s="80" t="s">
        <v>1101</v>
      </c>
      <c r="AF111" s="80" t="s">
        <v>1428</v>
      </c>
      <c r="AG111" s="80" t="s">
        <v>1657</v>
      </c>
      <c r="AH111" s="80" t="s">
        <v>1825</v>
      </c>
      <c r="AI111" s="80">
        <v>576512</v>
      </c>
      <c r="AJ111" s="80">
        <v>737</v>
      </c>
      <c r="AK111" s="80">
        <v>9703</v>
      </c>
      <c r="AL111" s="80">
        <v>107</v>
      </c>
      <c r="AM111" s="80" t="s">
        <v>2047</v>
      </c>
      <c r="AN111" s="98" t="str">
        <f>HYPERLINK("https://www.youtube.com/watch?v=dfdhaAg9sf4")</f>
        <v>https://www.youtube.com/watch?v=dfdhaAg9sf4</v>
      </c>
      <c r="AO111" s="80" t="str">
        <f>REPLACE(INDEX(GroupVertices[Group],MATCH(Vertices[[#This Row],[Vertex]],GroupVertices[Vertex],0)),1,1,"")</f>
        <v>2</v>
      </c>
      <c r="AP111" s="48">
        <v>2</v>
      </c>
      <c r="AQ111" s="49">
        <v>5.714285714285714</v>
      </c>
      <c r="AR111" s="48">
        <v>0</v>
      </c>
      <c r="AS111" s="49">
        <v>0</v>
      </c>
      <c r="AT111" s="48">
        <v>0</v>
      </c>
      <c r="AU111" s="49">
        <v>0</v>
      </c>
      <c r="AV111" s="48">
        <v>33</v>
      </c>
      <c r="AW111" s="49">
        <v>94.28571428571429</v>
      </c>
      <c r="AX111" s="48">
        <v>35</v>
      </c>
      <c r="AY111" s="48"/>
      <c r="AZ111" s="48"/>
      <c r="BA111" s="48"/>
      <c r="BB111" s="48"/>
      <c r="BC111" s="2"/>
      <c r="BD111" s="3"/>
      <c r="BE111" s="3"/>
      <c r="BF111" s="3"/>
      <c r="BG111" s="3"/>
    </row>
    <row r="112" spans="1:59" ht="15">
      <c r="A112" s="66" t="s">
        <v>433</v>
      </c>
      <c r="B112" s="67"/>
      <c r="C112" s="67"/>
      <c r="D112" s="68">
        <v>216.40419743189048</v>
      </c>
      <c r="E112" s="70"/>
      <c r="F112" s="96" t="str">
        <f>HYPERLINK("https://i.ytimg.com/vi/cLqlvts4jIs/default.jpg")</f>
        <v>https://i.ytimg.com/vi/cLqlvts4jIs/default.jpg</v>
      </c>
      <c r="G112" s="67"/>
      <c r="H112" s="71" t="s">
        <v>773</v>
      </c>
      <c r="I112" s="72"/>
      <c r="J112" s="72" t="s">
        <v>159</v>
      </c>
      <c r="K112" s="71" t="s">
        <v>773</v>
      </c>
      <c r="L112" s="75">
        <v>1250.75</v>
      </c>
      <c r="M112" s="76">
        <v>1521.6514892578125</v>
      </c>
      <c r="N112" s="76">
        <v>3899.56689453125</v>
      </c>
      <c r="O112" s="77"/>
      <c r="P112" s="78"/>
      <c r="Q112" s="78"/>
      <c r="R112" s="82"/>
      <c r="S112" s="48">
        <v>1</v>
      </c>
      <c r="T112" s="48">
        <v>0</v>
      </c>
      <c r="U112" s="49">
        <v>0</v>
      </c>
      <c r="V112" s="49">
        <v>0.000712</v>
      </c>
      <c r="W112" s="49">
        <v>3E-05</v>
      </c>
      <c r="X112" s="49">
        <v>0.540355</v>
      </c>
      <c r="Y112" s="49">
        <v>0</v>
      </c>
      <c r="Z112" s="49">
        <v>0</v>
      </c>
      <c r="AA112" s="73">
        <v>112</v>
      </c>
      <c r="AB112" s="73"/>
      <c r="AC112" s="74"/>
      <c r="AD112" s="80" t="s">
        <v>773</v>
      </c>
      <c r="AE112" s="80" t="s">
        <v>1102</v>
      </c>
      <c r="AF112" s="80" t="s">
        <v>1429</v>
      </c>
      <c r="AG112" s="80" t="s">
        <v>1657</v>
      </c>
      <c r="AH112" s="80" t="s">
        <v>1826</v>
      </c>
      <c r="AI112" s="80">
        <v>1538185</v>
      </c>
      <c r="AJ112" s="80">
        <v>603</v>
      </c>
      <c r="AK112" s="80">
        <v>13156</v>
      </c>
      <c r="AL112" s="80">
        <v>323</v>
      </c>
      <c r="AM112" s="80" t="s">
        <v>2047</v>
      </c>
      <c r="AN112" s="98" t="str">
        <f>HYPERLINK("https://www.youtube.com/watch?v=cLqlvts4jIs")</f>
        <v>https://www.youtube.com/watch?v=cLqlvts4jIs</v>
      </c>
      <c r="AO112" s="80" t="str">
        <f>REPLACE(INDEX(GroupVertices[Group],MATCH(Vertices[[#This Row],[Vertex]],GroupVertices[Vertex],0)),1,1,"")</f>
        <v>2</v>
      </c>
      <c r="AP112" s="48">
        <v>2</v>
      </c>
      <c r="AQ112" s="49">
        <v>5.555555555555555</v>
      </c>
      <c r="AR112" s="48">
        <v>0</v>
      </c>
      <c r="AS112" s="49">
        <v>0</v>
      </c>
      <c r="AT112" s="48">
        <v>0</v>
      </c>
      <c r="AU112" s="49">
        <v>0</v>
      </c>
      <c r="AV112" s="48">
        <v>34</v>
      </c>
      <c r="AW112" s="49">
        <v>94.44444444444444</v>
      </c>
      <c r="AX112" s="48">
        <v>36</v>
      </c>
      <c r="AY112" s="48"/>
      <c r="AZ112" s="48"/>
      <c r="BA112" s="48"/>
      <c r="BB112" s="48"/>
      <c r="BC112" s="2"/>
      <c r="BD112" s="3"/>
      <c r="BE112" s="3"/>
      <c r="BF112" s="3"/>
      <c r="BG112" s="3"/>
    </row>
    <row r="113" spans="1:59" ht="15">
      <c r="A113" s="66" t="s">
        <v>434</v>
      </c>
      <c r="B113" s="67"/>
      <c r="C113" s="67"/>
      <c r="D113" s="68">
        <v>130.35102273189378</v>
      </c>
      <c r="E113" s="70"/>
      <c r="F113" s="96" t="str">
        <f>HYPERLINK("https://i.ytimg.com/vi/zSSoYmQS6Ng/default.jpg")</f>
        <v>https://i.ytimg.com/vi/zSSoYmQS6Ng/default.jpg</v>
      </c>
      <c r="G113" s="67"/>
      <c r="H113" s="71" t="s">
        <v>774</v>
      </c>
      <c r="I113" s="72"/>
      <c r="J113" s="72" t="s">
        <v>159</v>
      </c>
      <c r="K113" s="71" t="s">
        <v>774</v>
      </c>
      <c r="L113" s="75">
        <v>1250.75</v>
      </c>
      <c r="M113" s="76">
        <v>1526.03515625</v>
      </c>
      <c r="N113" s="76">
        <v>1606.22900390625</v>
      </c>
      <c r="O113" s="77"/>
      <c r="P113" s="78"/>
      <c r="Q113" s="78"/>
      <c r="R113" s="82"/>
      <c r="S113" s="48">
        <v>1</v>
      </c>
      <c r="T113" s="48">
        <v>0</v>
      </c>
      <c r="U113" s="49">
        <v>0</v>
      </c>
      <c r="V113" s="49">
        <v>0.000712</v>
      </c>
      <c r="W113" s="49">
        <v>3E-05</v>
      </c>
      <c r="X113" s="49">
        <v>0.540355</v>
      </c>
      <c r="Y113" s="49">
        <v>0</v>
      </c>
      <c r="Z113" s="49">
        <v>0</v>
      </c>
      <c r="AA113" s="73">
        <v>113</v>
      </c>
      <c r="AB113" s="73"/>
      <c r="AC113" s="74"/>
      <c r="AD113" s="80" t="s">
        <v>774</v>
      </c>
      <c r="AE113" s="80" t="s">
        <v>1103</v>
      </c>
      <c r="AF113" s="80" t="s">
        <v>1430</v>
      </c>
      <c r="AG113" s="80" t="s">
        <v>1657</v>
      </c>
      <c r="AH113" s="80" t="s">
        <v>1827</v>
      </c>
      <c r="AI113" s="80">
        <v>572124</v>
      </c>
      <c r="AJ113" s="80">
        <v>362</v>
      </c>
      <c r="AK113" s="80">
        <v>5486</v>
      </c>
      <c r="AL113" s="80">
        <v>73</v>
      </c>
      <c r="AM113" s="80" t="s">
        <v>2047</v>
      </c>
      <c r="AN113" s="98" t="str">
        <f>HYPERLINK("https://www.youtube.com/watch?v=zSSoYmQS6Ng")</f>
        <v>https://www.youtube.com/watch?v=zSSoYmQS6Ng</v>
      </c>
      <c r="AO113" s="80" t="str">
        <f>REPLACE(INDEX(GroupVertices[Group],MATCH(Vertices[[#This Row],[Vertex]],GroupVertices[Vertex],0)),1,1,"")</f>
        <v>2</v>
      </c>
      <c r="AP113" s="48">
        <v>2</v>
      </c>
      <c r="AQ113" s="49">
        <v>4.166666666666667</v>
      </c>
      <c r="AR113" s="48">
        <v>3</v>
      </c>
      <c r="AS113" s="49">
        <v>6.25</v>
      </c>
      <c r="AT113" s="48">
        <v>0</v>
      </c>
      <c r="AU113" s="49">
        <v>0</v>
      </c>
      <c r="AV113" s="48">
        <v>43</v>
      </c>
      <c r="AW113" s="49">
        <v>89.58333333333333</v>
      </c>
      <c r="AX113" s="48">
        <v>48</v>
      </c>
      <c r="AY113" s="48"/>
      <c r="AZ113" s="48"/>
      <c r="BA113" s="48"/>
      <c r="BB113" s="48"/>
      <c r="BC113" s="2"/>
      <c r="BD113" s="3"/>
      <c r="BE113" s="3"/>
      <c r="BF113" s="3"/>
      <c r="BG113" s="3"/>
    </row>
    <row r="114" spans="1:59" ht="15">
      <c r="A114" s="66" t="s">
        <v>435</v>
      </c>
      <c r="B114" s="67"/>
      <c r="C114" s="67"/>
      <c r="D114" s="68">
        <v>226.27973455251728</v>
      </c>
      <c r="E114" s="70"/>
      <c r="F114" s="96" t="str">
        <f>HYPERLINK("https://i.ytimg.com/vi/m5QNKjV-fys/default.jpg")</f>
        <v>https://i.ytimg.com/vi/m5QNKjV-fys/default.jpg</v>
      </c>
      <c r="G114" s="67"/>
      <c r="H114" s="71" t="s">
        <v>775</v>
      </c>
      <c r="I114" s="72"/>
      <c r="J114" s="72" t="s">
        <v>159</v>
      </c>
      <c r="K114" s="71" t="s">
        <v>775</v>
      </c>
      <c r="L114" s="75">
        <v>1250.75</v>
      </c>
      <c r="M114" s="76">
        <v>2575.3720703125</v>
      </c>
      <c r="N114" s="76">
        <v>4203.25732421875</v>
      </c>
      <c r="O114" s="77"/>
      <c r="P114" s="78"/>
      <c r="Q114" s="78"/>
      <c r="R114" s="82"/>
      <c r="S114" s="48">
        <v>1</v>
      </c>
      <c r="T114" s="48">
        <v>0</v>
      </c>
      <c r="U114" s="49">
        <v>0</v>
      </c>
      <c r="V114" s="49">
        <v>0.000712</v>
      </c>
      <c r="W114" s="49">
        <v>3E-05</v>
      </c>
      <c r="X114" s="49">
        <v>0.540355</v>
      </c>
      <c r="Y114" s="49">
        <v>0</v>
      </c>
      <c r="Z114" s="49">
        <v>0</v>
      </c>
      <c r="AA114" s="73">
        <v>114</v>
      </c>
      <c r="AB114" s="73"/>
      <c r="AC114" s="74"/>
      <c r="AD114" s="80" t="s">
        <v>775</v>
      </c>
      <c r="AE114" s="80" t="s">
        <v>1104</v>
      </c>
      <c r="AF114" s="80" t="s">
        <v>1431</v>
      </c>
      <c r="AG114" s="80" t="s">
        <v>1657</v>
      </c>
      <c r="AH114" s="80" t="s">
        <v>1828</v>
      </c>
      <c r="AI114" s="80">
        <v>1649051</v>
      </c>
      <c r="AJ114" s="80">
        <v>839</v>
      </c>
      <c r="AK114" s="80">
        <v>19082</v>
      </c>
      <c r="AL114" s="80">
        <v>279</v>
      </c>
      <c r="AM114" s="80" t="s">
        <v>2047</v>
      </c>
      <c r="AN114" s="98" t="str">
        <f>HYPERLINK("https://www.youtube.com/watch?v=m5QNKjV-fys")</f>
        <v>https://www.youtube.com/watch?v=m5QNKjV-fys</v>
      </c>
      <c r="AO114" s="80" t="str">
        <f>REPLACE(INDEX(GroupVertices[Group],MATCH(Vertices[[#This Row],[Vertex]],GroupVertices[Vertex],0)),1,1,"")</f>
        <v>2</v>
      </c>
      <c r="AP114" s="48">
        <v>2</v>
      </c>
      <c r="AQ114" s="49">
        <v>6.896551724137931</v>
      </c>
      <c r="AR114" s="48">
        <v>0</v>
      </c>
      <c r="AS114" s="49">
        <v>0</v>
      </c>
      <c r="AT114" s="48">
        <v>0</v>
      </c>
      <c r="AU114" s="49">
        <v>0</v>
      </c>
      <c r="AV114" s="48">
        <v>27</v>
      </c>
      <c r="AW114" s="49">
        <v>93.10344827586206</v>
      </c>
      <c r="AX114" s="48">
        <v>29</v>
      </c>
      <c r="AY114" s="48"/>
      <c r="AZ114" s="48"/>
      <c r="BA114" s="48"/>
      <c r="BB114" s="48"/>
      <c r="BC114" s="2"/>
      <c r="BD114" s="3"/>
      <c r="BE114" s="3"/>
      <c r="BF114" s="3"/>
      <c r="BG114" s="3"/>
    </row>
    <row r="115" spans="1:59" ht="15">
      <c r="A115" s="66" t="s">
        <v>436</v>
      </c>
      <c r="B115" s="67"/>
      <c r="C115" s="67"/>
      <c r="D115" s="68">
        <v>289.95461754300356</v>
      </c>
      <c r="E115" s="70"/>
      <c r="F115" s="96" t="str">
        <f>HYPERLINK("https://i.ytimg.com/vi/mcfREDQXJss/default.jpg")</f>
        <v>https://i.ytimg.com/vi/mcfREDQXJss/default.jpg</v>
      </c>
      <c r="G115" s="67"/>
      <c r="H115" s="71" t="s">
        <v>776</v>
      </c>
      <c r="I115" s="72"/>
      <c r="J115" s="72" t="s">
        <v>159</v>
      </c>
      <c r="K115" s="71" t="s">
        <v>776</v>
      </c>
      <c r="L115" s="75">
        <v>1250.75</v>
      </c>
      <c r="M115" s="76">
        <v>2733.35888671875</v>
      </c>
      <c r="N115" s="76">
        <v>1548.790283203125</v>
      </c>
      <c r="O115" s="77"/>
      <c r="P115" s="78"/>
      <c r="Q115" s="78"/>
      <c r="R115" s="82"/>
      <c r="S115" s="48">
        <v>1</v>
      </c>
      <c r="T115" s="48">
        <v>0</v>
      </c>
      <c r="U115" s="49">
        <v>0</v>
      </c>
      <c r="V115" s="49">
        <v>0.000712</v>
      </c>
      <c r="W115" s="49">
        <v>3E-05</v>
      </c>
      <c r="X115" s="49">
        <v>0.540355</v>
      </c>
      <c r="Y115" s="49">
        <v>0</v>
      </c>
      <c r="Z115" s="49">
        <v>0</v>
      </c>
      <c r="AA115" s="73">
        <v>115</v>
      </c>
      <c r="AB115" s="73"/>
      <c r="AC115" s="74"/>
      <c r="AD115" s="80" t="s">
        <v>776</v>
      </c>
      <c r="AE115" s="80" t="s">
        <v>1105</v>
      </c>
      <c r="AF115" s="80" t="s">
        <v>1431</v>
      </c>
      <c r="AG115" s="80" t="s">
        <v>1657</v>
      </c>
      <c r="AH115" s="80" t="s">
        <v>1829</v>
      </c>
      <c r="AI115" s="80">
        <v>2363886</v>
      </c>
      <c r="AJ115" s="80">
        <v>730</v>
      </c>
      <c r="AK115" s="80">
        <v>18940</v>
      </c>
      <c r="AL115" s="80">
        <v>401</v>
      </c>
      <c r="AM115" s="80" t="s">
        <v>2047</v>
      </c>
      <c r="AN115" s="98" t="str">
        <f>HYPERLINK("https://www.youtube.com/watch?v=mcfREDQXJss")</f>
        <v>https://www.youtube.com/watch?v=mcfREDQXJss</v>
      </c>
      <c r="AO115" s="80" t="str">
        <f>REPLACE(INDEX(GroupVertices[Group],MATCH(Vertices[[#This Row],[Vertex]],GroupVertices[Vertex],0)),1,1,"")</f>
        <v>2</v>
      </c>
      <c r="AP115" s="48">
        <v>2</v>
      </c>
      <c r="AQ115" s="49">
        <v>6.896551724137931</v>
      </c>
      <c r="AR115" s="48">
        <v>0</v>
      </c>
      <c r="AS115" s="49">
        <v>0</v>
      </c>
      <c r="AT115" s="48">
        <v>0</v>
      </c>
      <c r="AU115" s="49">
        <v>0</v>
      </c>
      <c r="AV115" s="48">
        <v>27</v>
      </c>
      <c r="AW115" s="49">
        <v>93.10344827586206</v>
      </c>
      <c r="AX115" s="48">
        <v>29</v>
      </c>
      <c r="AY115" s="48"/>
      <c r="AZ115" s="48"/>
      <c r="BA115" s="48"/>
      <c r="BB115" s="48"/>
      <c r="BC115" s="2"/>
      <c r="BD115" s="3"/>
      <c r="BE115" s="3"/>
      <c r="BF115" s="3"/>
      <c r="BG115" s="3"/>
    </row>
    <row r="116" spans="1:59" ht="15">
      <c r="A116" s="66" t="s">
        <v>437</v>
      </c>
      <c r="B116" s="67"/>
      <c r="C116" s="67"/>
      <c r="D116" s="68">
        <v>143.25310653723488</v>
      </c>
      <c r="E116" s="70"/>
      <c r="F116" s="96" t="str">
        <f>HYPERLINK("https://i.ytimg.com/vi/vPDxQBEFUEo/default.jpg")</f>
        <v>https://i.ytimg.com/vi/vPDxQBEFUEo/default.jpg</v>
      </c>
      <c r="G116" s="67"/>
      <c r="H116" s="71" t="s">
        <v>777</v>
      </c>
      <c r="I116" s="72"/>
      <c r="J116" s="72" t="s">
        <v>159</v>
      </c>
      <c r="K116" s="71" t="s">
        <v>777</v>
      </c>
      <c r="L116" s="75">
        <v>1250.75</v>
      </c>
      <c r="M116" s="76">
        <v>3193.20361328125</v>
      </c>
      <c r="N116" s="76">
        <v>1489.24462890625</v>
      </c>
      <c r="O116" s="77"/>
      <c r="P116" s="78"/>
      <c r="Q116" s="78"/>
      <c r="R116" s="82"/>
      <c r="S116" s="48">
        <v>1</v>
      </c>
      <c r="T116" s="48">
        <v>0</v>
      </c>
      <c r="U116" s="49">
        <v>0</v>
      </c>
      <c r="V116" s="49">
        <v>0.000712</v>
      </c>
      <c r="W116" s="49">
        <v>3E-05</v>
      </c>
      <c r="X116" s="49">
        <v>0.540355</v>
      </c>
      <c r="Y116" s="49">
        <v>0</v>
      </c>
      <c r="Z116" s="49">
        <v>0</v>
      </c>
      <c r="AA116" s="73">
        <v>116</v>
      </c>
      <c r="AB116" s="73"/>
      <c r="AC116" s="74"/>
      <c r="AD116" s="80" t="s">
        <v>777</v>
      </c>
      <c r="AE116" s="80" t="s">
        <v>1106</v>
      </c>
      <c r="AF116" s="80" t="s">
        <v>1431</v>
      </c>
      <c r="AG116" s="80" t="s">
        <v>1657</v>
      </c>
      <c r="AH116" s="80" t="s">
        <v>1830</v>
      </c>
      <c r="AI116" s="80">
        <v>716967</v>
      </c>
      <c r="AJ116" s="80">
        <v>415</v>
      </c>
      <c r="AK116" s="80">
        <v>7478</v>
      </c>
      <c r="AL116" s="80">
        <v>179</v>
      </c>
      <c r="AM116" s="80" t="s">
        <v>2047</v>
      </c>
      <c r="AN116" s="98" t="str">
        <f>HYPERLINK("https://www.youtube.com/watch?v=vPDxQBEFUEo")</f>
        <v>https://www.youtube.com/watch?v=vPDxQBEFUEo</v>
      </c>
      <c r="AO116" s="80" t="str">
        <f>REPLACE(INDEX(GroupVertices[Group],MATCH(Vertices[[#This Row],[Vertex]],GroupVertices[Vertex],0)),1,1,"")</f>
        <v>2</v>
      </c>
      <c r="AP116" s="48">
        <v>2</v>
      </c>
      <c r="AQ116" s="49">
        <v>6.896551724137931</v>
      </c>
      <c r="AR116" s="48">
        <v>0</v>
      </c>
      <c r="AS116" s="49">
        <v>0</v>
      </c>
      <c r="AT116" s="48">
        <v>0</v>
      </c>
      <c r="AU116" s="49">
        <v>0</v>
      </c>
      <c r="AV116" s="48">
        <v>27</v>
      </c>
      <c r="AW116" s="49">
        <v>93.10344827586206</v>
      </c>
      <c r="AX116" s="48">
        <v>29</v>
      </c>
      <c r="AY116" s="48"/>
      <c r="AZ116" s="48"/>
      <c r="BA116" s="48"/>
      <c r="BB116" s="48"/>
      <c r="BC116" s="2"/>
      <c r="BD116" s="3"/>
      <c r="BE116" s="3"/>
      <c r="BF116" s="3"/>
      <c r="BG116" s="3"/>
    </row>
    <row r="117" spans="1:59" ht="15">
      <c r="A117" s="66" t="s">
        <v>438</v>
      </c>
      <c r="B117" s="67"/>
      <c r="C117" s="67"/>
      <c r="D117" s="68">
        <v>140.28802252469447</v>
      </c>
      <c r="E117" s="70"/>
      <c r="F117" s="96" t="str">
        <f>HYPERLINK("https://i.ytimg.com/vi/lvlso1fp-a8/default.jpg")</f>
        <v>https://i.ytimg.com/vi/lvlso1fp-a8/default.jpg</v>
      </c>
      <c r="G117" s="67"/>
      <c r="H117" s="71" t="s">
        <v>778</v>
      </c>
      <c r="I117" s="72"/>
      <c r="J117" s="72" t="s">
        <v>159</v>
      </c>
      <c r="K117" s="71" t="s">
        <v>778</v>
      </c>
      <c r="L117" s="75">
        <v>1250.75</v>
      </c>
      <c r="M117" s="76">
        <v>2105.269287109375</v>
      </c>
      <c r="N117" s="76">
        <v>508.0474548339844</v>
      </c>
      <c r="O117" s="77"/>
      <c r="P117" s="78"/>
      <c r="Q117" s="78"/>
      <c r="R117" s="82"/>
      <c r="S117" s="48">
        <v>1</v>
      </c>
      <c r="T117" s="48">
        <v>0</v>
      </c>
      <c r="U117" s="49">
        <v>0</v>
      </c>
      <c r="V117" s="49">
        <v>0.000712</v>
      </c>
      <c r="W117" s="49">
        <v>3E-05</v>
      </c>
      <c r="X117" s="49">
        <v>0.540355</v>
      </c>
      <c r="Y117" s="49">
        <v>0</v>
      </c>
      <c r="Z117" s="49">
        <v>0</v>
      </c>
      <c r="AA117" s="73">
        <v>117</v>
      </c>
      <c r="AB117" s="73"/>
      <c r="AC117" s="74"/>
      <c r="AD117" s="80" t="s">
        <v>778</v>
      </c>
      <c r="AE117" s="80" t="s">
        <v>1107</v>
      </c>
      <c r="AF117" s="80" t="s">
        <v>1431</v>
      </c>
      <c r="AG117" s="80" t="s">
        <v>1657</v>
      </c>
      <c r="AH117" s="80" t="s">
        <v>1831</v>
      </c>
      <c r="AI117" s="80">
        <v>683680</v>
      </c>
      <c r="AJ117" s="80">
        <v>512</v>
      </c>
      <c r="AK117" s="80">
        <v>9035</v>
      </c>
      <c r="AL117" s="80">
        <v>135</v>
      </c>
      <c r="AM117" s="80" t="s">
        <v>2047</v>
      </c>
      <c r="AN117" s="98" t="str">
        <f>HYPERLINK("https://www.youtube.com/watch?v=lvlso1fp-a8")</f>
        <v>https://www.youtube.com/watch?v=lvlso1fp-a8</v>
      </c>
      <c r="AO117" s="80" t="str">
        <f>REPLACE(INDEX(GroupVertices[Group],MATCH(Vertices[[#This Row],[Vertex]],GroupVertices[Vertex],0)),1,1,"")</f>
        <v>2</v>
      </c>
      <c r="AP117" s="48">
        <v>2</v>
      </c>
      <c r="AQ117" s="49">
        <v>6.896551724137931</v>
      </c>
      <c r="AR117" s="48">
        <v>0</v>
      </c>
      <c r="AS117" s="49">
        <v>0</v>
      </c>
      <c r="AT117" s="48">
        <v>0</v>
      </c>
      <c r="AU117" s="49">
        <v>0</v>
      </c>
      <c r="AV117" s="48">
        <v>27</v>
      </c>
      <c r="AW117" s="49">
        <v>93.10344827586206</v>
      </c>
      <c r="AX117" s="48">
        <v>29</v>
      </c>
      <c r="AY117" s="48"/>
      <c r="AZ117" s="48"/>
      <c r="BA117" s="48"/>
      <c r="BB117" s="48"/>
      <c r="BC117" s="2"/>
      <c r="BD117" s="3"/>
      <c r="BE117" s="3"/>
      <c r="BF117" s="3"/>
      <c r="BG117" s="3"/>
    </row>
    <row r="118" spans="1:59" ht="15">
      <c r="A118" s="66" t="s">
        <v>439</v>
      </c>
      <c r="B118" s="67"/>
      <c r="C118" s="67"/>
      <c r="D118" s="68">
        <v>103.33506063968429</v>
      </c>
      <c r="E118" s="70"/>
      <c r="F118" s="96" t="str">
        <f>HYPERLINK("https://i.ytimg.com/vi/ZoOxPcdL1xU/default.jpg")</f>
        <v>https://i.ytimg.com/vi/ZoOxPcdL1xU/default.jpg</v>
      </c>
      <c r="G118" s="67"/>
      <c r="H118" s="71" t="s">
        <v>779</v>
      </c>
      <c r="I118" s="72"/>
      <c r="J118" s="72" t="s">
        <v>159</v>
      </c>
      <c r="K118" s="71" t="s">
        <v>779</v>
      </c>
      <c r="L118" s="75">
        <v>1250.75</v>
      </c>
      <c r="M118" s="76">
        <v>1948.015869140625</v>
      </c>
      <c r="N118" s="76">
        <v>1136.736572265625</v>
      </c>
      <c r="O118" s="77"/>
      <c r="P118" s="78"/>
      <c r="Q118" s="78"/>
      <c r="R118" s="82"/>
      <c r="S118" s="48">
        <v>1</v>
      </c>
      <c r="T118" s="48">
        <v>0</v>
      </c>
      <c r="U118" s="49">
        <v>0</v>
      </c>
      <c r="V118" s="49">
        <v>0.000712</v>
      </c>
      <c r="W118" s="49">
        <v>3E-05</v>
      </c>
      <c r="X118" s="49">
        <v>0.540355</v>
      </c>
      <c r="Y118" s="49">
        <v>0</v>
      </c>
      <c r="Z118" s="49">
        <v>0</v>
      </c>
      <c r="AA118" s="73">
        <v>118</v>
      </c>
      <c r="AB118" s="73"/>
      <c r="AC118" s="74"/>
      <c r="AD118" s="80" t="s">
        <v>779</v>
      </c>
      <c r="AE118" s="80" t="s">
        <v>1108</v>
      </c>
      <c r="AF118" s="80" t="s">
        <v>1431</v>
      </c>
      <c r="AG118" s="80" t="s">
        <v>1657</v>
      </c>
      <c r="AH118" s="80" t="s">
        <v>1832</v>
      </c>
      <c r="AI118" s="80">
        <v>268834</v>
      </c>
      <c r="AJ118" s="80">
        <v>251</v>
      </c>
      <c r="AK118" s="80">
        <v>3264</v>
      </c>
      <c r="AL118" s="80">
        <v>58</v>
      </c>
      <c r="AM118" s="80" t="s">
        <v>2047</v>
      </c>
      <c r="AN118" s="98" t="str">
        <f>HYPERLINK("https://www.youtube.com/watch?v=ZoOxPcdL1xU")</f>
        <v>https://www.youtube.com/watch?v=ZoOxPcdL1xU</v>
      </c>
      <c r="AO118" s="80" t="str">
        <f>REPLACE(INDEX(GroupVertices[Group],MATCH(Vertices[[#This Row],[Vertex]],GroupVertices[Vertex],0)),1,1,"")</f>
        <v>2</v>
      </c>
      <c r="AP118" s="48">
        <v>2</v>
      </c>
      <c r="AQ118" s="49">
        <v>6.896551724137931</v>
      </c>
      <c r="AR118" s="48">
        <v>0</v>
      </c>
      <c r="AS118" s="49">
        <v>0</v>
      </c>
      <c r="AT118" s="48">
        <v>0</v>
      </c>
      <c r="AU118" s="49">
        <v>0</v>
      </c>
      <c r="AV118" s="48">
        <v>27</v>
      </c>
      <c r="AW118" s="49">
        <v>93.10344827586206</v>
      </c>
      <c r="AX118" s="48">
        <v>29</v>
      </c>
      <c r="AY118" s="48"/>
      <c r="AZ118" s="48"/>
      <c r="BA118" s="48"/>
      <c r="BB118" s="48"/>
      <c r="BC118" s="2"/>
      <c r="BD118" s="3"/>
      <c r="BE118" s="3"/>
      <c r="BF118" s="3"/>
      <c r="BG118" s="3"/>
    </row>
    <row r="119" spans="1:59" ht="15">
      <c r="A119" s="66" t="s">
        <v>440</v>
      </c>
      <c r="B119" s="67"/>
      <c r="C119" s="67"/>
      <c r="D119" s="68">
        <v>285.014800226951</v>
      </c>
      <c r="E119" s="70"/>
      <c r="F119" s="96" t="str">
        <f>HYPERLINK("https://i.ytimg.com/vi/PMBg9A7IoJY/default.jpg")</f>
        <v>https://i.ytimg.com/vi/PMBg9A7IoJY/default.jpg</v>
      </c>
      <c r="G119" s="67"/>
      <c r="H119" s="71" t="s">
        <v>780</v>
      </c>
      <c r="I119" s="72"/>
      <c r="J119" s="72" t="s">
        <v>159</v>
      </c>
      <c r="K119" s="71" t="s">
        <v>780</v>
      </c>
      <c r="L119" s="75">
        <v>1250.75</v>
      </c>
      <c r="M119" s="76">
        <v>1089.3741455078125</v>
      </c>
      <c r="N119" s="76">
        <v>1153.30712890625</v>
      </c>
      <c r="O119" s="77"/>
      <c r="P119" s="78"/>
      <c r="Q119" s="78"/>
      <c r="R119" s="82"/>
      <c r="S119" s="48">
        <v>1</v>
      </c>
      <c r="T119" s="48">
        <v>0</v>
      </c>
      <c r="U119" s="49">
        <v>0</v>
      </c>
      <c r="V119" s="49">
        <v>0.000712</v>
      </c>
      <c r="W119" s="49">
        <v>3E-05</v>
      </c>
      <c r="X119" s="49">
        <v>0.540355</v>
      </c>
      <c r="Y119" s="49">
        <v>0</v>
      </c>
      <c r="Z119" s="49">
        <v>0</v>
      </c>
      <c r="AA119" s="73">
        <v>119</v>
      </c>
      <c r="AB119" s="73"/>
      <c r="AC119" s="74"/>
      <c r="AD119" s="80" t="s">
        <v>780</v>
      </c>
      <c r="AE119" s="80" t="s">
        <v>1109</v>
      </c>
      <c r="AF119" s="80" t="s">
        <v>1431</v>
      </c>
      <c r="AG119" s="80" t="s">
        <v>1657</v>
      </c>
      <c r="AH119" s="80" t="s">
        <v>1833</v>
      </c>
      <c r="AI119" s="80">
        <v>2308430</v>
      </c>
      <c r="AJ119" s="80">
        <v>1504</v>
      </c>
      <c r="AK119" s="80">
        <v>24408</v>
      </c>
      <c r="AL119" s="80">
        <v>491</v>
      </c>
      <c r="AM119" s="80" t="s">
        <v>2047</v>
      </c>
      <c r="AN119" s="98" t="str">
        <f>HYPERLINK("https://www.youtube.com/watch?v=PMBg9A7IoJY")</f>
        <v>https://www.youtube.com/watch?v=PMBg9A7IoJY</v>
      </c>
      <c r="AO119" s="80" t="str">
        <f>REPLACE(INDEX(GroupVertices[Group],MATCH(Vertices[[#This Row],[Vertex]],GroupVertices[Vertex],0)),1,1,"")</f>
        <v>2</v>
      </c>
      <c r="AP119" s="48">
        <v>2</v>
      </c>
      <c r="AQ119" s="49">
        <v>6.896551724137931</v>
      </c>
      <c r="AR119" s="48">
        <v>0</v>
      </c>
      <c r="AS119" s="49">
        <v>0</v>
      </c>
      <c r="AT119" s="48">
        <v>0</v>
      </c>
      <c r="AU119" s="49">
        <v>0</v>
      </c>
      <c r="AV119" s="48">
        <v>27</v>
      </c>
      <c r="AW119" s="49">
        <v>93.10344827586206</v>
      </c>
      <c r="AX119" s="48">
        <v>29</v>
      </c>
      <c r="AY119" s="48"/>
      <c r="AZ119" s="48"/>
      <c r="BA119" s="48"/>
      <c r="BB119" s="48"/>
      <c r="BC119" s="2"/>
      <c r="BD119" s="3"/>
      <c r="BE119" s="3"/>
      <c r="BF119" s="3"/>
      <c r="BG119" s="3"/>
    </row>
    <row r="120" spans="1:59" ht="15">
      <c r="A120" s="66" t="s">
        <v>441</v>
      </c>
      <c r="B120" s="67"/>
      <c r="C120" s="67"/>
      <c r="D120" s="68">
        <v>341.25234357904844</v>
      </c>
      <c r="E120" s="70"/>
      <c r="F120" s="96" t="str">
        <f>HYPERLINK("https://i.ytimg.com/vi/bIOEkv7PibM/default.jpg")</f>
        <v>https://i.ytimg.com/vi/bIOEkv7PibM/default.jpg</v>
      </c>
      <c r="G120" s="67"/>
      <c r="H120" s="71" t="s">
        <v>781</v>
      </c>
      <c r="I120" s="72"/>
      <c r="J120" s="72" t="s">
        <v>159</v>
      </c>
      <c r="K120" s="71" t="s">
        <v>781</v>
      </c>
      <c r="L120" s="75">
        <v>1250.75</v>
      </c>
      <c r="M120" s="76">
        <v>1583.012451171875</v>
      </c>
      <c r="N120" s="76">
        <v>160.11483764648438</v>
      </c>
      <c r="O120" s="77"/>
      <c r="P120" s="78"/>
      <c r="Q120" s="78"/>
      <c r="R120" s="82"/>
      <c r="S120" s="48">
        <v>1</v>
      </c>
      <c r="T120" s="48">
        <v>0</v>
      </c>
      <c r="U120" s="49">
        <v>0</v>
      </c>
      <c r="V120" s="49">
        <v>0.000712</v>
      </c>
      <c r="W120" s="49">
        <v>3E-05</v>
      </c>
      <c r="X120" s="49">
        <v>0.540355</v>
      </c>
      <c r="Y120" s="49">
        <v>0</v>
      </c>
      <c r="Z120" s="49">
        <v>0</v>
      </c>
      <c r="AA120" s="73">
        <v>120</v>
      </c>
      <c r="AB120" s="73"/>
      <c r="AC120" s="74"/>
      <c r="AD120" s="80" t="s">
        <v>781</v>
      </c>
      <c r="AE120" s="80" t="s">
        <v>1110</v>
      </c>
      <c r="AF120" s="80" t="s">
        <v>1432</v>
      </c>
      <c r="AG120" s="80" t="s">
        <v>1657</v>
      </c>
      <c r="AH120" s="80" t="s">
        <v>1834</v>
      </c>
      <c r="AI120" s="80">
        <v>2939771</v>
      </c>
      <c r="AJ120" s="80">
        <v>734</v>
      </c>
      <c r="AK120" s="80">
        <v>22841</v>
      </c>
      <c r="AL120" s="80">
        <v>402</v>
      </c>
      <c r="AM120" s="80" t="s">
        <v>2047</v>
      </c>
      <c r="AN120" s="98" t="str">
        <f>HYPERLINK("https://www.youtube.com/watch?v=bIOEkv7PibM")</f>
        <v>https://www.youtube.com/watch?v=bIOEkv7PibM</v>
      </c>
      <c r="AO120" s="80" t="str">
        <f>REPLACE(INDEX(GroupVertices[Group],MATCH(Vertices[[#This Row],[Vertex]],GroupVertices[Vertex],0)),1,1,"")</f>
        <v>2</v>
      </c>
      <c r="AP120" s="48">
        <v>2</v>
      </c>
      <c r="AQ120" s="49">
        <v>5</v>
      </c>
      <c r="AR120" s="48">
        <v>0</v>
      </c>
      <c r="AS120" s="49">
        <v>0</v>
      </c>
      <c r="AT120" s="48">
        <v>0</v>
      </c>
      <c r="AU120" s="49">
        <v>0</v>
      </c>
      <c r="AV120" s="48">
        <v>38</v>
      </c>
      <c r="AW120" s="49">
        <v>95</v>
      </c>
      <c r="AX120" s="48">
        <v>40</v>
      </c>
      <c r="AY120" s="48"/>
      <c r="AZ120" s="48"/>
      <c r="BA120" s="48"/>
      <c r="BB120" s="48"/>
      <c r="BC120" s="2"/>
      <c r="BD120" s="3"/>
      <c r="BE120" s="3"/>
      <c r="BF120" s="3"/>
      <c r="BG120" s="3"/>
    </row>
    <row r="121" spans="1:59" ht="15">
      <c r="A121" s="66" t="s">
        <v>442</v>
      </c>
      <c r="B121" s="67"/>
      <c r="C121" s="67"/>
      <c r="D121" s="68">
        <v>276.26438631245264</v>
      </c>
      <c r="E121" s="70"/>
      <c r="F121" s="96" t="str">
        <f>HYPERLINK("https://i.ytimg.com/vi/51G9eU4430Y/default.jpg")</f>
        <v>https://i.ytimg.com/vi/51G9eU4430Y/default.jpg</v>
      </c>
      <c r="G121" s="67"/>
      <c r="H121" s="71" t="s">
        <v>782</v>
      </c>
      <c r="I121" s="72"/>
      <c r="J121" s="72" t="s">
        <v>159</v>
      </c>
      <c r="K121" s="71" t="s">
        <v>782</v>
      </c>
      <c r="L121" s="75">
        <v>1250.75</v>
      </c>
      <c r="M121" s="76">
        <v>3018.187255859375</v>
      </c>
      <c r="N121" s="76">
        <v>1067.4810791015625</v>
      </c>
      <c r="O121" s="77"/>
      <c r="P121" s="78"/>
      <c r="Q121" s="78"/>
      <c r="R121" s="82"/>
      <c r="S121" s="48">
        <v>1</v>
      </c>
      <c r="T121" s="48">
        <v>0</v>
      </c>
      <c r="U121" s="49">
        <v>0</v>
      </c>
      <c r="V121" s="49">
        <v>0.000712</v>
      </c>
      <c r="W121" s="49">
        <v>3E-05</v>
      </c>
      <c r="X121" s="49">
        <v>0.540355</v>
      </c>
      <c r="Y121" s="49">
        <v>0</v>
      </c>
      <c r="Z121" s="49">
        <v>0</v>
      </c>
      <c r="AA121" s="73">
        <v>121</v>
      </c>
      <c r="AB121" s="73"/>
      <c r="AC121" s="74"/>
      <c r="AD121" s="80" t="s">
        <v>782</v>
      </c>
      <c r="AE121" s="80" t="s">
        <v>1111</v>
      </c>
      <c r="AF121" s="80" t="s">
        <v>1431</v>
      </c>
      <c r="AG121" s="80" t="s">
        <v>1657</v>
      </c>
      <c r="AH121" s="80" t="s">
        <v>1835</v>
      </c>
      <c r="AI121" s="80">
        <v>2210195</v>
      </c>
      <c r="AJ121" s="80">
        <v>1663</v>
      </c>
      <c r="AK121" s="80">
        <v>22536</v>
      </c>
      <c r="AL121" s="80">
        <v>562</v>
      </c>
      <c r="AM121" s="80" t="s">
        <v>2047</v>
      </c>
      <c r="AN121" s="98" t="str">
        <f>HYPERLINK("https://www.youtube.com/watch?v=51G9eU4430Y")</f>
        <v>https://www.youtube.com/watch?v=51G9eU4430Y</v>
      </c>
      <c r="AO121" s="80" t="str">
        <f>REPLACE(INDEX(GroupVertices[Group],MATCH(Vertices[[#This Row],[Vertex]],GroupVertices[Vertex],0)),1,1,"")</f>
        <v>2</v>
      </c>
      <c r="AP121" s="48">
        <v>2</v>
      </c>
      <c r="AQ121" s="49">
        <v>6.896551724137931</v>
      </c>
      <c r="AR121" s="48">
        <v>0</v>
      </c>
      <c r="AS121" s="49">
        <v>0</v>
      </c>
      <c r="AT121" s="48">
        <v>0</v>
      </c>
      <c r="AU121" s="49">
        <v>0</v>
      </c>
      <c r="AV121" s="48">
        <v>27</v>
      </c>
      <c r="AW121" s="49">
        <v>93.10344827586206</v>
      </c>
      <c r="AX121" s="48">
        <v>29</v>
      </c>
      <c r="AY121" s="48"/>
      <c r="AZ121" s="48"/>
      <c r="BA121" s="48"/>
      <c r="BB121" s="48"/>
      <c r="BC121" s="2"/>
      <c r="BD121" s="3"/>
      <c r="BE121" s="3"/>
      <c r="BF121" s="3"/>
      <c r="BG121" s="3"/>
    </row>
    <row r="122" spans="1:59" ht="15">
      <c r="A122" s="66" t="s">
        <v>443</v>
      </c>
      <c r="B122" s="67"/>
      <c r="C122" s="67"/>
      <c r="D122" s="68">
        <v>141.81933382518963</v>
      </c>
      <c r="E122" s="70"/>
      <c r="F122" s="96" t="str">
        <f>HYPERLINK("https://i.ytimg.com/vi/mM-xhJM8Cq0/default.jpg")</f>
        <v>https://i.ytimg.com/vi/mM-xhJM8Cq0/default.jpg</v>
      </c>
      <c r="G122" s="67"/>
      <c r="H122" s="71" t="s">
        <v>783</v>
      </c>
      <c r="I122" s="72"/>
      <c r="J122" s="72" t="s">
        <v>159</v>
      </c>
      <c r="K122" s="71" t="s">
        <v>783</v>
      </c>
      <c r="L122" s="75">
        <v>1250.75</v>
      </c>
      <c r="M122" s="76">
        <v>2166.748779296875</v>
      </c>
      <c r="N122" s="76">
        <v>2694.541259765625</v>
      </c>
      <c r="O122" s="77"/>
      <c r="P122" s="78"/>
      <c r="Q122" s="78"/>
      <c r="R122" s="82"/>
      <c r="S122" s="48">
        <v>1</v>
      </c>
      <c r="T122" s="48">
        <v>0</v>
      </c>
      <c r="U122" s="49">
        <v>0</v>
      </c>
      <c r="V122" s="49">
        <v>0.000712</v>
      </c>
      <c r="W122" s="49">
        <v>3E-05</v>
      </c>
      <c r="X122" s="49">
        <v>0.540355</v>
      </c>
      <c r="Y122" s="49">
        <v>0</v>
      </c>
      <c r="Z122" s="49">
        <v>0</v>
      </c>
      <c r="AA122" s="73">
        <v>122</v>
      </c>
      <c r="AB122" s="73"/>
      <c r="AC122" s="74"/>
      <c r="AD122" s="80" t="s">
        <v>783</v>
      </c>
      <c r="AE122" s="80" t="s">
        <v>1112</v>
      </c>
      <c r="AF122" s="80" t="s">
        <v>1433</v>
      </c>
      <c r="AG122" s="80" t="s">
        <v>1657</v>
      </c>
      <c r="AH122" s="80" t="s">
        <v>1836</v>
      </c>
      <c r="AI122" s="80">
        <v>700871</v>
      </c>
      <c r="AJ122" s="80">
        <v>547</v>
      </c>
      <c r="AK122" s="80">
        <v>7901</v>
      </c>
      <c r="AL122" s="80">
        <v>157</v>
      </c>
      <c r="AM122" s="80" t="s">
        <v>2047</v>
      </c>
      <c r="AN122" s="98" t="str">
        <f>HYPERLINK("https://www.youtube.com/watch?v=mM-xhJM8Cq0")</f>
        <v>https://www.youtube.com/watch?v=mM-xhJM8Cq0</v>
      </c>
      <c r="AO122" s="80" t="str">
        <f>REPLACE(INDEX(GroupVertices[Group],MATCH(Vertices[[#This Row],[Vertex]],GroupVertices[Vertex],0)),1,1,"")</f>
        <v>2</v>
      </c>
      <c r="AP122" s="48">
        <v>2</v>
      </c>
      <c r="AQ122" s="49">
        <v>6.25</v>
      </c>
      <c r="AR122" s="48">
        <v>1</v>
      </c>
      <c r="AS122" s="49">
        <v>3.125</v>
      </c>
      <c r="AT122" s="48">
        <v>0</v>
      </c>
      <c r="AU122" s="49">
        <v>0</v>
      </c>
      <c r="AV122" s="48">
        <v>29</v>
      </c>
      <c r="AW122" s="49">
        <v>90.625</v>
      </c>
      <c r="AX122" s="48">
        <v>32</v>
      </c>
      <c r="AY122" s="48"/>
      <c r="AZ122" s="48"/>
      <c r="BA122" s="48"/>
      <c r="BB122" s="48"/>
      <c r="BC122" s="2"/>
      <c r="BD122" s="3"/>
      <c r="BE122" s="3"/>
      <c r="BF122" s="3"/>
      <c r="BG122" s="3"/>
    </row>
    <row r="123" spans="1:59" ht="15">
      <c r="A123" s="66" t="s">
        <v>444</v>
      </c>
      <c r="B123" s="67"/>
      <c r="C123" s="67"/>
      <c r="D123" s="68">
        <v>170.06045184939904</v>
      </c>
      <c r="E123" s="70"/>
      <c r="F123" s="96" t="str">
        <f>HYPERLINK("https://i.ytimg.com/vi/UXrr7SYdzmY/default.jpg")</f>
        <v>https://i.ytimg.com/vi/UXrr7SYdzmY/default.jpg</v>
      </c>
      <c r="G123" s="67"/>
      <c r="H123" s="71" t="s">
        <v>784</v>
      </c>
      <c r="I123" s="72"/>
      <c r="J123" s="72" t="s">
        <v>159</v>
      </c>
      <c r="K123" s="71" t="s">
        <v>784</v>
      </c>
      <c r="L123" s="75">
        <v>1250.75</v>
      </c>
      <c r="M123" s="76">
        <v>153.17715454101562</v>
      </c>
      <c r="N123" s="76">
        <v>1862.6649169921875</v>
      </c>
      <c r="O123" s="77"/>
      <c r="P123" s="78"/>
      <c r="Q123" s="78"/>
      <c r="R123" s="82"/>
      <c r="S123" s="48">
        <v>1</v>
      </c>
      <c r="T123" s="48">
        <v>0</v>
      </c>
      <c r="U123" s="49">
        <v>0</v>
      </c>
      <c r="V123" s="49">
        <v>0.000712</v>
      </c>
      <c r="W123" s="49">
        <v>3E-05</v>
      </c>
      <c r="X123" s="49">
        <v>0.540355</v>
      </c>
      <c r="Y123" s="49">
        <v>0</v>
      </c>
      <c r="Z123" s="49">
        <v>0</v>
      </c>
      <c r="AA123" s="73">
        <v>123</v>
      </c>
      <c r="AB123" s="73"/>
      <c r="AC123" s="74"/>
      <c r="AD123" s="80" t="s">
        <v>784</v>
      </c>
      <c r="AE123" s="80" t="s">
        <v>1113</v>
      </c>
      <c r="AF123" s="80" t="s">
        <v>1431</v>
      </c>
      <c r="AG123" s="80" t="s">
        <v>1657</v>
      </c>
      <c r="AH123" s="80" t="s">
        <v>1837</v>
      </c>
      <c r="AI123" s="80">
        <v>1017915</v>
      </c>
      <c r="AJ123" s="80">
        <v>472</v>
      </c>
      <c r="AK123" s="80">
        <v>9849</v>
      </c>
      <c r="AL123" s="80">
        <v>198</v>
      </c>
      <c r="AM123" s="80" t="s">
        <v>2047</v>
      </c>
      <c r="AN123" s="98" t="str">
        <f>HYPERLINK("https://www.youtube.com/watch?v=UXrr7SYdzmY")</f>
        <v>https://www.youtube.com/watch?v=UXrr7SYdzmY</v>
      </c>
      <c r="AO123" s="80" t="str">
        <f>REPLACE(INDEX(GroupVertices[Group],MATCH(Vertices[[#This Row],[Vertex]],GroupVertices[Vertex],0)),1,1,"")</f>
        <v>2</v>
      </c>
      <c r="AP123" s="48">
        <v>2</v>
      </c>
      <c r="AQ123" s="49">
        <v>6.896551724137931</v>
      </c>
      <c r="AR123" s="48">
        <v>0</v>
      </c>
      <c r="AS123" s="49">
        <v>0</v>
      </c>
      <c r="AT123" s="48">
        <v>0</v>
      </c>
      <c r="AU123" s="49">
        <v>0</v>
      </c>
      <c r="AV123" s="48">
        <v>27</v>
      </c>
      <c r="AW123" s="49">
        <v>93.10344827586206</v>
      </c>
      <c r="AX123" s="48">
        <v>29</v>
      </c>
      <c r="AY123" s="48"/>
      <c r="AZ123" s="48"/>
      <c r="BA123" s="48"/>
      <c r="BB123" s="48"/>
      <c r="BC123" s="2"/>
      <c r="BD123" s="3"/>
      <c r="BE123" s="3"/>
      <c r="BF123" s="3"/>
      <c r="BG123" s="3"/>
    </row>
    <row r="124" spans="1:59" ht="15">
      <c r="A124" s="66" t="s">
        <v>445</v>
      </c>
      <c r="B124" s="67"/>
      <c r="C124" s="67"/>
      <c r="D124" s="68">
        <v>266.27732561854805</v>
      </c>
      <c r="E124" s="70"/>
      <c r="F124" s="96" t="str">
        <f>HYPERLINK("https://i.ytimg.com/vi/RCGLyLUNMv8/default.jpg")</f>
        <v>https://i.ytimg.com/vi/RCGLyLUNMv8/default.jpg</v>
      </c>
      <c r="G124" s="67"/>
      <c r="H124" s="71" t="s">
        <v>785</v>
      </c>
      <c r="I124" s="72"/>
      <c r="J124" s="72" t="s">
        <v>159</v>
      </c>
      <c r="K124" s="71" t="s">
        <v>785</v>
      </c>
      <c r="L124" s="75">
        <v>1250.75</v>
      </c>
      <c r="M124" s="76">
        <v>2839.404541015625</v>
      </c>
      <c r="N124" s="76">
        <v>2203.90185546875</v>
      </c>
      <c r="O124" s="77"/>
      <c r="P124" s="78"/>
      <c r="Q124" s="78"/>
      <c r="R124" s="82"/>
      <c r="S124" s="48">
        <v>1</v>
      </c>
      <c r="T124" s="48">
        <v>0</v>
      </c>
      <c r="U124" s="49">
        <v>0</v>
      </c>
      <c r="V124" s="49">
        <v>0.000712</v>
      </c>
      <c r="W124" s="49">
        <v>3E-05</v>
      </c>
      <c r="X124" s="49">
        <v>0.540355</v>
      </c>
      <c r="Y124" s="49">
        <v>0</v>
      </c>
      <c r="Z124" s="49">
        <v>0</v>
      </c>
      <c r="AA124" s="73">
        <v>124</v>
      </c>
      <c r="AB124" s="73"/>
      <c r="AC124" s="74"/>
      <c r="AD124" s="80" t="s">
        <v>785</v>
      </c>
      <c r="AE124" s="80" t="s">
        <v>1114</v>
      </c>
      <c r="AF124" s="80" t="s">
        <v>1434</v>
      </c>
      <c r="AG124" s="80" t="s">
        <v>1673</v>
      </c>
      <c r="AH124" s="80" t="s">
        <v>1838</v>
      </c>
      <c r="AI124" s="80">
        <v>2098077</v>
      </c>
      <c r="AJ124" s="80">
        <v>1745</v>
      </c>
      <c r="AK124" s="80">
        <v>13719</v>
      </c>
      <c r="AL124" s="80">
        <v>502</v>
      </c>
      <c r="AM124" s="80" t="s">
        <v>2047</v>
      </c>
      <c r="AN124" s="98" t="str">
        <f>HYPERLINK("https://www.youtube.com/watch?v=RCGLyLUNMv8")</f>
        <v>https://www.youtube.com/watch?v=RCGLyLUNMv8</v>
      </c>
      <c r="AO124" s="80" t="str">
        <f>REPLACE(INDEX(GroupVertices[Group],MATCH(Vertices[[#This Row],[Vertex]],GroupVertices[Vertex],0)),1,1,"")</f>
        <v>2</v>
      </c>
      <c r="AP124" s="48">
        <v>0</v>
      </c>
      <c r="AQ124" s="49">
        <v>0</v>
      </c>
      <c r="AR124" s="48">
        <v>0</v>
      </c>
      <c r="AS124" s="49">
        <v>0</v>
      </c>
      <c r="AT124" s="48">
        <v>0</v>
      </c>
      <c r="AU124" s="49">
        <v>0</v>
      </c>
      <c r="AV124" s="48">
        <v>9</v>
      </c>
      <c r="AW124" s="49">
        <v>100</v>
      </c>
      <c r="AX124" s="48">
        <v>9</v>
      </c>
      <c r="AY124" s="48"/>
      <c r="AZ124" s="48"/>
      <c r="BA124" s="48"/>
      <c r="BB124" s="48"/>
      <c r="BC124" s="2"/>
      <c r="BD124" s="3"/>
      <c r="BE124" s="3"/>
      <c r="BF124" s="3"/>
      <c r="BG124" s="3"/>
    </row>
    <row r="125" spans="1:59" ht="15">
      <c r="A125" s="66" t="s">
        <v>446</v>
      </c>
      <c r="B125" s="67"/>
      <c r="C125" s="67"/>
      <c r="D125" s="68">
        <v>362.197842416215</v>
      </c>
      <c r="E125" s="70"/>
      <c r="F125" s="96" t="str">
        <f>HYPERLINK("https://i.ytimg.com/vi/kqefPDnZCQI/default.jpg")</f>
        <v>https://i.ytimg.com/vi/kqefPDnZCQI/default.jpg</v>
      </c>
      <c r="G125" s="67"/>
      <c r="H125" s="71" t="s">
        <v>786</v>
      </c>
      <c r="I125" s="72"/>
      <c r="J125" s="72" t="s">
        <v>159</v>
      </c>
      <c r="K125" s="71" t="s">
        <v>786</v>
      </c>
      <c r="L125" s="75">
        <v>1250.75</v>
      </c>
      <c r="M125" s="76">
        <v>1944.2296142578125</v>
      </c>
      <c r="N125" s="76">
        <v>144.4942169189453</v>
      </c>
      <c r="O125" s="77"/>
      <c r="P125" s="78"/>
      <c r="Q125" s="78"/>
      <c r="R125" s="82"/>
      <c r="S125" s="48">
        <v>1</v>
      </c>
      <c r="T125" s="48">
        <v>0</v>
      </c>
      <c r="U125" s="49">
        <v>0</v>
      </c>
      <c r="V125" s="49">
        <v>0.000712</v>
      </c>
      <c r="W125" s="49">
        <v>3E-05</v>
      </c>
      <c r="X125" s="49">
        <v>0.540355</v>
      </c>
      <c r="Y125" s="49">
        <v>0</v>
      </c>
      <c r="Z125" s="49">
        <v>0</v>
      </c>
      <c r="AA125" s="73">
        <v>125</v>
      </c>
      <c r="AB125" s="73"/>
      <c r="AC125" s="74"/>
      <c r="AD125" s="80" t="s">
        <v>786</v>
      </c>
      <c r="AE125" s="80" t="s">
        <v>1115</v>
      </c>
      <c r="AF125" s="80" t="s">
        <v>1435</v>
      </c>
      <c r="AG125" s="80" t="s">
        <v>1657</v>
      </c>
      <c r="AH125" s="80" t="s">
        <v>1839</v>
      </c>
      <c r="AI125" s="80">
        <v>3174912</v>
      </c>
      <c r="AJ125" s="80">
        <v>1541</v>
      </c>
      <c r="AK125" s="80">
        <v>26962</v>
      </c>
      <c r="AL125" s="80">
        <v>467</v>
      </c>
      <c r="AM125" s="80" t="s">
        <v>2047</v>
      </c>
      <c r="AN125" s="98" t="str">
        <f>HYPERLINK("https://www.youtube.com/watch?v=kqefPDnZCQI")</f>
        <v>https://www.youtube.com/watch?v=kqefPDnZCQI</v>
      </c>
      <c r="AO125" s="80" t="str">
        <f>REPLACE(INDEX(GroupVertices[Group],MATCH(Vertices[[#This Row],[Vertex]],GroupVertices[Vertex],0)),1,1,"")</f>
        <v>2</v>
      </c>
      <c r="AP125" s="48">
        <v>2</v>
      </c>
      <c r="AQ125" s="49">
        <v>3.4482758620689653</v>
      </c>
      <c r="AR125" s="48">
        <v>3</v>
      </c>
      <c r="AS125" s="49">
        <v>5.172413793103448</v>
      </c>
      <c r="AT125" s="48">
        <v>0</v>
      </c>
      <c r="AU125" s="49">
        <v>0</v>
      </c>
      <c r="AV125" s="48">
        <v>53</v>
      </c>
      <c r="AW125" s="49">
        <v>91.37931034482759</v>
      </c>
      <c r="AX125" s="48">
        <v>58</v>
      </c>
      <c r="AY125" s="48"/>
      <c r="AZ125" s="48"/>
      <c r="BA125" s="48"/>
      <c r="BB125" s="48"/>
      <c r="BC125" s="2"/>
      <c r="BD125" s="3"/>
      <c r="BE125" s="3"/>
      <c r="BF125" s="3"/>
      <c r="BG125" s="3"/>
    </row>
    <row r="126" spans="1:59" ht="15">
      <c r="A126" s="66" t="s">
        <v>447</v>
      </c>
      <c r="B126" s="67"/>
      <c r="C126" s="67"/>
      <c r="D126" s="68">
        <v>140.5377925721954</v>
      </c>
      <c r="E126" s="70"/>
      <c r="F126" s="96" t="str">
        <f>HYPERLINK("https://i.ytimg.com/vi/BDlBjJkRscg/default.jpg")</f>
        <v>https://i.ytimg.com/vi/BDlBjJkRscg/default.jpg</v>
      </c>
      <c r="G126" s="67"/>
      <c r="H126" s="71" t="s">
        <v>787</v>
      </c>
      <c r="I126" s="72"/>
      <c r="J126" s="72" t="s">
        <v>159</v>
      </c>
      <c r="K126" s="71" t="s">
        <v>787</v>
      </c>
      <c r="L126" s="75">
        <v>1250.75</v>
      </c>
      <c r="M126" s="76">
        <v>1095.8072509765625</v>
      </c>
      <c r="N126" s="76">
        <v>2177.720458984375</v>
      </c>
      <c r="O126" s="77"/>
      <c r="P126" s="78"/>
      <c r="Q126" s="78"/>
      <c r="R126" s="82"/>
      <c r="S126" s="48">
        <v>1</v>
      </c>
      <c r="T126" s="48">
        <v>0</v>
      </c>
      <c r="U126" s="49">
        <v>0</v>
      </c>
      <c r="V126" s="49">
        <v>0.000712</v>
      </c>
      <c r="W126" s="49">
        <v>3E-05</v>
      </c>
      <c r="X126" s="49">
        <v>0.540355</v>
      </c>
      <c r="Y126" s="49">
        <v>0</v>
      </c>
      <c r="Z126" s="49">
        <v>0</v>
      </c>
      <c r="AA126" s="73">
        <v>126</v>
      </c>
      <c r="AB126" s="73"/>
      <c r="AC126" s="74"/>
      <c r="AD126" s="80" t="s">
        <v>787</v>
      </c>
      <c r="AE126" s="80" t="s">
        <v>1116</v>
      </c>
      <c r="AF126" s="80" t="s">
        <v>1436</v>
      </c>
      <c r="AG126" s="80" t="s">
        <v>1657</v>
      </c>
      <c r="AH126" s="80" t="s">
        <v>1840</v>
      </c>
      <c r="AI126" s="80">
        <v>686484</v>
      </c>
      <c r="AJ126" s="80">
        <v>427</v>
      </c>
      <c r="AK126" s="80">
        <v>5384</v>
      </c>
      <c r="AL126" s="80">
        <v>91</v>
      </c>
      <c r="AM126" s="80" t="s">
        <v>2047</v>
      </c>
      <c r="AN126" s="98" t="str">
        <f>HYPERLINK("https://www.youtube.com/watch?v=BDlBjJkRscg")</f>
        <v>https://www.youtube.com/watch?v=BDlBjJkRscg</v>
      </c>
      <c r="AO126" s="80" t="str">
        <f>REPLACE(INDEX(GroupVertices[Group],MATCH(Vertices[[#This Row],[Vertex]],GroupVertices[Vertex],0)),1,1,"")</f>
        <v>2</v>
      </c>
      <c r="AP126" s="48">
        <v>2</v>
      </c>
      <c r="AQ126" s="49">
        <v>3.4482758620689653</v>
      </c>
      <c r="AR126" s="48">
        <v>0</v>
      </c>
      <c r="AS126" s="49">
        <v>0</v>
      </c>
      <c r="AT126" s="48">
        <v>0</v>
      </c>
      <c r="AU126" s="49">
        <v>0</v>
      </c>
      <c r="AV126" s="48">
        <v>56</v>
      </c>
      <c r="AW126" s="49">
        <v>96.55172413793103</v>
      </c>
      <c r="AX126" s="48">
        <v>58</v>
      </c>
      <c r="AY126" s="48"/>
      <c r="AZ126" s="48"/>
      <c r="BA126" s="48"/>
      <c r="BB126" s="48"/>
      <c r="BC126" s="2"/>
      <c r="BD126" s="3"/>
      <c r="BE126" s="3"/>
      <c r="BF126" s="3"/>
      <c r="BG126" s="3"/>
    </row>
    <row r="127" spans="1:59" ht="15">
      <c r="A127" s="66" t="s">
        <v>448</v>
      </c>
      <c r="B127" s="67"/>
      <c r="C127" s="67"/>
      <c r="D127" s="68">
        <v>255.82590998255264</v>
      </c>
      <c r="E127" s="70"/>
      <c r="F127" s="96" t="str">
        <f>HYPERLINK("https://i.ytimg.com/vi/-oAK0Te6YFw/default.jpg")</f>
        <v>https://i.ytimg.com/vi/-oAK0Te6YFw/default.jpg</v>
      </c>
      <c r="G127" s="67"/>
      <c r="H127" s="71" t="s">
        <v>788</v>
      </c>
      <c r="I127" s="72"/>
      <c r="J127" s="72" t="s">
        <v>159</v>
      </c>
      <c r="K127" s="71" t="s">
        <v>788</v>
      </c>
      <c r="L127" s="75">
        <v>1250.75</v>
      </c>
      <c r="M127" s="76">
        <v>2065.246337890625</v>
      </c>
      <c r="N127" s="76">
        <v>3496.130126953125</v>
      </c>
      <c r="O127" s="77"/>
      <c r="P127" s="78"/>
      <c r="Q127" s="78"/>
      <c r="R127" s="82"/>
      <c r="S127" s="48">
        <v>1</v>
      </c>
      <c r="T127" s="48">
        <v>0</v>
      </c>
      <c r="U127" s="49">
        <v>0</v>
      </c>
      <c r="V127" s="49">
        <v>0.000712</v>
      </c>
      <c r="W127" s="49">
        <v>3E-05</v>
      </c>
      <c r="X127" s="49">
        <v>0.540355</v>
      </c>
      <c r="Y127" s="49">
        <v>0</v>
      </c>
      <c r="Z127" s="49">
        <v>0</v>
      </c>
      <c r="AA127" s="73">
        <v>127</v>
      </c>
      <c r="AB127" s="73"/>
      <c r="AC127" s="74"/>
      <c r="AD127" s="80" t="s">
        <v>788</v>
      </c>
      <c r="AE127" s="80" t="s">
        <v>1117</v>
      </c>
      <c r="AF127" s="80" t="s">
        <v>1437</v>
      </c>
      <c r="AG127" s="80" t="s">
        <v>1657</v>
      </c>
      <c r="AH127" s="80" t="s">
        <v>1841</v>
      </c>
      <c r="AI127" s="80">
        <v>1980746</v>
      </c>
      <c r="AJ127" s="80">
        <v>537</v>
      </c>
      <c r="AK127" s="80">
        <v>11988</v>
      </c>
      <c r="AL127" s="80">
        <v>446</v>
      </c>
      <c r="AM127" s="80" t="s">
        <v>2047</v>
      </c>
      <c r="AN127" s="98" t="str">
        <f>HYPERLINK("https://www.youtube.com/watch?v=-oAK0Te6YFw")</f>
        <v>https://www.youtube.com/watch?v=-oAK0Te6YFw</v>
      </c>
      <c r="AO127" s="80" t="str">
        <f>REPLACE(INDEX(GroupVertices[Group],MATCH(Vertices[[#This Row],[Vertex]],GroupVertices[Vertex],0)),1,1,"")</f>
        <v>2</v>
      </c>
      <c r="AP127" s="48">
        <v>2</v>
      </c>
      <c r="AQ127" s="49">
        <v>3.7735849056603774</v>
      </c>
      <c r="AR127" s="48">
        <v>1</v>
      </c>
      <c r="AS127" s="49">
        <v>1.8867924528301887</v>
      </c>
      <c r="AT127" s="48">
        <v>0</v>
      </c>
      <c r="AU127" s="49">
        <v>0</v>
      </c>
      <c r="AV127" s="48">
        <v>50</v>
      </c>
      <c r="AW127" s="49">
        <v>94.33962264150944</v>
      </c>
      <c r="AX127" s="48">
        <v>53</v>
      </c>
      <c r="AY127" s="48"/>
      <c r="AZ127" s="48"/>
      <c r="BA127" s="48"/>
      <c r="BB127" s="48"/>
      <c r="BC127" s="2"/>
      <c r="BD127" s="3"/>
      <c r="BE127" s="3"/>
      <c r="BF127" s="3"/>
      <c r="BG127" s="3"/>
    </row>
    <row r="128" spans="1:59" ht="15">
      <c r="A128" s="66" t="s">
        <v>449</v>
      </c>
      <c r="B128" s="67"/>
      <c r="C128" s="67"/>
      <c r="D128" s="68">
        <v>297.2009775159708</v>
      </c>
      <c r="E128" s="70"/>
      <c r="F128" s="96" t="str">
        <f>HYPERLINK("https://i.ytimg.com/vi/z8JkLY1c8S4/default.jpg")</f>
        <v>https://i.ytimg.com/vi/z8JkLY1c8S4/default.jpg</v>
      </c>
      <c r="G128" s="67"/>
      <c r="H128" s="71" t="s">
        <v>789</v>
      </c>
      <c r="I128" s="72"/>
      <c r="J128" s="72" t="s">
        <v>159</v>
      </c>
      <c r="K128" s="71" t="s">
        <v>789</v>
      </c>
      <c r="L128" s="75">
        <v>1250.75</v>
      </c>
      <c r="M128" s="76">
        <v>440.9781494140625</v>
      </c>
      <c r="N128" s="76">
        <v>1001.3245239257812</v>
      </c>
      <c r="O128" s="77"/>
      <c r="P128" s="78"/>
      <c r="Q128" s="78"/>
      <c r="R128" s="82"/>
      <c r="S128" s="48">
        <v>1</v>
      </c>
      <c r="T128" s="48">
        <v>0</v>
      </c>
      <c r="U128" s="49">
        <v>0</v>
      </c>
      <c r="V128" s="49">
        <v>0.000712</v>
      </c>
      <c r="W128" s="49">
        <v>3E-05</v>
      </c>
      <c r="X128" s="49">
        <v>0.540355</v>
      </c>
      <c r="Y128" s="49">
        <v>0</v>
      </c>
      <c r="Z128" s="49">
        <v>0</v>
      </c>
      <c r="AA128" s="73">
        <v>128</v>
      </c>
      <c r="AB128" s="73"/>
      <c r="AC128" s="74"/>
      <c r="AD128" s="80" t="s">
        <v>789</v>
      </c>
      <c r="AE128" s="80" t="s">
        <v>1118</v>
      </c>
      <c r="AF128" s="80" t="s">
        <v>1438</v>
      </c>
      <c r="AG128" s="80" t="s">
        <v>1657</v>
      </c>
      <c r="AH128" s="80" t="s">
        <v>1842</v>
      </c>
      <c r="AI128" s="80">
        <v>2445236</v>
      </c>
      <c r="AJ128" s="80">
        <v>675</v>
      </c>
      <c r="AK128" s="80">
        <v>19448</v>
      </c>
      <c r="AL128" s="80">
        <v>393</v>
      </c>
      <c r="AM128" s="80" t="s">
        <v>2047</v>
      </c>
      <c r="AN128" s="98" t="str">
        <f>HYPERLINK("https://www.youtube.com/watch?v=z8JkLY1c8S4")</f>
        <v>https://www.youtube.com/watch?v=z8JkLY1c8S4</v>
      </c>
      <c r="AO128" s="80" t="str">
        <f>REPLACE(INDEX(GroupVertices[Group],MATCH(Vertices[[#This Row],[Vertex]],GroupVertices[Vertex],0)),1,1,"")</f>
        <v>2</v>
      </c>
      <c r="AP128" s="48">
        <v>2</v>
      </c>
      <c r="AQ128" s="49">
        <v>5.405405405405405</v>
      </c>
      <c r="AR128" s="48">
        <v>2</v>
      </c>
      <c r="AS128" s="49">
        <v>5.405405405405405</v>
      </c>
      <c r="AT128" s="48">
        <v>0</v>
      </c>
      <c r="AU128" s="49">
        <v>0</v>
      </c>
      <c r="AV128" s="48">
        <v>33</v>
      </c>
      <c r="AW128" s="49">
        <v>89.1891891891892</v>
      </c>
      <c r="AX128" s="48">
        <v>37</v>
      </c>
      <c r="AY128" s="48"/>
      <c r="AZ128" s="48"/>
      <c r="BA128" s="48"/>
      <c r="BB128" s="48"/>
      <c r="BC128" s="2"/>
      <c r="BD128" s="3"/>
      <c r="BE128" s="3"/>
      <c r="BF128" s="3"/>
      <c r="BG128" s="3"/>
    </row>
    <row r="129" spans="1:59" ht="15">
      <c r="A129" s="66" t="s">
        <v>450</v>
      </c>
      <c r="B129" s="67"/>
      <c r="C129" s="67"/>
      <c r="D129" s="68">
        <v>220.79958017935326</v>
      </c>
      <c r="E129" s="70"/>
      <c r="F129" s="96" t="str">
        <f>HYPERLINK("https://i.ytimg.com/vi/isROOsii0f8/default.jpg")</f>
        <v>https://i.ytimg.com/vi/isROOsii0f8/default.jpg</v>
      </c>
      <c r="G129" s="67"/>
      <c r="H129" s="71" t="s">
        <v>790</v>
      </c>
      <c r="I129" s="72"/>
      <c r="J129" s="72" t="s">
        <v>159</v>
      </c>
      <c r="K129" s="71" t="s">
        <v>790</v>
      </c>
      <c r="L129" s="75">
        <v>1250.75</v>
      </c>
      <c r="M129" s="76">
        <v>2816.829345703125</v>
      </c>
      <c r="N129" s="76">
        <v>3363.22509765625</v>
      </c>
      <c r="O129" s="77"/>
      <c r="P129" s="78"/>
      <c r="Q129" s="78"/>
      <c r="R129" s="82"/>
      <c r="S129" s="48">
        <v>1</v>
      </c>
      <c r="T129" s="48">
        <v>0</v>
      </c>
      <c r="U129" s="49">
        <v>0</v>
      </c>
      <c r="V129" s="49">
        <v>0.000712</v>
      </c>
      <c r="W129" s="49">
        <v>3E-05</v>
      </c>
      <c r="X129" s="49">
        <v>0.540355</v>
      </c>
      <c r="Y129" s="49">
        <v>0</v>
      </c>
      <c r="Z129" s="49">
        <v>0</v>
      </c>
      <c r="AA129" s="73">
        <v>129</v>
      </c>
      <c r="AB129" s="73"/>
      <c r="AC129" s="74"/>
      <c r="AD129" s="80" t="s">
        <v>790</v>
      </c>
      <c r="AE129" s="80" t="s">
        <v>1119</v>
      </c>
      <c r="AF129" s="80" t="s">
        <v>1431</v>
      </c>
      <c r="AG129" s="80" t="s">
        <v>1657</v>
      </c>
      <c r="AH129" s="80" t="s">
        <v>1843</v>
      </c>
      <c r="AI129" s="80">
        <v>1587529</v>
      </c>
      <c r="AJ129" s="80">
        <v>541</v>
      </c>
      <c r="AK129" s="80">
        <v>12645</v>
      </c>
      <c r="AL129" s="80">
        <v>288</v>
      </c>
      <c r="AM129" s="80" t="s">
        <v>2047</v>
      </c>
      <c r="AN129" s="98" t="str">
        <f>HYPERLINK("https://www.youtube.com/watch?v=isROOsii0f8")</f>
        <v>https://www.youtube.com/watch?v=isROOsii0f8</v>
      </c>
      <c r="AO129" s="80" t="str">
        <f>REPLACE(INDEX(GroupVertices[Group],MATCH(Vertices[[#This Row],[Vertex]],GroupVertices[Vertex],0)),1,1,"")</f>
        <v>2</v>
      </c>
      <c r="AP129" s="48">
        <v>2</v>
      </c>
      <c r="AQ129" s="49">
        <v>6.896551724137931</v>
      </c>
      <c r="AR129" s="48">
        <v>0</v>
      </c>
      <c r="AS129" s="49">
        <v>0</v>
      </c>
      <c r="AT129" s="48">
        <v>0</v>
      </c>
      <c r="AU129" s="49">
        <v>0</v>
      </c>
      <c r="AV129" s="48">
        <v>27</v>
      </c>
      <c r="AW129" s="49">
        <v>93.10344827586206</v>
      </c>
      <c r="AX129" s="48">
        <v>29</v>
      </c>
      <c r="AY129" s="48"/>
      <c r="AZ129" s="48"/>
      <c r="BA129" s="48"/>
      <c r="BB129" s="48"/>
      <c r="BC129" s="2"/>
      <c r="BD129" s="3"/>
      <c r="BE129" s="3"/>
      <c r="BF129" s="3"/>
      <c r="BG129" s="3"/>
    </row>
    <row r="130" spans="1:59" ht="15">
      <c r="A130" s="66" t="s">
        <v>451</v>
      </c>
      <c r="B130" s="67"/>
      <c r="C130" s="67"/>
      <c r="D130" s="68">
        <v>422.4342897420853</v>
      </c>
      <c r="E130" s="70"/>
      <c r="F130" s="96" t="str">
        <f>HYPERLINK("https://i.ytimg.com/vi/jf-mR7vDXXc/default.jpg")</f>
        <v>https://i.ytimg.com/vi/jf-mR7vDXXc/default.jpg</v>
      </c>
      <c r="G130" s="67"/>
      <c r="H130" s="71" t="s">
        <v>791</v>
      </c>
      <c r="I130" s="72"/>
      <c r="J130" s="72" t="s">
        <v>159</v>
      </c>
      <c r="K130" s="71" t="s">
        <v>791</v>
      </c>
      <c r="L130" s="75">
        <v>1250.75</v>
      </c>
      <c r="M130" s="76">
        <v>2924.896728515625</v>
      </c>
      <c r="N130" s="76">
        <v>3812.63427734375</v>
      </c>
      <c r="O130" s="77"/>
      <c r="P130" s="78"/>
      <c r="Q130" s="78"/>
      <c r="R130" s="82"/>
      <c r="S130" s="48">
        <v>1</v>
      </c>
      <c r="T130" s="48">
        <v>0</v>
      </c>
      <c r="U130" s="49">
        <v>0</v>
      </c>
      <c r="V130" s="49">
        <v>0.000712</v>
      </c>
      <c r="W130" s="49">
        <v>3E-05</v>
      </c>
      <c r="X130" s="49">
        <v>0.540355</v>
      </c>
      <c r="Y130" s="49">
        <v>0</v>
      </c>
      <c r="Z130" s="49">
        <v>0</v>
      </c>
      <c r="AA130" s="73">
        <v>130</v>
      </c>
      <c r="AB130" s="73"/>
      <c r="AC130" s="74"/>
      <c r="AD130" s="80" t="s">
        <v>791</v>
      </c>
      <c r="AE130" s="80" t="s">
        <v>1120</v>
      </c>
      <c r="AF130" s="80" t="s">
        <v>1431</v>
      </c>
      <c r="AG130" s="80" t="s">
        <v>1657</v>
      </c>
      <c r="AH130" s="80" t="s">
        <v>1844</v>
      </c>
      <c r="AI130" s="80">
        <v>3851146</v>
      </c>
      <c r="AJ130" s="80">
        <v>1320</v>
      </c>
      <c r="AK130" s="80">
        <v>36239</v>
      </c>
      <c r="AL130" s="80">
        <v>582</v>
      </c>
      <c r="AM130" s="80" t="s">
        <v>2047</v>
      </c>
      <c r="AN130" s="98" t="str">
        <f>HYPERLINK("https://www.youtube.com/watch?v=jf-mR7vDXXc")</f>
        <v>https://www.youtube.com/watch?v=jf-mR7vDXXc</v>
      </c>
      <c r="AO130" s="80" t="str">
        <f>REPLACE(INDEX(GroupVertices[Group],MATCH(Vertices[[#This Row],[Vertex]],GroupVertices[Vertex],0)),1,1,"")</f>
        <v>2</v>
      </c>
      <c r="AP130" s="48">
        <v>2</v>
      </c>
      <c r="AQ130" s="49">
        <v>6.896551724137931</v>
      </c>
      <c r="AR130" s="48">
        <v>0</v>
      </c>
      <c r="AS130" s="49">
        <v>0</v>
      </c>
      <c r="AT130" s="48">
        <v>0</v>
      </c>
      <c r="AU130" s="49">
        <v>0</v>
      </c>
      <c r="AV130" s="48">
        <v>27</v>
      </c>
      <c r="AW130" s="49">
        <v>93.10344827586206</v>
      </c>
      <c r="AX130" s="48">
        <v>29</v>
      </c>
      <c r="AY130" s="48"/>
      <c r="AZ130" s="48"/>
      <c r="BA130" s="48"/>
      <c r="BB130" s="48"/>
      <c r="BC130" s="2"/>
      <c r="BD130" s="3"/>
      <c r="BE130" s="3"/>
      <c r="BF130" s="3"/>
      <c r="BG130" s="3"/>
    </row>
    <row r="131" spans="1:59" ht="15">
      <c r="A131" s="66" t="s">
        <v>452</v>
      </c>
      <c r="B131" s="67"/>
      <c r="C131" s="67"/>
      <c r="D131" s="68">
        <v>206.4150879822467</v>
      </c>
      <c r="E131" s="70"/>
      <c r="F131" s="96" t="str">
        <f>HYPERLINK("https://i.ytimg.com/vi/Ei9qwwUHCjQ/default.jpg")</f>
        <v>https://i.ytimg.com/vi/Ei9qwwUHCjQ/default.jpg</v>
      </c>
      <c r="G131" s="67"/>
      <c r="H131" s="71" t="s">
        <v>792</v>
      </c>
      <c r="I131" s="72"/>
      <c r="J131" s="72" t="s">
        <v>159</v>
      </c>
      <c r="K131" s="71" t="s">
        <v>792</v>
      </c>
      <c r="L131" s="75">
        <v>1250.75</v>
      </c>
      <c r="M131" s="76">
        <v>153.13455200195312</v>
      </c>
      <c r="N131" s="76">
        <v>2795.169677734375</v>
      </c>
      <c r="O131" s="77"/>
      <c r="P131" s="78"/>
      <c r="Q131" s="78"/>
      <c r="R131" s="82"/>
      <c r="S131" s="48">
        <v>1</v>
      </c>
      <c r="T131" s="48">
        <v>0</v>
      </c>
      <c r="U131" s="49">
        <v>0</v>
      </c>
      <c r="V131" s="49">
        <v>0.000712</v>
      </c>
      <c r="W131" s="49">
        <v>3E-05</v>
      </c>
      <c r="X131" s="49">
        <v>0.540355</v>
      </c>
      <c r="Y131" s="49">
        <v>0</v>
      </c>
      <c r="Z131" s="49">
        <v>0</v>
      </c>
      <c r="AA131" s="73">
        <v>131</v>
      </c>
      <c r="AB131" s="73"/>
      <c r="AC131" s="74"/>
      <c r="AD131" s="80" t="s">
        <v>792</v>
      </c>
      <c r="AE131" s="80" t="s">
        <v>1121</v>
      </c>
      <c r="AF131" s="80" t="s">
        <v>1439</v>
      </c>
      <c r="AG131" s="80" t="s">
        <v>1657</v>
      </c>
      <c r="AH131" s="80" t="s">
        <v>1845</v>
      </c>
      <c r="AI131" s="80">
        <v>1426044</v>
      </c>
      <c r="AJ131" s="80">
        <v>733</v>
      </c>
      <c r="AK131" s="80">
        <v>12424</v>
      </c>
      <c r="AL131" s="80">
        <v>285</v>
      </c>
      <c r="AM131" s="80" t="s">
        <v>2047</v>
      </c>
      <c r="AN131" s="98" t="str">
        <f>HYPERLINK("https://www.youtube.com/watch?v=Ei9qwwUHCjQ")</f>
        <v>https://www.youtube.com/watch?v=Ei9qwwUHCjQ</v>
      </c>
      <c r="AO131" s="80" t="str">
        <f>REPLACE(INDEX(GroupVertices[Group],MATCH(Vertices[[#This Row],[Vertex]],GroupVertices[Vertex],0)),1,1,"")</f>
        <v>2</v>
      </c>
      <c r="AP131" s="48">
        <v>2</v>
      </c>
      <c r="AQ131" s="49">
        <v>6.0606060606060606</v>
      </c>
      <c r="AR131" s="48">
        <v>0</v>
      </c>
      <c r="AS131" s="49">
        <v>0</v>
      </c>
      <c r="AT131" s="48">
        <v>0</v>
      </c>
      <c r="AU131" s="49">
        <v>0</v>
      </c>
      <c r="AV131" s="48">
        <v>31</v>
      </c>
      <c r="AW131" s="49">
        <v>93.93939393939394</v>
      </c>
      <c r="AX131" s="48">
        <v>33</v>
      </c>
      <c r="AY131" s="48"/>
      <c r="AZ131" s="48"/>
      <c r="BA131" s="48"/>
      <c r="BB131" s="48"/>
      <c r="BC131" s="2"/>
      <c r="BD131" s="3"/>
      <c r="BE131" s="3"/>
      <c r="BF131" s="3"/>
      <c r="BG131" s="3"/>
    </row>
    <row r="132" spans="1:59" ht="15">
      <c r="A132" s="66" t="s">
        <v>453</v>
      </c>
      <c r="B132" s="67"/>
      <c r="C132" s="67"/>
      <c r="D132" s="68">
        <v>203.91248830873084</v>
      </c>
      <c r="E132" s="70"/>
      <c r="F132" s="96" t="str">
        <f>HYPERLINK("https://i.ytimg.com/vi/IthbU8Zaa30/default.jpg")</f>
        <v>https://i.ytimg.com/vi/IthbU8Zaa30/default.jpg</v>
      </c>
      <c r="G132" s="67"/>
      <c r="H132" s="71" t="s">
        <v>793</v>
      </c>
      <c r="I132" s="72"/>
      <c r="J132" s="72" t="s">
        <v>159</v>
      </c>
      <c r="K132" s="71" t="s">
        <v>793</v>
      </c>
      <c r="L132" s="75">
        <v>1250.75</v>
      </c>
      <c r="M132" s="76">
        <v>1502.697509765625</v>
      </c>
      <c r="N132" s="76">
        <v>725.4352416992188</v>
      </c>
      <c r="O132" s="77"/>
      <c r="P132" s="78"/>
      <c r="Q132" s="78"/>
      <c r="R132" s="82"/>
      <c r="S132" s="48">
        <v>1</v>
      </c>
      <c r="T132" s="48">
        <v>0</v>
      </c>
      <c r="U132" s="49">
        <v>0</v>
      </c>
      <c r="V132" s="49">
        <v>0.000712</v>
      </c>
      <c r="W132" s="49">
        <v>3E-05</v>
      </c>
      <c r="X132" s="49">
        <v>0.540355</v>
      </c>
      <c r="Y132" s="49">
        <v>0</v>
      </c>
      <c r="Z132" s="49">
        <v>0</v>
      </c>
      <c r="AA132" s="73">
        <v>132</v>
      </c>
      <c r="AB132" s="73"/>
      <c r="AC132" s="74"/>
      <c r="AD132" s="80" t="s">
        <v>793</v>
      </c>
      <c r="AE132" s="80" t="s">
        <v>1122</v>
      </c>
      <c r="AF132" s="80" t="s">
        <v>1440</v>
      </c>
      <c r="AG132" s="80" t="s">
        <v>1657</v>
      </c>
      <c r="AH132" s="80" t="s">
        <v>1846</v>
      </c>
      <c r="AI132" s="80">
        <v>1397949</v>
      </c>
      <c r="AJ132" s="80">
        <v>717</v>
      </c>
      <c r="AK132" s="80">
        <v>9368</v>
      </c>
      <c r="AL132" s="80">
        <v>156</v>
      </c>
      <c r="AM132" s="80" t="s">
        <v>2047</v>
      </c>
      <c r="AN132" s="98" t="str">
        <f>HYPERLINK("https://www.youtube.com/watch?v=IthbU8Zaa30")</f>
        <v>https://www.youtube.com/watch?v=IthbU8Zaa30</v>
      </c>
      <c r="AO132" s="80" t="str">
        <f>REPLACE(INDEX(GroupVertices[Group],MATCH(Vertices[[#This Row],[Vertex]],GroupVertices[Vertex],0)),1,1,"")</f>
        <v>2</v>
      </c>
      <c r="AP132" s="48">
        <v>2</v>
      </c>
      <c r="AQ132" s="49">
        <v>4.444444444444445</v>
      </c>
      <c r="AR132" s="48">
        <v>1</v>
      </c>
      <c r="AS132" s="49">
        <v>2.2222222222222223</v>
      </c>
      <c r="AT132" s="48">
        <v>0</v>
      </c>
      <c r="AU132" s="49">
        <v>0</v>
      </c>
      <c r="AV132" s="48">
        <v>42</v>
      </c>
      <c r="AW132" s="49">
        <v>93.33333333333333</v>
      </c>
      <c r="AX132" s="48">
        <v>45</v>
      </c>
      <c r="AY132" s="48"/>
      <c r="AZ132" s="48"/>
      <c r="BA132" s="48"/>
      <c r="BB132" s="48"/>
      <c r="BC132" s="2"/>
      <c r="BD132" s="3"/>
      <c r="BE132" s="3"/>
      <c r="BF132" s="3"/>
      <c r="BG132" s="3"/>
    </row>
    <row r="133" spans="1:59" ht="15">
      <c r="A133" s="66" t="s">
        <v>454</v>
      </c>
      <c r="B133" s="67"/>
      <c r="C133" s="67"/>
      <c r="D133" s="68">
        <v>172.90207605957272</v>
      </c>
      <c r="E133" s="70"/>
      <c r="F133" s="96" t="str">
        <f>HYPERLINK("https://i.ytimg.com/vi/gGRz95Ry9ok/default.jpg")</f>
        <v>https://i.ytimg.com/vi/gGRz95Ry9ok/default.jpg</v>
      </c>
      <c r="G133" s="67"/>
      <c r="H133" s="71" t="s">
        <v>794</v>
      </c>
      <c r="I133" s="72"/>
      <c r="J133" s="72" t="s">
        <v>159</v>
      </c>
      <c r="K133" s="71" t="s">
        <v>794</v>
      </c>
      <c r="L133" s="75">
        <v>1250.75</v>
      </c>
      <c r="M133" s="76">
        <v>3268.540283203125</v>
      </c>
      <c r="N133" s="76">
        <v>1928.6953125</v>
      </c>
      <c r="O133" s="77"/>
      <c r="P133" s="78"/>
      <c r="Q133" s="78"/>
      <c r="R133" s="82"/>
      <c r="S133" s="48">
        <v>1</v>
      </c>
      <c r="T133" s="48">
        <v>0</v>
      </c>
      <c r="U133" s="49">
        <v>0</v>
      </c>
      <c r="V133" s="49">
        <v>0.000712</v>
      </c>
      <c r="W133" s="49">
        <v>3E-05</v>
      </c>
      <c r="X133" s="49">
        <v>0.540355</v>
      </c>
      <c r="Y133" s="49">
        <v>0</v>
      </c>
      <c r="Z133" s="49">
        <v>0</v>
      </c>
      <c r="AA133" s="73">
        <v>133</v>
      </c>
      <c r="AB133" s="73"/>
      <c r="AC133" s="74"/>
      <c r="AD133" s="80" t="s">
        <v>794</v>
      </c>
      <c r="AE133" s="80" t="s">
        <v>1123</v>
      </c>
      <c r="AF133" s="80" t="s">
        <v>1441</v>
      </c>
      <c r="AG133" s="80" t="s">
        <v>1657</v>
      </c>
      <c r="AH133" s="80" t="s">
        <v>1847</v>
      </c>
      <c r="AI133" s="80">
        <v>1049816</v>
      </c>
      <c r="AJ133" s="80">
        <v>465</v>
      </c>
      <c r="AK133" s="80">
        <v>8408</v>
      </c>
      <c r="AL133" s="80">
        <v>214</v>
      </c>
      <c r="AM133" s="80" t="s">
        <v>2047</v>
      </c>
      <c r="AN133" s="98" t="str">
        <f>HYPERLINK("https://www.youtube.com/watch?v=gGRz95Ry9ok")</f>
        <v>https://www.youtube.com/watch?v=gGRz95Ry9ok</v>
      </c>
      <c r="AO133" s="80" t="str">
        <f>REPLACE(INDEX(GroupVertices[Group],MATCH(Vertices[[#This Row],[Vertex]],GroupVertices[Vertex],0)),1,1,"")</f>
        <v>2</v>
      </c>
      <c r="AP133" s="48">
        <v>2</v>
      </c>
      <c r="AQ133" s="49">
        <v>6.25</v>
      </c>
      <c r="AR133" s="48">
        <v>0</v>
      </c>
      <c r="AS133" s="49">
        <v>0</v>
      </c>
      <c r="AT133" s="48">
        <v>0</v>
      </c>
      <c r="AU133" s="49">
        <v>0</v>
      </c>
      <c r="AV133" s="48">
        <v>30</v>
      </c>
      <c r="AW133" s="49">
        <v>93.75</v>
      </c>
      <c r="AX133" s="48">
        <v>32</v>
      </c>
      <c r="AY133" s="48"/>
      <c r="AZ133" s="48"/>
      <c r="BA133" s="48"/>
      <c r="BB133" s="48"/>
      <c r="BC133" s="2"/>
      <c r="BD133" s="3"/>
      <c r="BE133" s="3"/>
      <c r="BF133" s="3"/>
      <c r="BG133" s="3"/>
    </row>
    <row r="134" spans="1:59" ht="15">
      <c r="A134" s="66" t="s">
        <v>455</v>
      </c>
      <c r="B134" s="67"/>
      <c r="C134" s="67"/>
      <c r="D134" s="68">
        <v>253.41399001957743</v>
      </c>
      <c r="E134" s="70"/>
      <c r="F134" s="96" t="str">
        <f>HYPERLINK("https://i.ytimg.com/vi/zw89V42Yb8U/default.jpg")</f>
        <v>https://i.ytimg.com/vi/zw89V42Yb8U/default.jpg</v>
      </c>
      <c r="G134" s="67"/>
      <c r="H134" s="71" t="s">
        <v>795</v>
      </c>
      <c r="I134" s="72"/>
      <c r="J134" s="72" t="s">
        <v>159</v>
      </c>
      <c r="K134" s="71" t="s">
        <v>795</v>
      </c>
      <c r="L134" s="75">
        <v>1250.75</v>
      </c>
      <c r="M134" s="76">
        <v>2790.384033203125</v>
      </c>
      <c r="N134" s="76">
        <v>676.4276733398438</v>
      </c>
      <c r="O134" s="77"/>
      <c r="P134" s="78"/>
      <c r="Q134" s="78"/>
      <c r="R134" s="82"/>
      <c r="S134" s="48">
        <v>1</v>
      </c>
      <c r="T134" s="48">
        <v>0</v>
      </c>
      <c r="U134" s="49">
        <v>0</v>
      </c>
      <c r="V134" s="49">
        <v>0.000712</v>
      </c>
      <c r="W134" s="49">
        <v>3E-05</v>
      </c>
      <c r="X134" s="49">
        <v>0.540355</v>
      </c>
      <c r="Y134" s="49">
        <v>0</v>
      </c>
      <c r="Z134" s="49">
        <v>0</v>
      </c>
      <c r="AA134" s="73">
        <v>134</v>
      </c>
      <c r="AB134" s="73"/>
      <c r="AC134" s="74"/>
      <c r="AD134" s="80" t="s">
        <v>795</v>
      </c>
      <c r="AE134" s="80" t="s">
        <v>1124</v>
      </c>
      <c r="AF134" s="80" t="s">
        <v>1442</v>
      </c>
      <c r="AG134" s="80" t="s">
        <v>1657</v>
      </c>
      <c r="AH134" s="80" t="s">
        <v>1848</v>
      </c>
      <c r="AI134" s="80">
        <v>1953669</v>
      </c>
      <c r="AJ134" s="80">
        <v>390</v>
      </c>
      <c r="AK134" s="80">
        <v>11787</v>
      </c>
      <c r="AL134" s="80">
        <v>320</v>
      </c>
      <c r="AM134" s="80" t="s">
        <v>2047</v>
      </c>
      <c r="AN134" s="98" t="str">
        <f>HYPERLINK("https://www.youtube.com/watch?v=zw89V42Yb8U")</f>
        <v>https://www.youtube.com/watch?v=zw89V42Yb8U</v>
      </c>
      <c r="AO134" s="80" t="str">
        <f>REPLACE(INDEX(GroupVertices[Group],MATCH(Vertices[[#This Row],[Vertex]],GroupVertices[Vertex],0)),1,1,"")</f>
        <v>2</v>
      </c>
      <c r="AP134" s="48">
        <v>2</v>
      </c>
      <c r="AQ134" s="49">
        <v>4.081632653061225</v>
      </c>
      <c r="AR134" s="48">
        <v>2</v>
      </c>
      <c r="AS134" s="49">
        <v>4.081632653061225</v>
      </c>
      <c r="AT134" s="48">
        <v>0</v>
      </c>
      <c r="AU134" s="49">
        <v>0</v>
      </c>
      <c r="AV134" s="48">
        <v>45</v>
      </c>
      <c r="AW134" s="49">
        <v>91.83673469387755</v>
      </c>
      <c r="AX134" s="48">
        <v>49</v>
      </c>
      <c r="AY134" s="48"/>
      <c r="AZ134" s="48"/>
      <c r="BA134" s="48"/>
      <c r="BB134" s="48"/>
      <c r="BC134" s="2"/>
      <c r="BD134" s="3"/>
      <c r="BE134" s="3"/>
      <c r="BF134" s="3"/>
      <c r="BG134" s="3"/>
    </row>
    <row r="135" spans="1:59" ht="15">
      <c r="A135" s="66" t="s">
        <v>456</v>
      </c>
      <c r="B135" s="67"/>
      <c r="C135" s="67"/>
      <c r="D135" s="68">
        <v>235.34031227065265</v>
      </c>
      <c r="E135" s="70"/>
      <c r="F135" s="96" t="str">
        <f>HYPERLINK("https://i.ytimg.com/vi/ms4dPjuPdWM/default.jpg")</f>
        <v>https://i.ytimg.com/vi/ms4dPjuPdWM/default.jpg</v>
      </c>
      <c r="G135" s="67"/>
      <c r="H135" s="71" t="s">
        <v>796</v>
      </c>
      <c r="I135" s="72"/>
      <c r="J135" s="72" t="s">
        <v>159</v>
      </c>
      <c r="K135" s="71" t="s">
        <v>796</v>
      </c>
      <c r="L135" s="75">
        <v>1250.75</v>
      </c>
      <c r="M135" s="76">
        <v>509.6510314941406</v>
      </c>
      <c r="N135" s="76">
        <v>3607.479736328125</v>
      </c>
      <c r="O135" s="77"/>
      <c r="P135" s="78"/>
      <c r="Q135" s="78"/>
      <c r="R135" s="82"/>
      <c r="S135" s="48">
        <v>1</v>
      </c>
      <c r="T135" s="48">
        <v>0</v>
      </c>
      <c r="U135" s="49">
        <v>0</v>
      </c>
      <c r="V135" s="49">
        <v>0.000712</v>
      </c>
      <c r="W135" s="49">
        <v>3E-05</v>
      </c>
      <c r="X135" s="49">
        <v>0.540355</v>
      </c>
      <c r="Y135" s="49">
        <v>0</v>
      </c>
      <c r="Z135" s="49">
        <v>0</v>
      </c>
      <c r="AA135" s="73">
        <v>135</v>
      </c>
      <c r="AB135" s="73"/>
      <c r="AC135" s="74"/>
      <c r="AD135" s="80" t="s">
        <v>796</v>
      </c>
      <c r="AE135" s="80" t="s">
        <v>1125</v>
      </c>
      <c r="AF135" s="80" t="s">
        <v>1431</v>
      </c>
      <c r="AG135" s="80" t="s">
        <v>1657</v>
      </c>
      <c r="AH135" s="80" t="s">
        <v>1849</v>
      </c>
      <c r="AI135" s="80">
        <v>1750768</v>
      </c>
      <c r="AJ135" s="80">
        <v>594</v>
      </c>
      <c r="AK135" s="80">
        <v>13121</v>
      </c>
      <c r="AL135" s="80">
        <v>263</v>
      </c>
      <c r="AM135" s="80" t="s">
        <v>2047</v>
      </c>
      <c r="AN135" s="98" t="str">
        <f>HYPERLINK("https://www.youtube.com/watch?v=ms4dPjuPdWM")</f>
        <v>https://www.youtube.com/watch?v=ms4dPjuPdWM</v>
      </c>
      <c r="AO135" s="80" t="str">
        <f>REPLACE(INDEX(GroupVertices[Group],MATCH(Vertices[[#This Row],[Vertex]],GroupVertices[Vertex],0)),1,1,"")</f>
        <v>2</v>
      </c>
      <c r="AP135" s="48">
        <v>2</v>
      </c>
      <c r="AQ135" s="49">
        <v>6.896551724137931</v>
      </c>
      <c r="AR135" s="48">
        <v>0</v>
      </c>
      <c r="AS135" s="49">
        <v>0</v>
      </c>
      <c r="AT135" s="48">
        <v>0</v>
      </c>
      <c r="AU135" s="49">
        <v>0</v>
      </c>
      <c r="AV135" s="48">
        <v>27</v>
      </c>
      <c r="AW135" s="49">
        <v>93.10344827586206</v>
      </c>
      <c r="AX135" s="48">
        <v>29</v>
      </c>
      <c r="AY135" s="48"/>
      <c r="AZ135" s="48"/>
      <c r="BA135" s="48"/>
      <c r="BB135" s="48"/>
      <c r="BC135" s="2"/>
      <c r="BD135" s="3"/>
      <c r="BE135" s="3"/>
      <c r="BF135" s="3"/>
      <c r="BG135" s="3"/>
    </row>
    <row r="136" spans="1:59" ht="15">
      <c r="A136" s="66" t="s">
        <v>457</v>
      </c>
      <c r="B136" s="67"/>
      <c r="C136" s="67"/>
      <c r="D136" s="68">
        <v>174.3788726421397</v>
      </c>
      <c r="E136" s="70"/>
      <c r="F136" s="96" t="str">
        <f>HYPERLINK("https://i.ytimg.com/vi/YYA38wXQ4dc/default.jpg")</f>
        <v>https://i.ytimg.com/vi/YYA38wXQ4dc/default.jpg</v>
      </c>
      <c r="G136" s="67"/>
      <c r="H136" s="71" t="s">
        <v>797</v>
      </c>
      <c r="I136" s="72"/>
      <c r="J136" s="72" t="s">
        <v>159</v>
      </c>
      <c r="K136" s="71" t="s">
        <v>797</v>
      </c>
      <c r="L136" s="75">
        <v>1250.75</v>
      </c>
      <c r="M136" s="76">
        <v>669.9129638671875</v>
      </c>
      <c r="N136" s="76">
        <v>3990.18896484375</v>
      </c>
      <c r="O136" s="77"/>
      <c r="P136" s="78"/>
      <c r="Q136" s="78"/>
      <c r="R136" s="82"/>
      <c r="S136" s="48">
        <v>1</v>
      </c>
      <c r="T136" s="48">
        <v>0</v>
      </c>
      <c r="U136" s="49">
        <v>0</v>
      </c>
      <c r="V136" s="49">
        <v>0.000712</v>
      </c>
      <c r="W136" s="49">
        <v>3E-05</v>
      </c>
      <c r="X136" s="49">
        <v>0.540355</v>
      </c>
      <c r="Y136" s="49">
        <v>0</v>
      </c>
      <c r="Z136" s="49">
        <v>0</v>
      </c>
      <c r="AA136" s="73">
        <v>136</v>
      </c>
      <c r="AB136" s="73"/>
      <c r="AC136" s="74"/>
      <c r="AD136" s="80" t="s">
        <v>797</v>
      </c>
      <c r="AE136" s="80" t="s">
        <v>1126</v>
      </c>
      <c r="AF136" s="80" t="s">
        <v>1443</v>
      </c>
      <c r="AG136" s="80" t="s">
        <v>1657</v>
      </c>
      <c r="AH136" s="80" t="s">
        <v>1850</v>
      </c>
      <c r="AI136" s="80">
        <v>1066395</v>
      </c>
      <c r="AJ136" s="80">
        <v>325</v>
      </c>
      <c r="AK136" s="80">
        <v>10864</v>
      </c>
      <c r="AL136" s="80">
        <v>192</v>
      </c>
      <c r="AM136" s="80" t="s">
        <v>2047</v>
      </c>
      <c r="AN136" s="98" t="str">
        <f>HYPERLINK("https://www.youtube.com/watch?v=YYA38wXQ4dc")</f>
        <v>https://www.youtube.com/watch?v=YYA38wXQ4dc</v>
      </c>
      <c r="AO136" s="80" t="str">
        <f>REPLACE(INDEX(GroupVertices[Group],MATCH(Vertices[[#This Row],[Vertex]],GroupVertices[Vertex],0)),1,1,"")</f>
        <v>2</v>
      </c>
      <c r="AP136" s="48">
        <v>2</v>
      </c>
      <c r="AQ136" s="49">
        <v>5.714285714285714</v>
      </c>
      <c r="AR136" s="48">
        <v>1</v>
      </c>
      <c r="AS136" s="49">
        <v>2.857142857142857</v>
      </c>
      <c r="AT136" s="48">
        <v>0</v>
      </c>
      <c r="AU136" s="49">
        <v>0</v>
      </c>
      <c r="AV136" s="48">
        <v>32</v>
      </c>
      <c r="AW136" s="49">
        <v>91.42857142857143</v>
      </c>
      <c r="AX136" s="48">
        <v>35</v>
      </c>
      <c r="AY136" s="48"/>
      <c r="AZ136" s="48"/>
      <c r="BA136" s="48"/>
      <c r="BB136" s="48"/>
      <c r="BC136" s="2"/>
      <c r="BD136" s="3"/>
      <c r="BE136" s="3"/>
      <c r="BF136" s="3"/>
      <c r="BG136" s="3"/>
    </row>
    <row r="137" spans="1:59" ht="15">
      <c r="A137" s="66" t="s">
        <v>458</v>
      </c>
      <c r="B137" s="67"/>
      <c r="C137" s="67"/>
      <c r="D137" s="68">
        <v>659.7181508527123</v>
      </c>
      <c r="E137" s="70"/>
      <c r="F137" s="96" t="str">
        <f>HYPERLINK("https://i.ytimg.com/vi/_np5jeGVloY/default.jpg")</f>
        <v>https://i.ytimg.com/vi/_np5jeGVloY/default.jpg</v>
      </c>
      <c r="G137" s="67"/>
      <c r="H137" s="71" t="s">
        <v>798</v>
      </c>
      <c r="I137" s="72"/>
      <c r="J137" s="72" t="s">
        <v>159</v>
      </c>
      <c r="K137" s="71" t="s">
        <v>798</v>
      </c>
      <c r="L137" s="75">
        <v>1250.75</v>
      </c>
      <c r="M137" s="76">
        <v>2460.937744140625</v>
      </c>
      <c r="N137" s="76">
        <v>3782.021728515625</v>
      </c>
      <c r="O137" s="77"/>
      <c r="P137" s="78"/>
      <c r="Q137" s="78"/>
      <c r="R137" s="82"/>
      <c r="S137" s="48">
        <v>1</v>
      </c>
      <c r="T137" s="48">
        <v>0</v>
      </c>
      <c r="U137" s="49">
        <v>0</v>
      </c>
      <c r="V137" s="49">
        <v>0.000712</v>
      </c>
      <c r="W137" s="49">
        <v>3E-05</v>
      </c>
      <c r="X137" s="49">
        <v>0.540355</v>
      </c>
      <c r="Y137" s="49">
        <v>0</v>
      </c>
      <c r="Z137" s="49">
        <v>0</v>
      </c>
      <c r="AA137" s="73">
        <v>137</v>
      </c>
      <c r="AB137" s="73"/>
      <c r="AC137" s="74"/>
      <c r="AD137" s="80" t="s">
        <v>798</v>
      </c>
      <c r="AE137" s="80" t="s">
        <v>1127</v>
      </c>
      <c r="AF137" s="80" t="s">
        <v>1444</v>
      </c>
      <c r="AG137" s="80" t="s">
        <v>1674</v>
      </c>
      <c r="AH137" s="80" t="s">
        <v>1851</v>
      </c>
      <c r="AI137" s="80">
        <v>6514972</v>
      </c>
      <c r="AJ137" s="80">
        <v>1190</v>
      </c>
      <c r="AK137" s="80">
        <v>33887</v>
      </c>
      <c r="AL137" s="80">
        <v>1602</v>
      </c>
      <c r="AM137" s="80" t="s">
        <v>2047</v>
      </c>
      <c r="AN137" s="98" t="str">
        <f>HYPERLINK("https://www.youtube.com/watch?v=_np5jeGVloY")</f>
        <v>https://www.youtube.com/watch?v=_np5jeGVloY</v>
      </c>
      <c r="AO137" s="80" t="str">
        <f>REPLACE(INDEX(GroupVertices[Group],MATCH(Vertices[[#This Row],[Vertex]],GroupVertices[Vertex],0)),1,1,"")</f>
        <v>2</v>
      </c>
      <c r="AP137" s="48">
        <v>0</v>
      </c>
      <c r="AQ137" s="49">
        <v>0</v>
      </c>
      <c r="AR137" s="48">
        <v>0</v>
      </c>
      <c r="AS137" s="49">
        <v>0</v>
      </c>
      <c r="AT137" s="48">
        <v>0</v>
      </c>
      <c r="AU137" s="49">
        <v>0</v>
      </c>
      <c r="AV137" s="48">
        <v>5</v>
      </c>
      <c r="AW137" s="49">
        <v>100</v>
      </c>
      <c r="AX137" s="48">
        <v>5</v>
      </c>
      <c r="AY137" s="48"/>
      <c r="AZ137" s="48"/>
      <c r="BA137" s="48"/>
      <c r="BB137" s="48"/>
      <c r="BC137" s="2"/>
      <c r="BD137" s="3"/>
      <c r="BE137" s="3"/>
      <c r="BF137" s="3"/>
      <c r="BG137" s="3"/>
    </row>
    <row r="138" spans="1:59" ht="15">
      <c r="A138" s="66" t="s">
        <v>459</v>
      </c>
      <c r="B138" s="67"/>
      <c r="C138" s="67"/>
      <c r="D138" s="68">
        <v>500.566351220249</v>
      </c>
      <c r="E138" s="70"/>
      <c r="F138" s="96" t="str">
        <f>HYPERLINK("https://i.ytimg.com/vi/LNO-ZuV8URM/default.jpg")</f>
        <v>https://i.ytimg.com/vi/LNO-ZuV8URM/default.jpg</v>
      </c>
      <c r="G138" s="67"/>
      <c r="H138" s="71" t="s">
        <v>799</v>
      </c>
      <c r="I138" s="72"/>
      <c r="J138" s="72" t="s">
        <v>159</v>
      </c>
      <c r="K138" s="71" t="s">
        <v>799</v>
      </c>
      <c r="L138" s="75">
        <v>1250.75</v>
      </c>
      <c r="M138" s="76">
        <v>555.6837158203125</v>
      </c>
      <c r="N138" s="76">
        <v>2190.230224609375</v>
      </c>
      <c r="O138" s="77"/>
      <c r="P138" s="78"/>
      <c r="Q138" s="78"/>
      <c r="R138" s="82"/>
      <c r="S138" s="48">
        <v>1</v>
      </c>
      <c r="T138" s="48">
        <v>0</v>
      </c>
      <c r="U138" s="49">
        <v>0</v>
      </c>
      <c r="V138" s="49">
        <v>0.000712</v>
      </c>
      <c r="W138" s="49">
        <v>3E-05</v>
      </c>
      <c r="X138" s="49">
        <v>0.540355</v>
      </c>
      <c r="Y138" s="49">
        <v>0</v>
      </c>
      <c r="Z138" s="49">
        <v>0</v>
      </c>
      <c r="AA138" s="73">
        <v>138</v>
      </c>
      <c r="AB138" s="73"/>
      <c r="AC138" s="74"/>
      <c r="AD138" s="80" t="s">
        <v>799</v>
      </c>
      <c r="AE138" s="80" t="s">
        <v>1128</v>
      </c>
      <c r="AF138" s="80" t="s">
        <v>1445</v>
      </c>
      <c r="AG138" s="80" t="s">
        <v>1657</v>
      </c>
      <c r="AH138" s="80" t="s">
        <v>1852</v>
      </c>
      <c r="AI138" s="80">
        <v>4728282</v>
      </c>
      <c r="AJ138" s="80">
        <v>1707</v>
      </c>
      <c r="AK138" s="80">
        <v>29313</v>
      </c>
      <c r="AL138" s="80">
        <v>664</v>
      </c>
      <c r="AM138" s="80" t="s">
        <v>2047</v>
      </c>
      <c r="AN138" s="98" t="str">
        <f>HYPERLINK("https://www.youtube.com/watch?v=LNO-ZuV8URM")</f>
        <v>https://www.youtube.com/watch?v=LNO-ZuV8URM</v>
      </c>
      <c r="AO138" s="80" t="str">
        <f>REPLACE(INDEX(GroupVertices[Group],MATCH(Vertices[[#This Row],[Vertex]],GroupVertices[Vertex],0)),1,1,"")</f>
        <v>2</v>
      </c>
      <c r="AP138" s="48">
        <v>4</v>
      </c>
      <c r="AQ138" s="49">
        <v>8.51063829787234</v>
      </c>
      <c r="AR138" s="48">
        <v>0</v>
      </c>
      <c r="AS138" s="49">
        <v>0</v>
      </c>
      <c r="AT138" s="48">
        <v>0</v>
      </c>
      <c r="AU138" s="49">
        <v>0</v>
      </c>
      <c r="AV138" s="48">
        <v>43</v>
      </c>
      <c r="AW138" s="49">
        <v>91.48936170212765</v>
      </c>
      <c r="AX138" s="48">
        <v>47</v>
      </c>
      <c r="AY138" s="48"/>
      <c r="AZ138" s="48"/>
      <c r="BA138" s="48"/>
      <c r="BB138" s="48"/>
      <c r="BC138" s="2"/>
      <c r="BD138" s="3"/>
      <c r="BE138" s="3"/>
      <c r="BF138" s="3"/>
      <c r="BG138" s="3"/>
    </row>
    <row r="139" spans="1:59" ht="15">
      <c r="A139" s="66" t="s">
        <v>460</v>
      </c>
      <c r="B139" s="67"/>
      <c r="C139" s="67"/>
      <c r="D139" s="68">
        <v>227.48618445385554</v>
      </c>
      <c r="E139" s="70"/>
      <c r="F139" s="96" t="str">
        <f>HYPERLINK("https://i.ytimg.com/vi/UCSBNLFTZSo/default.jpg")</f>
        <v>https://i.ytimg.com/vi/UCSBNLFTZSo/default.jpg</v>
      </c>
      <c r="G139" s="67"/>
      <c r="H139" s="71" t="s">
        <v>800</v>
      </c>
      <c r="I139" s="72"/>
      <c r="J139" s="72" t="s">
        <v>159</v>
      </c>
      <c r="K139" s="71" t="s">
        <v>800</v>
      </c>
      <c r="L139" s="75">
        <v>1250.75</v>
      </c>
      <c r="M139" s="76">
        <v>1231.6644287109375</v>
      </c>
      <c r="N139" s="76">
        <v>265.86175537109375</v>
      </c>
      <c r="O139" s="77"/>
      <c r="P139" s="78"/>
      <c r="Q139" s="78"/>
      <c r="R139" s="82"/>
      <c r="S139" s="48">
        <v>1</v>
      </c>
      <c r="T139" s="48">
        <v>0</v>
      </c>
      <c r="U139" s="49">
        <v>0</v>
      </c>
      <c r="V139" s="49">
        <v>0.000712</v>
      </c>
      <c r="W139" s="49">
        <v>3E-05</v>
      </c>
      <c r="X139" s="49">
        <v>0.540355</v>
      </c>
      <c r="Y139" s="49">
        <v>0</v>
      </c>
      <c r="Z139" s="49">
        <v>0</v>
      </c>
      <c r="AA139" s="73">
        <v>139</v>
      </c>
      <c r="AB139" s="73"/>
      <c r="AC139" s="74"/>
      <c r="AD139" s="80" t="s">
        <v>800</v>
      </c>
      <c r="AE139" s="80" t="s">
        <v>1129</v>
      </c>
      <c r="AF139" s="80" t="s">
        <v>1446</v>
      </c>
      <c r="AG139" s="80" t="s">
        <v>1657</v>
      </c>
      <c r="AH139" s="80" t="s">
        <v>1853</v>
      </c>
      <c r="AI139" s="80">
        <v>1662595</v>
      </c>
      <c r="AJ139" s="80">
        <v>727</v>
      </c>
      <c r="AK139" s="80">
        <v>15711</v>
      </c>
      <c r="AL139" s="80">
        <v>365</v>
      </c>
      <c r="AM139" s="80" t="s">
        <v>2047</v>
      </c>
      <c r="AN139" s="98" t="str">
        <f>HYPERLINK("https://www.youtube.com/watch?v=UCSBNLFTZSo")</f>
        <v>https://www.youtube.com/watch?v=UCSBNLFTZSo</v>
      </c>
      <c r="AO139" s="80" t="str">
        <f>REPLACE(INDEX(GroupVertices[Group],MATCH(Vertices[[#This Row],[Vertex]],GroupVertices[Vertex],0)),1,1,"")</f>
        <v>2</v>
      </c>
      <c r="AP139" s="48">
        <v>2</v>
      </c>
      <c r="AQ139" s="49">
        <v>6.451612903225806</v>
      </c>
      <c r="AR139" s="48">
        <v>0</v>
      </c>
      <c r="AS139" s="49">
        <v>0</v>
      </c>
      <c r="AT139" s="48">
        <v>0</v>
      </c>
      <c r="AU139" s="49">
        <v>0</v>
      </c>
      <c r="AV139" s="48">
        <v>29</v>
      </c>
      <c r="AW139" s="49">
        <v>93.54838709677419</v>
      </c>
      <c r="AX139" s="48">
        <v>31</v>
      </c>
      <c r="AY139" s="48"/>
      <c r="AZ139" s="48"/>
      <c r="BA139" s="48"/>
      <c r="BB139" s="48"/>
      <c r="BC139" s="2"/>
      <c r="BD139" s="3"/>
      <c r="BE139" s="3"/>
      <c r="BF139" s="3"/>
      <c r="BG139" s="3"/>
    </row>
    <row r="140" spans="1:59" ht="15">
      <c r="A140" s="66" t="s">
        <v>461</v>
      </c>
      <c r="B140" s="67"/>
      <c r="C140" s="67"/>
      <c r="D140" s="68">
        <v>293.67551427061005</v>
      </c>
      <c r="E140" s="70"/>
      <c r="F140" s="96" t="str">
        <f>HYPERLINK("https://i.ytimg.com/vi/osOLmUaL6ck/default.jpg")</f>
        <v>https://i.ytimg.com/vi/osOLmUaL6ck/default.jpg</v>
      </c>
      <c r="G140" s="67"/>
      <c r="H140" s="71" t="s">
        <v>801</v>
      </c>
      <c r="I140" s="72"/>
      <c r="J140" s="72" t="s">
        <v>159</v>
      </c>
      <c r="K140" s="71" t="s">
        <v>801</v>
      </c>
      <c r="L140" s="75">
        <v>1250.75</v>
      </c>
      <c r="M140" s="76">
        <v>1302.09716796875</v>
      </c>
      <c r="N140" s="76">
        <v>4420.4296875</v>
      </c>
      <c r="O140" s="77"/>
      <c r="P140" s="78"/>
      <c r="Q140" s="78"/>
      <c r="R140" s="82"/>
      <c r="S140" s="48">
        <v>1</v>
      </c>
      <c r="T140" s="48">
        <v>0</v>
      </c>
      <c r="U140" s="49">
        <v>0</v>
      </c>
      <c r="V140" s="49">
        <v>0.000712</v>
      </c>
      <c r="W140" s="49">
        <v>3E-05</v>
      </c>
      <c r="X140" s="49">
        <v>0.540355</v>
      </c>
      <c r="Y140" s="49">
        <v>0</v>
      </c>
      <c r="Z140" s="49">
        <v>0</v>
      </c>
      <c r="AA140" s="73">
        <v>140</v>
      </c>
      <c r="AB140" s="73"/>
      <c r="AC140" s="74"/>
      <c r="AD140" s="80" t="s">
        <v>801</v>
      </c>
      <c r="AE140" s="80" t="s">
        <v>1130</v>
      </c>
      <c r="AF140" s="80" t="s">
        <v>1447</v>
      </c>
      <c r="AG140" s="80" t="s">
        <v>1657</v>
      </c>
      <c r="AH140" s="80" t="s">
        <v>1854</v>
      </c>
      <c r="AI140" s="80">
        <v>2405658</v>
      </c>
      <c r="AJ140" s="80">
        <v>1213</v>
      </c>
      <c r="AK140" s="80">
        <v>19227</v>
      </c>
      <c r="AL140" s="80">
        <v>346</v>
      </c>
      <c r="AM140" s="80" t="s">
        <v>2047</v>
      </c>
      <c r="AN140" s="98" t="str">
        <f>HYPERLINK("https://www.youtube.com/watch?v=osOLmUaL6ck")</f>
        <v>https://www.youtube.com/watch?v=osOLmUaL6ck</v>
      </c>
      <c r="AO140" s="80" t="str">
        <f>REPLACE(INDEX(GroupVertices[Group],MATCH(Vertices[[#This Row],[Vertex]],GroupVertices[Vertex],0)),1,1,"")</f>
        <v>2</v>
      </c>
      <c r="AP140" s="48">
        <v>2</v>
      </c>
      <c r="AQ140" s="49">
        <v>6.0606060606060606</v>
      </c>
      <c r="AR140" s="48">
        <v>0</v>
      </c>
      <c r="AS140" s="49">
        <v>0</v>
      </c>
      <c r="AT140" s="48">
        <v>0</v>
      </c>
      <c r="AU140" s="49">
        <v>0</v>
      </c>
      <c r="AV140" s="48">
        <v>31</v>
      </c>
      <c r="AW140" s="49">
        <v>93.93939393939394</v>
      </c>
      <c r="AX140" s="48">
        <v>33</v>
      </c>
      <c r="AY140" s="48"/>
      <c r="AZ140" s="48"/>
      <c r="BA140" s="48"/>
      <c r="BB140" s="48"/>
      <c r="BC140" s="2"/>
      <c r="BD140" s="3"/>
      <c r="BE140" s="3"/>
      <c r="BF140" s="3"/>
      <c r="BG140" s="3"/>
    </row>
    <row r="141" spans="1:59" ht="15">
      <c r="A141" s="66" t="s">
        <v>462</v>
      </c>
      <c r="B141" s="67"/>
      <c r="C141" s="67"/>
      <c r="D141" s="68">
        <v>200.395665468009</v>
      </c>
      <c r="E141" s="70"/>
      <c r="F141" s="96" t="str">
        <f>HYPERLINK("https://i.ytimg.com/vi/_OQUbNIrSf4/default.jpg")</f>
        <v>https://i.ytimg.com/vi/_OQUbNIrSf4/default.jpg</v>
      </c>
      <c r="G141" s="67"/>
      <c r="H141" s="71" t="s">
        <v>802</v>
      </c>
      <c r="I141" s="72"/>
      <c r="J141" s="72" t="s">
        <v>159</v>
      </c>
      <c r="K141" s="71" t="s">
        <v>802</v>
      </c>
      <c r="L141" s="75">
        <v>1250.75</v>
      </c>
      <c r="M141" s="76">
        <v>3179.097900390625</v>
      </c>
      <c r="N141" s="76">
        <v>3263.973876953125</v>
      </c>
      <c r="O141" s="77"/>
      <c r="P141" s="78"/>
      <c r="Q141" s="78"/>
      <c r="R141" s="82"/>
      <c r="S141" s="48">
        <v>1</v>
      </c>
      <c r="T141" s="48">
        <v>0</v>
      </c>
      <c r="U141" s="49">
        <v>0</v>
      </c>
      <c r="V141" s="49">
        <v>0.000712</v>
      </c>
      <c r="W141" s="49">
        <v>3E-05</v>
      </c>
      <c r="X141" s="49">
        <v>0.540355</v>
      </c>
      <c r="Y141" s="49">
        <v>0</v>
      </c>
      <c r="Z141" s="49">
        <v>0</v>
      </c>
      <c r="AA141" s="73">
        <v>141</v>
      </c>
      <c r="AB141" s="73"/>
      <c r="AC141" s="74"/>
      <c r="AD141" s="80" t="s">
        <v>802</v>
      </c>
      <c r="AE141" s="80" t="s">
        <v>1131</v>
      </c>
      <c r="AF141" s="80" t="s">
        <v>1431</v>
      </c>
      <c r="AG141" s="80" t="s">
        <v>1657</v>
      </c>
      <c r="AH141" s="80" t="s">
        <v>1855</v>
      </c>
      <c r="AI141" s="80">
        <v>1358468</v>
      </c>
      <c r="AJ141" s="80">
        <v>511</v>
      </c>
      <c r="AK141" s="80">
        <v>11725</v>
      </c>
      <c r="AL141" s="80">
        <v>224</v>
      </c>
      <c r="AM141" s="80" t="s">
        <v>2047</v>
      </c>
      <c r="AN141" s="98" t="str">
        <f>HYPERLINK("https://www.youtube.com/watch?v=_OQUbNIrSf4")</f>
        <v>https://www.youtube.com/watch?v=_OQUbNIrSf4</v>
      </c>
      <c r="AO141" s="80" t="str">
        <f>REPLACE(INDEX(GroupVertices[Group],MATCH(Vertices[[#This Row],[Vertex]],GroupVertices[Vertex],0)),1,1,"")</f>
        <v>2</v>
      </c>
      <c r="AP141" s="48">
        <v>2</v>
      </c>
      <c r="AQ141" s="49">
        <v>6.896551724137931</v>
      </c>
      <c r="AR141" s="48">
        <v>0</v>
      </c>
      <c r="AS141" s="49">
        <v>0</v>
      </c>
      <c r="AT141" s="48">
        <v>0</v>
      </c>
      <c r="AU141" s="49">
        <v>0</v>
      </c>
      <c r="AV141" s="48">
        <v>27</v>
      </c>
      <c r="AW141" s="49">
        <v>93.10344827586206</v>
      </c>
      <c r="AX141" s="48">
        <v>29</v>
      </c>
      <c r="AY141" s="48"/>
      <c r="AZ141" s="48"/>
      <c r="BA141" s="48"/>
      <c r="BB141" s="48"/>
      <c r="BC141" s="2"/>
      <c r="BD141" s="3"/>
      <c r="BE141" s="3"/>
      <c r="BF141" s="3"/>
      <c r="BG141" s="3"/>
    </row>
    <row r="142" spans="1:59" ht="15">
      <c r="A142" s="66" t="s">
        <v>463</v>
      </c>
      <c r="B142" s="67"/>
      <c r="C142" s="67"/>
      <c r="D142" s="68">
        <v>201.74579550009585</v>
      </c>
      <c r="E142" s="70"/>
      <c r="F142" s="96" t="str">
        <f>HYPERLINK("https://i.ytimg.com/vi/gJllC8AXlRw/default.jpg")</f>
        <v>https://i.ytimg.com/vi/gJllC8AXlRw/default.jpg</v>
      </c>
      <c r="G142" s="67"/>
      <c r="H142" s="71" t="s">
        <v>803</v>
      </c>
      <c r="I142" s="72"/>
      <c r="J142" s="72" t="s">
        <v>159</v>
      </c>
      <c r="K142" s="71" t="s">
        <v>803</v>
      </c>
      <c r="L142" s="75">
        <v>1250.75</v>
      </c>
      <c r="M142" s="76">
        <v>118.33135986328125</v>
      </c>
      <c r="N142" s="76">
        <v>2335.278564453125</v>
      </c>
      <c r="O142" s="77"/>
      <c r="P142" s="78"/>
      <c r="Q142" s="78"/>
      <c r="R142" s="82"/>
      <c r="S142" s="48">
        <v>1</v>
      </c>
      <c r="T142" s="48">
        <v>0</v>
      </c>
      <c r="U142" s="49">
        <v>0</v>
      </c>
      <c r="V142" s="49">
        <v>0.000712</v>
      </c>
      <c r="W142" s="49">
        <v>3E-05</v>
      </c>
      <c r="X142" s="49">
        <v>0.540355</v>
      </c>
      <c r="Y142" s="49">
        <v>0</v>
      </c>
      <c r="Z142" s="49">
        <v>0</v>
      </c>
      <c r="AA142" s="73">
        <v>142</v>
      </c>
      <c r="AB142" s="73"/>
      <c r="AC142" s="74"/>
      <c r="AD142" s="80" t="s">
        <v>803</v>
      </c>
      <c r="AE142" s="80" t="s">
        <v>1132</v>
      </c>
      <c r="AF142" s="80" t="s">
        <v>1448</v>
      </c>
      <c r="AG142" s="80" t="s">
        <v>1657</v>
      </c>
      <c r="AH142" s="80" t="s">
        <v>1856</v>
      </c>
      <c r="AI142" s="80">
        <v>1373625</v>
      </c>
      <c r="AJ142" s="80">
        <v>418</v>
      </c>
      <c r="AK142" s="80">
        <v>12127</v>
      </c>
      <c r="AL142" s="80">
        <v>238</v>
      </c>
      <c r="AM142" s="80" t="s">
        <v>2047</v>
      </c>
      <c r="AN142" s="98" t="str">
        <f>HYPERLINK("https://www.youtube.com/watch?v=gJllC8AXlRw")</f>
        <v>https://www.youtube.com/watch?v=gJllC8AXlRw</v>
      </c>
      <c r="AO142" s="80" t="str">
        <f>REPLACE(INDEX(GroupVertices[Group],MATCH(Vertices[[#This Row],[Vertex]],GroupVertices[Vertex],0)),1,1,"")</f>
        <v>2</v>
      </c>
      <c r="AP142" s="48">
        <v>2</v>
      </c>
      <c r="AQ142" s="49">
        <v>5.555555555555555</v>
      </c>
      <c r="AR142" s="48">
        <v>0</v>
      </c>
      <c r="AS142" s="49">
        <v>0</v>
      </c>
      <c r="AT142" s="48">
        <v>0</v>
      </c>
      <c r="AU142" s="49">
        <v>0</v>
      </c>
      <c r="AV142" s="48">
        <v>34</v>
      </c>
      <c r="AW142" s="49">
        <v>94.44444444444444</v>
      </c>
      <c r="AX142" s="48">
        <v>36</v>
      </c>
      <c r="AY142" s="48"/>
      <c r="AZ142" s="48"/>
      <c r="BA142" s="48"/>
      <c r="BB142" s="48"/>
      <c r="BC142" s="2"/>
      <c r="BD142" s="3"/>
      <c r="BE142" s="3"/>
      <c r="BF142" s="3"/>
      <c r="BG142" s="3"/>
    </row>
    <row r="143" spans="1:59" ht="15">
      <c r="A143" s="66" t="s">
        <v>464</v>
      </c>
      <c r="B143" s="67"/>
      <c r="C143" s="67"/>
      <c r="D143" s="68">
        <v>384.3008882459901</v>
      </c>
      <c r="E143" s="70"/>
      <c r="F143" s="96" t="str">
        <f>HYPERLINK("https://i.ytimg.com/vi/YN9N5mZSFx4/default.jpg")</f>
        <v>https://i.ytimg.com/vi/YN9N5mZSFx4/default.jpg</v>
      </c>
      <c r="G143" s="67"/>
      <c r="H143" s="71" t="s">
        <v>804</v>
      </c>
      <c r="I143" s="72"/>
      <c r="J143" s="72" t="s">
        <v>159</v>
      </c>
      <c r="K143" s="71" t="s">
        <v>804</v>
      </c>
      <c r="L143" s="75">
        <v>1250.75</v>
      </c>
      <c r="M143" s="76">
        <v>3242.499755859375</v>
      </c>
      <c r="N143" s="76">
        <v>2804.848388671875</v>
      </c>
      <c r="O143" s="77"/>
      <c r="P143" s="78"/>
      <c r="Q143" s="78"/>
      <c r="R143" s="82"/>
      <c r="S143" s="48">
        <v>1</v>
      </c>
      <c r="T143" s="48">
        <v>0</v>
      </c>
      <c r="U143" s="49">
        <v>0</v>
      </c>
      <c r="V143" s="49">
        <v>0.000712</v>
      </c>
      <c r="W143" s="49">
        <v>3E-05</v>
      </c>
      <c r="X143" s="49">
        <v>0.540355</v>
      </c>
      <c r="Y143" s="49">
        <v>0</v>
      </c>
      <c r="Z143" s="49">
        <v>0</v>
      </c>
      <c r="AA143" s="73">
        <v>143</v>
      </c>
      <c r="AB143" s="73"/>
      <c r="AC143" s="74"/>
      <c r="AD143" s="80" t="s">
        <v>804</v>
      </c>
      <c r="AE143" s="80" t="s">
        <v>1133</v>
      </c>
      <c r="AF143" s="80" t="s">
        <v>1449</v>
      </c>
      <c r="AG143" s="80" t="s">
        <v>1657</v>
      </c>
      <c r="AH143" s="80" t="s">
        <v>1857</v>
      </c>
      <c r="AI143" s="80">
        <v>3423048</v>
      </c>
      <c r="AJ143" s="80">
        <v>1084</v>
      </c>
      <c r="AK143" s="80">
        <v>23267</v>
      </c>
      <c r="AL143" s="80">
        <v>558</v>
      </c>
      <c r="AM143" s="80" t="s">
        <v>2047</v>
      </c>
      <c r="AN143" s="98" t="str">
        <f>HYPERLINK("https://www.youtube.com/watch?v=YN9N5mZSFx4")</f>
        <v>https://www.youtube.com/watch?v=YN9N5mZSFx4</v>
      </c>
      <c r="AO143" s="80" t="str">
        <f>REPLACE(INDEX(GroupVertices[Group],MATCH(Vertices[[#This Row],[Vertex]],GroupVertices[Vertex],0)),1,1,"")</f>
        <v>2</v>
      </c>
      <c r="AP143" s="48">
        <v>2</v>
      </c>
      <c r="AQ143" s="49">
        <v>4.444444444444445</v>
      </c>
      <c r="AR143" s="48">
        <v>1</v>
      </c>
      <c r="AS143" s="49">
        <v>2.2222222222222223</v>
      </c>
      <c r="AT143" s="48">
        <v>0</v>
      </c>
      <c r="AU143" s="49">
        <v>0</v>
      </c>
      <c r="AV143" s="48">
        <v>42</v>
      </c>
      <c r="AW143" s="49">
        <v>93.33333333333333</v>
      </c>
      <c r="AX143" s="48">
        <v>45</v>
      </c>
      <c r="AY143" s="48"/>
      <c r="AZ143" s="48"/>
      <c r="BA143" s="48"/>
      <c r="BB143" s="48"/>
      <c r="BC143" s="2"/>
      <c r="BD143" s="3"/>
      <c r="BE143" s="3"/>
      <c r="BF143" s="3"/>
      <c r="BG143" s="3"/>
    </row>
    <row r="144" spans="1:59" ht="15">
      <c r="A144" s="66" t="s">
        <v>465</v>
      </c>
      <c r="B144" s="67"/>
      <c r="C144" s="67"/>
      <c r="D144" s="68">
        <v>1000</v>
      </c>
      <c r="E144" s="70"/>
      <c r="F144" s="96" t="str">
        <f>HYPERLINK("https://i.ytimg.com/vi/E1ZN_GJqnLY/default.jpg")</f>
        <v>https://i.ytimg.com/vi/E1ZN_GJqnLY/default.jpg</v>
      </c>
      <c r="G144" s="67"/>
      <c r="H144" s="71" t="s">
        <v>805</v>
      </c>
      <c r="I144" s="72"/>
      <c r="J144" s="72" t="s">
        <v>159</v>
      </c>
      <c r="K144" s="71" t="s">
        <v>805</v>
      </c>
      <c r="L144" s="75">
        <v>1250.75</v>
      </c>
      <c r="M144" s="76">
        <v>1042.9232177734375</v>
      </c>
      <c r="N144" s="76">
        <v>3654.532470703125</v>
      </c>
      <c r="O144" s="77"/>
      <c r="P144" s="78"/>
      <c r="Q144" s="78"/>
      <c r="R144" s="82"/>
      <c r="S144" s="48">
        <v>1</v>
      </c>
      <c r="T144" s="48">
        <v>0</v>
      </c>
      <c r="U144" s="49">
        <v>0</v>
      </c>
      <c r="V144" s="49">
        <v>0.000712</v>
      </c>
      <c r="W144" s="49">
        <v>3E-05</v>
      </c>
      <c r="X144" s="49">
        <v>0.540355</v>
      </c>
      <c r="Y144" s="49">
        <v>0</v>
      </c>
      <c r="Z144" s="49">
        <v>0</v>
      </c>
      <c r="AA144" s="73">
        <v>144</v>
      </c>
      <c r="AB144" s="73"/>
      <c r="AC144" s="74"/>
      <c r="AD144" s="80" t="s">
        <v>805</v>
      </c>
      <c r="AE144" s="80" t="s">
        <v>1134</v>
      </c>
      <c r="AF144" s="80" t="s">
        <v>1450</v>
      </c>
      <c r="AG144" s="80" t="s">
        <v>1657</v>
      </c>
      <c r="AH144" s="80" t="s">
        <v>1858</v>
      </c>
      <c r="AI144" s="80">
        <v>10335087</v>
      </c>
      <c r="AJ144" s="80">
        <v>3837</v>
      </c>
      <c r="AK144" s="80">
        <v>76424</v>
      </c>
      <c r="AL144" s="80">
        <v>2434</v>
      </c>
      <c r="AM144" s="80" t="s">
        <v>2047</v>
      </c>
      <c r="AN144" s="98" t="str">
        <f>HYPERLINK("https://www.youtube.com/watch?v=E1ZN_GJqnLY")</f>
        <v>https://www.youtube.com/watch?v=E1ZN_GJqnLY</v>
      </c>
      <c r="AO144" s="80" t="str">
        <f>REPLACE(INDEX(GroupVertices[Group],MATCH(Vertices[[#This Row],[Vertex]],GroupVertices[Vertex],0)),1,1,"")</f>
        <v>2</v>
      </c>
      <c r="AP144" s="48">
        <v>4</v>
      </c>
      <c r="AQ144" s="49">
        <v>10.81081081081081</v>
      </c>
      <c r="AR144" s="48">
        <v>0</v>
      </c>
      <c r="AS144" s="49">
        <v>0</v>
      </c>
      <c r="AT144" s="48">
        <v>0</v>
      </c>
      <c r="AU144" s="49">
        <v>0</v>
      </c>
      <c r="AV144" s="48">
        <v>33</v>
      </c>
      <c r="AW144" s="49">
        <v>89.1891891891892</v>
      </c>
      <c r="AX144" s="48">
        <v>37</v>
      </c>
      <c r="AY144" s="48"/>
      <c r="AZ144" s="48"/>
      <c r="BA144" s="48"/>
      <c r="BB144" s="48"/>
      <c r="BC144" s="2"/>
      <c r="BD144" s="3"/>
      <c r="BE144" s="3"/>
      <c r="BF144" s="3"/>
      <c r="BG144" s="3"/>
    </row>
    <row r="145" spans="1:59" ht="15">
      <c r="A145" s="66" t="s">
        <v>466</v>
      </c>
      <c r="B145" s="67"/>
      <c r="C145" s="67"/>
      <c r="D145" s="68">
        <v>399.0737532701666</v>
      </c>
      <c r="E145" s="70"/>
      <c r="F145" s="96" t="str">
        <f>HYPERLINK("https://i.ytimg.com/vi/0F_360MvyPg/default.jpg")</f>
        <v>https://i.ytimg.com/vi/0F_360MvyPg/default.jpg</v>
      </c>
      <c r="G145" s="67"/>
      <c r="H145" s="71" t="s">
        <v>806</v>
      </c>
      <c r="I145" s="72"/>
      <c r="J145" s="72" t="s">
        <v>159</v>
      </c>
      <c r="K145" s="71" t="s">
        <v>806</v>
      </c>
      <c r="L145" s="75">
        <v>1250.75</v>
      </c>
      <c r="M145" s="76">
        <v>2440.81982421875</v>
      </c>
      <c r="N145" s="76">
        <v>341.76446533203125</v>
      </c>
      <c r="O145" s="77"/>
      <c r="P145" s="78"/>
      <c r="Q145" s="78"/>
      <c r="R145" s="82"/>
      <c r="S145" s="48">
        <v>1</v>
      </c>
      <c r="T145" s="48">
        <v>0</v>
      </c>
      <c r="U145" s="49">
        <v>0</v>
      </c>
      <c r="V145" s="49">
        <v>0.000712</v>
      </c>
      <c r="W145" s="49">
        <v>3E-05</v>
      </c>
      <c r="X145" s="49">
        <v>0.540355</v>
      </c>
      <c r="Y145" s="49">
        <v>0</v>
      </c>
      <c r="Z145" s="49">
        <v>0</v>
      </c>
      <c r="AA145" s="73">
        <v>145</v>
      </c>
      <c r="AB145" s="73"/>
      <c r="AC145" s="74"/>
      <c r="AD145" s="80" t="s">
        <v>806</v>
      </c>
      <c r="AE145" s="80" t="s">
        <v>1135</v>
      </c>
      <c r="AF145" s="80" t="s">
        <v>1431</v>
      </c>
      <c r="AG145" s="80" t="s">
        <v>1657</v>
      </c>
      <c r="AH145" s="80" t="s">
        <v>1859</v>
      </c>
      <c r="AI145" s="80">
        <v>3588893</v>
      </c>
      <c r="AJ145" s="80">
        <v>1384</v>
      </c>
      <c r="AK145" s="80">
        <v>26565</v>
      </c>
      <c r="AL145" s="80">
        <v>538</v>
      </c>
      <c r="AM145" s="80" t="s">
        <v>2047</v>
      </c>
      <c r="AN145" s="98" t="str">
        <f>HYPERLINK("https://www.youtube.com/watch?v=0F_360MvyPg")</f>
        <v>https://www.youtube.com/watch?v=0F_360MvyPg</v>
      </c>
      <c r="AO145" s="80" t="str">
        <f>REPLACE(INDEX(GroupVertices[Group],MATCH(Vertices[[#This Row],[Vertex]],GroupVertices[Vertex],0)),1,1,"")</f>
        <v>2</v>
      </c>
      <c r="AP145" s="48">
        <v>2</v>
      </c>
      <c r="AQ145" s="49">
        <v>6.896551724137931</v>
      </c>
      <c r="AR145" s="48">
        <v>0</v>
      </c>
      <c r="AS145" s="49">
        <v>0</v>
      </c>
      <c r="AT145" s="48">
        <v>0</v>
      </c>
      <c r="AU145" s="49">
        <v>0</v>
      </c>
      <c r="AV145" s="48">
        <v>27</v>
      </c>
      <c r="AW145" s="49">
        <v>93.10344827586206</v>
      </c>
      <c r="AX145" s="48">
        <v>29</v>
      </c>
      <c r="AY145" s="48"/>
      <c r="AZ145" s="48"/>
      <c r="BA145" s="48"/>
      <c r="BB145" s="48"/>
      <c r="BC145" s="2"/>
      <c r="BD145" s="3"/>
      <c r="BE145" s="3"/>
      <c r="BF145" s="3"/>
      <c r="BG145" s="3"/>
    </row>
    <row r="146" spans="1:59" ht="15">
      <c r="A146" s="66" t="s">
        <v>467</v>
      </c>
      <c r="B146" s="67"/>
      <c r="C146" s="67"/>
      <c r="D146" s="68">
        <v>241.72298808507176</v>
      </c>
      <c r="E146" s="70"/>
      <c r="F146" s="96" t="str">
        <f>HYPERLINK("https://i.ytimg.com/vi/EJpamV4cSoU/default.jpg")</f>
        <v>https://i.ytimg.com/vi/EJpamV4cSoU/default.jpg</v>
      </c>
      <c r="G146" s="67"/>
      <c r="H146" s="71" t="s">
        <v>807</v>
      </c>
      <c r="I146" s="72"/>
      <c r="J146" s="72" t="s">
        <v>159</v>
      </c>
      <c r="K146" s="71" t="s">
        <v>807</v>
      </c>
      <c r="L146" s="75">
        <v>1250.75</v>
      </c>
      <c r="M146" s="76">
        <v>1663.78125</v>
      </c>
      <c r="N146" s="76">
        <v>4522.6689453125</v>
      </c>
      <c r="O146" s="77"/>
      <c r="P146" s="78"/>
      <c r="Q146" s="78"/>
      <c r="R146" s="82"/>
      <c r="S146" s="48">
        <v>1</v>
      </c>
      <c r="T146" s="48">
        <v>0</v>
      </c>
      <c r="U146" s="49">
        <v>0</v>
      </c>
      <c r="V146" s="49">
        <v>0.000712</v>
      </c>
      <c r="W146" s="49">
        <v>3E-05</v>
      </c>
      <c r="X146" s="49">
        <v>0.540355</v>
      </c>
      <c r="Y146" s="49">
        <v>0</v>
      </c>
      <c r="Z146" s="49">
        <v>0</v>
      </c>
      <c r="AA146" s="73">
        <v>146</v>
      </c>
      <c r="AB146" s="73"/>
      <c r="AC146" s="74"/>
      <c r="AD146" s="80" t="s">
        <v>807</v>
      </c>
      <c r="AE146" s="80" t="s">
        <v>1136</v>
      </c>
      <c r="AF146" s="80" t="s">
        <v>1451</v>
      </c>
      <c r="AG146" s="80" t="s">
        <v>1657</v>
      </c>
      <c r="AH146" s="80" t="s">
        <v>1860</v>
      </c>
      <c r="AI146" s="80">
        <v>1822422</v>
      </c>
      <c r="AJ146" s="80">
        <v>375</v>
      </c>
      <c r="AK146" s="80">
        <v>12876</v>
      </c>
      <c r="AL146" s="80">
        <v>299</v>
      </c>
      <c r="AM146" s="80" t="s">
        <v>2047</v>
      </c>
      <c r="AN146" s="98" t="str">
        <f>HYPERLINK("https://www.youtube.com/watch?v=EJpamV4cSoU")</f>
        <v>https://www.youtube.com/watch?v=EJpamV4cSoU</v>
      </c>
      <c r="AO146" s="80" t="str">
        <f>REPLACE(INDEX(GroupVertices[Group],MATCH(Vertices[[#This Row],[Vertex]],GroupVertices[Vertex],0)),1,1,"")</f>
        <v>2</v>
      </c>
      <c r="AP146" s="48">
        <v>3</v>
      </c>
      <c r="AQ146" s="49">
        <v>4.109589041095891</v>
      </c>
      <c r="AR146" s="48">
        <v>3</v>
      </c>
      <c r="AS146" s="49">
        <v>4.109589041095891</v>
      </c>
      <c r="AT146" s="48">
        <v>0</v>
      </c>
      <c r="AU146" s="49">
        <v>0</v>
      </c>
      <c r="AV146" s="48">
        <v>67</v>
      </c>
      <c r="AW146" s="49">
        <v>91.78082191780823</v>
      </c>
      <c r="AX146" s="48">
        <v>73</v>
      </c>
      <c r="AY146" s="48"/>
      <c r="AZ146" s="48"/>
      <c r="BA146" s="48"/>
      <c r="BB146" s="48"/>
      <c r="BC146" s="2"/>
      <c r="BD146" s="3"/>
      <c r="BE146" s="3"/>
      <c r="BF146" s="3"/>
      <c r="BG146" s="3"/>
    </row>
    <row r="147" spans="1:59" ht="15">
      <c r="A147" s="66" t="s">
        <v>468</v>
      </c>
      <c r="B147" s="67"/>
      <c r="C147" s="67"/>
      <c r="D147" s="68">
        <v>235.93053207619514</v>
      </c>
      <c r="E147" s="70"/>
      <c r="F147" s="96" t="str">
        <f>HYPERLINK("https://i.ytimg.com/vi/1NCGoFxvbXI/default.jpg")</f>
        <v>https://i.ytimg.com/vi/1NCGoFxvbXI/default.jpg</v>
      </c>
      <c r="G147" s="67"/>
      <c r="H147" s="71" t="s">
        <v>808</v>
      </c>
      <c r="I147" s="72"/>
      <c r="J147" s="72" t="s">
        <v>159</v>
      </c>
      <c r="K147" s="71" t="s">
        <v>808</v>
      </c>
      <c r="L147" s="75">
        <v>1250.75</v>
      </c>
      <c r="M147" s="76">
        <v>2205.735107421875</v>
      </c>
      <c r="N147" s="76">
        <v>4425.7314453125</v>
      </c>
      <c r="O147" s="77"/>
      <c r="P147" s="78"/>
      <c r="Q147" s="78"/>
      <c r="R147" s="82"/>
      <c r="S147" s="48">
        <v>1</v>
      </c>
      <c r="T147" s="48">
        <v>0</v>
      </c>
      <c r="U147" s="49">
        <v>0</v>
      </c>
      <c r="V147" s="49">
        <v>0.000712</v>
      </c>
      <c r="W147" s="49">
        <v>3E-05</v>
      </c>
      <c r="X147" s="49">
        <v>0.540355</v>
      </c>
      <c r="Y147" s="49">
        <v>0</v>
      </c>
      <c r="Z147" s="49">
        <v>0</v>
      </c>
      <c r="AA147" s="73">
        <v>147</v>
      </c>
      <c r="AB147" s="73"/>
      <c r="AC147" s="74"/>
      <c r="AD147" s="80" t="s">
        <v>808</v>
      </c>
      <c r="AE147" s="80" t="s">
        <v>1137</v>
      </c>
      <c r="AF147" s="80" t="s">
        <v>1452</v>
      </c>
      <c r="AG147" s="80" t="s">
        <v>1657</v>
      </c>
      <c r="AH147" s="80" t="s">
        <v>1861</v>
      </c>
      <c r="AI147" s="80">
        <v>1757394</v>
      </c>
      <c r="AJ147" s="80">
        <v>1002</v>
      </c>
      <c r="AK147" s="80">
        <v>16367</v>
      </c>
      <c r="AL147" s="80">
        <v>384</v>
      </c>
      <c r="AM147" s="80" t="s">
        <v>2047</v>
      </c>
      <c r="AN147" s="98" t="str">
        <f>HYPERLINK("https://www.youtube.com/watch?v=1NCGoFxvbXI")</f>
        <v>https://www.youtube.com/watch?v=1NCGoFxvbXI</v>
      </c>
      <c r="AO147" s="80" t="str">
        <f>REPLACE(INDEX(GroupVertices[Group],MATCH(Vertices[[#This Row],[Vertex]],GroupVertices[Vertex],0)),1,1,"")</f>
        <v>2</v>
      </c>
      <c r="AP147" s="48">
        <v>2</v>
      </c>
      <c r="AQ147" s="49">
        <v>5.714285714285714</v>
      </c>
      <c r="AR147" s="48">
        <v>0</v>
      </c>
      <c r="AS147" s="49">
        <v>0</v>
      </c>
      <c r="AT147" s="48">
        <v>0</v>
      </c>
      <c r="AU147" s="49">
        <v>0</v>
      </c>
      <c r="AV147" s="48">
        <v>33</v>
      </c>
      <c r="AW147" s="49">
        <v>94.28571428571429</v>
      </c>
      <c r="AX147" s="48">
        <v>35</v>
      </c>
      <c r="AY147" s="48"/>
      <c r="AZ147" s="48"/>
      <c r="BA147" s="48"/>
      <c r="BB147" s="48"/>
      <c r="BC147" s="2"/>
      <c r="BD147" s="3"/>
      <c r="BE147" s="3"/>
      <c r="BF147" s="3"/>
      <c r="BG147" s="3"/>
    </row>
    <row r="148" spans="1:59" ht="15">
      <c r="A148" s="66" t="s">
        <v>469</v>
      </c>
      <c r="B148" s="67"/>
      <c r="C148" s="67"/>
      <c r="D148" s="68">
        <v>518.4157347539073</v>
      </c>
      <c r="E148" s="70"/>
      <c r="F148" s="96" t="str">
        <f>HYPERLINK("https://i.ytimg.com/vi/mMEhlPR09_A/default.jpg")</f>
        <v>https://i.ytimg.com/vi/mMEhlPR09_A/default.jpg</v>
      </c>
      <c r="G148" s="67"/>
      <c r="H148" s="71" t="s">
        <v>809</v>
      </c>
      <c r="I148" s="72"/>
      <c r="J148" s="72" t="s">
        <v>159</v>
      </c>
      <c r="K148" s="71" t="s">
        <v>809</v>
      </c>
      <c r="L148" s="75">
        <v>1250.75</v>
      </c>
      <c r="M148" s="76">
        <v>261.8000793457031</v>
      </c>
      <c r="N148" s="76">
        <v>1417.2269287109375</v>
      </c>
      <c r="O148" s="77"/>
      <c r="P148" s="78"/>
      <c r="Q148" s="78"/>
      <c r="R148" s="82"/>
      <c r="S148" s="48">
        <v>1</v>
      </c>
      <c r="T148" s="48">
        <v>0</v>
      </c>
      <c r="U148" s="49">
        <v>0</v>
      </c>
      <c r="V148" s="49">
        <v>0.000712</v>
      </c>
      <c r="W148" s="49">
        <v>3E-05</v>
      </c>
      <c r="X148" s="49">
        <v>0.540355</v>
      </c>
      <c r="Y148" s="49">
        <v>0</v>
      </c>
      <c r="Z148" s="49">
        <v>0</v>
      </c>
      <c r="AA148" s="73">
        <v>148</v>
      </c>
      <c r="AB148" s="73"/>
      <c r="AC148" s="74"/>
      <c r="AD148" s="80" t="s">
        <v>809</v>
      </c>
      <c r="AE148" s="80" t="s">
        <v>1138</v>
      </c>
      <c r="AF148" s="80" t="s">
        <v>1453</v>
      </c>
      <c r="AG148" s="80" t="s">
        <v>1657</v>
      </c>
      <c r="AH148" s="80" t="s">
        <v>1862</v>
      </c>
      <c r="AI148" s="80">
        <v>4928665</v>
      </c>
      <c r="AJ148" s="80">
        <v>3519</v>
      </c>
      <c r="AK148" s="80">
        <v>43180</v>
      </c>
      <c r="AL148" s="80">
        <v>1039</v>
      </c>
      <c r="AM148" s="80" t="s">
        <v>2047</v>
      </c>
      <c r="AN148" s="98" t="str">
        <f>HYPERLINK("https://www.youtube.com/watch?v=mMEhlPR09_A")</f>
        <v>https://www.youtube.com/watch?v=mMEhlPR09_A</v>
      </c>
      <c r="AO148" s="80" t="str">
        <f>REPLACE(INDEX(GroupVertices[Group],MATCH(Vertices[[#This Row],[Vertex]],GroupVertices[Vertex],0)),1,1,"")</f>
        <v>2</v>
      </c>
      <c r="AP148" s="48">
        <v>5</v>
      </c>
      <c r="AQ148" s="49">
        <v>10.869565217391305</v>
      </c>
      <c r="AR148" s="48">
        <v>0</v>
      </c>
      <c r="AS148" s="49">
        <v>0</v>
      </c>
      <c r="AT148" s="48">
        <v>0</v>
      </c>
      <c r="AU148" s="49">
        <v>0</v>
      </c>
      <c r="AV148" s="48">
        <v>41</v>
      </c>
      <c r="AW148" s="49">
        <v>89.1304347826087</v>
      </c>
      <c r="AX148" s="48">
        <v>46</v>
      </c>
      <c r="AY148" s="48"/>
      <c r="AZ148" s="48"/>
      <c r="BA148" s="48"/>
      <c r="BB148" s="48"/>
      <c r="BC148" s="2"/>
      <c r="BD148" s="3"/>
      <c r="BE148" s="3"/>
      <c r="BF148" s="3"/>
      <c r="BG148" s="3"/>
    </row>
    <row r="149" spans="1:59" ht="15">
      <c r="A149" s="66" t="s">
        <v>470</v>
      </c>
      <c r="B149" s="67"/>
      <c r="C149" s="67"/>
      <c r="D149" s="68">
        <v>272.0529461998292</v>
      </c>
      <c r="E149" s="70"/>
      <c r="F149" s="96" t="str">
        <f>HYPERLINK("https://i.ytimg.com/vi/urWc4kKd2Vg/default.jpg")</f>
        <v>https://i.ytimg.com/vi/urWc4kKd2Vg/default.jpg</v>
      </c>
      <c r="G149" s="67"/>
      <c r="H149" s="71" t="s">
        <v>810</v>
      </c>
      <c r="I149" s="72"/>
      <c r="J149" s="72" t="s">
        <v>159</v>
      </c>
      <c r="K149" s="71" t="s">
        <v>810</v>
      </c>
      <c r="L149" s="75">
        <v>1250.75</v>
      </c>
      <c r="M149" s="76">
        <v>556.0267944335938</v>
      </c>
      <c r="N149" s="76">
        <v>2908.87890625</v>
      </c>
      <c r="O149" s="77"/>
      <c r="P149" s="78"/>
      <c r="Q149" s="78"/>
      <c r="R149" s="82"/>
      <c r="S149" s="48">
        <v>1</v>
      </c>
      <c r="T149" s="48">
        <v>0</v>
      </c>
      <c r="U149" s="49">
        <v>0</v>
      </c>
      <c r="V149" s="49">
        <v>0.000712</v>
      </c>
      <c r="W149" s="49">
        <v>3E-05</v>
      </c>
      <c r="X149" s="49">
        <v>0.540355</v>
      </c>
      <c r="Y149" s="49">
        <v>0</v>
      </c>
      <c r="Z149" s="49">
        <v>0</v>
      </c>
      <c r="AA149" s="73">
        <v>149</v>
      </c>
      <c r="AB149" s="73"/>
      <c r="AC149" s="74"/>
      <c r="AD149" s="80" t="s">
        <v>810</v>
      </c>
      <c r="AE149" s="80" t="s">
        <v>1139</v>
      </c>
      <c r="AF149" s="80" t="s">
        <v>1454</v>
      </c>
      <c r="AG149" s="80" t="s">
        <v>1657</v>
      </c>
      <c r="AH149" s="80" t="s">
        <v>1863</v>
      </c>
      <c r="AI149" s="80">
        <v>2162916</v>
      </c>
      <c r="AJ149" s="80">
        <v>1350</v>
      </c>
      <c r="AK149" s="80">
        <v>16130</v>
      </c>
      <c r="AL149" s="80">
        <v>509</v>
      </c>
      <c r="AM149" s="80" t="s">
        <v>2047</v>
      </c>
      <c r="AN149" s="98" t="str">
        <f>HYPERLINK("https://www.youtube.com/watch?v=urWc4kKd2Vg")</f>
        <v>https://www.youtube.com/watch?v=urWc4kKd2Vg</v>
      </c>
      <c r="AO149" s="80" t="str">
        <f>REPLACE(INDEX(GroupVertices[Group],MATCH(Vertices[[#This Row],[Vertex]],GroupVertices[Vertex],0)),1,1,"")</f>
        <v>2</v>
      </c>
      <c r="AP149" s="48">
        <v>2</v>
      </c>
      <c r="AQ149" s="49">
        <v>3.8461538461538463</v>
      </c>
      <c r="AR149" s="48">
        <v>0</v>
      </c>
      <c r="AS149" s="49">
        <v>0</v>
      </c>
      <c r="AT149" s="48">
        <v>0</v>
      </c>
      <c r="AU149" s="49">
        <v>0</v>
      </c>
      <c r="AV149" s="48">
        <v>50</v>
      </c>
      <c r="AW149" s="49">
        <v>96.15384615384616</v>
      </c>
      <c r="AX149" s="48">
        <v>52</v>
      </c>
      <c r="AY149" s="48"/>
      <c r="AZ149" s="48"/>
      <c r="BA149" s="48"/>
      <c r="BB149" s="48"/>
      <c r="BC149" s="2"/>
      <c r="BD149" s="3"/>
      <c r="BE149" s="3"/>
      <c r="BF149" s="3"/>
      <c r="BG149" s="3"/>
    </row>
    <row r="150" spans="1:59" ht="15">
      <c r="A150" s="66" t="s">
        <v>471</v>
      </c>
      <c r="B150" s="67"/>
      <c r="C150" s="67"/>
      <c r="D150" s="68">
        <v>487.7509386903067</v>
      </c>
      <c r="E150" s="70"/>
      <c r="F150" s="96" t="str">
        <f>HYPERLINK("https://i.ytimg.com/vi/qifqa9-bH3w/default.jpg")</f>
        <v>https://i.ytimg.com/vi/qifqa9-bH3w/default.jpg</v>
      </c>
      <c r="G150" s="67"/>
      <c r="H150" s="71" t="s">
        <v>811</v>
      </c>
      <c r="I150" s="72"/>
      <c r="J150" s="72" t="s">
        <v>159</v>
      </c>
      <c r="K150" s="71" t="s">
        <v>811</v>
      </c>
      <c r="L150" s="75">
        <v>1250.75</v>
      </c>
      <c r="M150" s="76">
        <v>2483.794189453125</v>
      </c>
      <c r="N150" s="76">
        <v>960.6317138671875</v>
      </c>
      <c r="O150" s="77"/>
      <c r="P150" s="78"/>
      <c r="Q150" s="78"/>
      <c r="R150" s="82"/>
      <c r="S150" s="48">
        <v>1</v>
      </c>
      <c r="T150" s="48">
        <v>0</v>
      </c>
      <c r="U150" s="49">
        <v>0</v>
      </c>
      <c r="V150" s="49">
        <v>0.000712</v>
      </c>
      <c r="W150" s="49">
        <v>3E-05</v>
      </c>
      <c r="X150" s="49">
        <v>0.540355</v>
      </c>
      <c r="Y150" s="49">
        <v>0</v>
      </c>
      <c r="Z150" s="49">
        <v>0</v>
      </c>
      <c r="AA150" s="73">
        <v>150</v>
      </c>
      <c r="AB150" s="73"/>
      <c r="AC150" s="74"/>
      <c r="AD150" s="80" t="s">
        <v>811</v>
      </c>
      <c r="AE150" s="80" t="s">
        <v>1140</v>
      </c>
      <c r="AF150" s="80" t="s">
        <v>1455</v>
      </c>
      <c r="AG150" s="80" t="s">
        <v>1657</v>
      </c>
      <c r="AH150" s="80" t="s">
        <v>1864</v>
      </c>
      <c r="AI150" s="80">
        <v>4584412</v>
      </c>
      <c r="AJ150" s="80">
        <v>1644</v>
      </c>
      <c r="AK150" s="80">
        <v>32157</v>
      </c>
      <c r="AL150" s="80">
        <v>1025</v>
      </c>
      <c r="AM150" s="80" t="s">
        <v>2047</v>
      </c>
      <c r="AN150" s="98" t="str">
        <f>HYPERLINK("https://www.youtube.com/watch?v=qifqa9-bH3w")</f>
        <v>https://www.youtube.com/watch?v=qifqa9-bH3w</v>
      </c>
      <c r="AO150" s="80" t="str">
        <f>REPLACE(INDEX(GroupVertices[Group],MATCH(Vertices[[#This Row],[Vertex]],GroupVertices[Vertex],0)),1,1,"")</f>
        <v>2</v>
      </c>
      <c r="AP150" s="48">
        <v>3</v>
      </c>
      <c r="AQ150" s="49">
        <v>5</v>
      </c>
      <c r="AR150" s="48">
        <v>0</v>
      </c>
      <c r="AS150" s="49">
        <v>0</v>
      </c>
      <c r="AT150" s="48">
        <v>0</v>
      </c>
      <c r="AU150" s="49">
        <v>0</v>
      </c>
      <c r="AV150" s="48">
        <v>57</v>
      </c>
      <c r="AW150" s="49">
        <v>95</v>
      </c>
      <c r="AX150" s="48">
        <v>60</v>
      </c>
      <c r="AY150" s="48"/>
      <c r="AZ150" s="48"/>
      <c r="BA150" s="48"/>
      <c r="BB150" s="48"/>
      <c r="BC150" s="2"/>
      <c r="BD150" s="3"/>
      <c r="BE150" s="3"/>
      <c r="BF150" s="3"/>
      <c r="BG150" s="3"/>
    </row>
    <row r="151" spans="1:59" ht="15">
      <c r="A151" s="66" t="s">
        <v>325</v>
      </c>
      <c r="B151" s="67"/>
      <c r="C151" s="67"/>
      <c r="D151" s="68">
        <v>322.2707998086795</v>
      </c>
      <c r="E151" s="70"/>
      <c r="F151" s="96" t="str">
        <f>HYPERLINK("https://i.ytimg.com/vi/i2mdwmpLYLY/default.jpg")</f>
        <v>https://i.ytimg.com/vi/i2mdwmpLYLY/default.jpg</v>
      </c>
      <c r="G151" s="67"/>
      <c r="H151" s="71" t="s">
        <v>812</v>
      </c>
      <c r="I151" s="72"/>
      <c r="J151" s="72" t="s">
        <v>75</v>
      </c>
      <c r="K151" s="71" t="s">
        <v>812</v>
      </c>
      <c r="L151" s="75">
        <v>3750.25</v>
      </c>
      <c r="M151" s="76">
        <v>1181.785400390625</v>
      </c>
      <c r="N151" s="76">
        <v>7270.85693359375</v>
      </c>
      <c r="O151" s="77"/>
      <c r="P151" s="78"/>
      <c r="Q151" s="78"/>
      <c r="R151" s="82"/>
      <c r="S151" s="48">
        <v>3</v>
      </c>
      <c r="T151" s="48">
        <v>50</v>
      </c>
      <c r="U151" s="49">
        <v>17225.915372</v>
      </c>
      <c r="V151" s="49">
        <v>0.001351</v>
      </c>
      <c r="W151" s="49">
        <v>0.031538</v>
      </c>
      <c r="X151" s="49">
        <v>15.635115</v>
      </c>
      <c r="Y151" s="49">
        <v>0.02790346907993967</v>
      </c>
      <c r="Z151" s="49">
        <v>0.019230769230769232</v>
      </c>
      <c r="AA151" s="73">
        <v>151</v>
      </c>
      <c r="AB151" s="73"/>
      <c r="AC151" s="74"/>
      <c r="AD151" s="80" t="s">
        <v>812</v>
      </c>
      <c r="AE151" s="80" t="s">
        <v>1141</v>
      </c>
      <c r="AF151" s="80" t="s">
        <v>1456</v>
      </c>
      <c r="AG151" s="80" t="s">
        <v>1655</v>
      </c>
      <c r="AH151" s="80" t="s">
        <v>1865</v>
      </c>
      <c r="AI151" s="80">
        <v>2726678</v>
      </c>
      <c r="AJ151" s="80">
        <v>6415</v>
      </c>
      <c r="AK151" s="80">
        <v>14608</v>
      </c>
      <c r="AL151" s="80">
        <v>2087</v>
      </c>
      <c r="AM151" s="80" t="s">
        <v>2047</v>
      </c>
      <c r="AN151" s="98" t="str">
        <f>HYPERLINK("https://www.youtube.com/watch?v=i2mdwmpLYLY")</f>
        <v>https://www.youtube.com/watch?v=i2mdwmpLYLY</v>
      </c>
      <c r="AO151" s="80" t="str">
        <f>REPLACE(INDEX(GroupVertices[Group],MATCH(Vertices[[#This Row],[Vertex]],GroupVertices[Vertex],0)),1,1,"")</f>
        <v>1</v>
      </c>
      <c r="AP151" s="48">
        <v>2</v>
      </c>
      <c r="AQ151" s="49">
        <v>3.9215686274509802</v>
      </c>
      <c r="AR151" s="48">
        <v>4</v>
      </c>
      <c r="AS151" s="49">
        <v>7.8431372549019605</v>
      </c>
      <c r="AT151" s="48">
        <v>0</v>
      </c>
      <c r="AU151" s="49">
        <v>0</v>
      </c>
      <c r="AV151" s="48">
        <v>45</v>
      </c>
      <c r="AW151" s="49">
        <v>88.23529411764706</v>
      </c>
      <c r="AX151" s="48">
        <v>51</v>
      </c>
      <c r="AY151" s="119" t="s">
        <v>3491</v>
      </c>
      <c r="AZ151" s="119" t="s">
        <v>3491</v>
      </c>
      <c r="BA151" s="119" t="s">
        <v>3491</v>
      </c>
      <c r="BB151" s="119" t="s">
        <v>3491</v>
      </c>
      <c r="BC151" s="2"/>
      <c r="BD151" s="3"/>
      <c r="BE151" s="3"/>
      <c r="BF151" s="3"/>
      <c r="BG151" s="3"/>
    </row>
    <row r="152" spans="1:59" ht="15">
      <c r="A152" s="66" t="s">
        <v>472</v>
      </c>
      <c r="B152" s="67"/>
      <c r="C152" s="67"/>
      <c r="D152" s="68">
        <v>164.88912513482478</v>
      </c>
      <c r="E152" s="70"/>
      <c r="F152" s="96" t="str">
        <f>HYPERLINK("https://i.ytimg.com/vi/fpaES0VnXaA/default.jpg")</f>
        <v>https://i.ytimg.com/vi/fpaES0VnXaA/default.jpg</v>
      </c>
      <c r="G152" s="67"/>
      <c r="H152" s="71" t="s">
        <v>813</v>
      </c>
      <c r="I152" s="72"/>
      <c r="J152" s="72" t="s">
        <v>159</v>
      </c>
      <c r="K152" s="71" t="s">
        <v>813</v>
      </c>
      <c r="L152" s="75">
        <v>1250.75</v>
      </c>
      <c r="M152" s="76">
        <v>862.0157470703125</v>
      </c>
      <c r="N152" s="76">
        <v>9746.6767578125</v>
      </c>
      <c r="O152" s="77"/>
      <c r="P152" s="78"/>
      <c r="Q152" s="78"/>
      <c r="R152" s="82"/>
      <c r="S152" s="48">
        <v>1</v>
      </c>
      <c r="T152" s="48">
        <v>0</v>
      </c>
      <c r="U152" s="49">
        <v>0</v>
      </c>
      <c r="V152" s="49">
        <v>0.000935</v>
      </c>
      <c r="W152" s="49">
        <v>0.002329</v>
      </c>
      <c r="X152" s="49">
        <v>0.405574</v>
      </c>
      <c r="Y152" s="49">
        <v>0</v>
      </c>
      <c r="Z152" s="49">
        <v>0</v>
      </c>
      <c r="AA152" s="73">
        <v>152</v>
      </c>
      <c r="AB152" s="73"/>
      <c r="AC152" s="74"/>
      <c r="AD152" s="80" t="s">
        <v>813</v>
      </c>
      <c r="AE152" s="80" t="s">
        <v>1142</v>
      </c>
      <c r="AF152" s="80" t="s">
        <v>1457</v>
      </c>
      <c r="AG152" s="80" t="s">
        <v>1655</v>
      </c>
      <c r="AH152" s="80" t="s">
        <v>1866</v>
      </c>
      <c r="AI152" s="80">
        <v>959860</v>
      </c>
      <c r="AJ152" s="80">
        <v>1261</v>
      </c>
      <c r="AK152" s="80">
        <v>11691</v>
      </c>
      <c r="AL152" s="80">
        <v>1604</v>
      </c>
      <c r="AM152" s="80" t="s">
        <v>2047</v>
      </c>
      <c r="AN152" s="98" t="str">
        <f>HYPERLINK("https://www.youtube.com/watch?v=fpaES0VnXaA")</f>
        <v>https://www.youtube.com/watch?v=fpaES0VnXaA</v>
      </c>
      <c r="AO152" s="80" t="str">
        <f>REPLACE(INDEX(GroupVertices[Group],MATCH(Vertices[[#This Row],[Vertex]],GroupVertices[Vertex],0)),1,1,"")</f>
        <v>1</v>
      </c>
      <c r="AP152" s="48">
        <v>0</v>
      </c>
      <c r="AQ152" s="49">
        <v>0</v>
      </c>
      <c r="AR152" s="48">
        <v>1</v>
      </c>
      <c r="AS152" s="49">
        <v>3.125</v>
      </c>
      <c r="AT152" s="48">
        <v>0</v>
      </c>
      <c r="AU152" s="49">
        <v>0</v>
      </c>
      <c r="AV152" s="48">
        <v>31</v>
      </c>
      <c r="AW152" s="49">
        <v>96.875</v>
      </c>
      <c r="AX152" s="48">
        <v>32</v>
      </c>
      <c r="AY152" s="48"/>
      <c r="AZ152" s="48"/>
      <c r="BA152" s="48"/>
      <c r="BB152" s="48"/>
      <c r="BC152" s="2"/>
      <c r="BD152" s="3"/>
      <c r="BE152" s="3"/>
      <c r="BF152" s="3"/>
      <c r="BG152" s="3"/>
    </row>
    <row r="153" spans="1:59" ht="15">
      <c r="A153" s="66" t="s">
        <v>473</v>
      </c>
      <c r="B153" s="67"/>
      <c r="C153" s="67"/>
      <c r="D153" s="68">
        <v>1000</v>
      </c>
      <c r="E153" s="70"/>
      <c r="F153" s="96" t="str">
        <f>HYPERLINK("https://i.ytimg.com/vi/LABGimhsEys/default.jpg")</f>
        <v>https://i.ytimg.com/vi/LABGimhsEys/default.jpg</v>
      </c>
      <c r="G153" s="67"/>
      <c r="H153" s="71" t="s">
        <v>814</v>
      </c>
      <c r="I153" s="72"/>
      <c r="J153" s="72" t="s">
        <v>159</v>
      </c>
      <c r="K153" s="71" t="s">
        <v>814</v>
      </c>
      <c r="L153" s="75">
        <v>1250.75</v>
      </c>
      <c r="M153" s="76">
        <v>348.6716613769531</v>
      </c>
      <c r="N153" s="76">
        <v>8837.28515625</v>
      </c>
      <c r="O153" s="77"/>
      <c r="P153" s="78"/>
      <c r="Q153" s="78"/>
      <c r="R153" s="82"/>
      <c r="S153" s="48">
        <v>1</v>
      </c>
      <c r="T153" s="48">
        <v>0</v>
      </c>
      <c r="U153" s="49">
        <v>0</v>
      </c>
      <c r="V153" s="49">
        <v>0.000935</v>
      </c>
      <c r="W153" s="49">
        <v>0.002329</v>
      </c>
      <c r="X153" s="49">
        <v>0.405574</v>
      </c>
      <c r="Y153" s="49">
        <v>0</v>
      </c>
      <c r="Z153" s="49">
        <v>0</v>
      </c>
      <c r="AA153" s="73">
        <v>153</v>
      </c>
      <c r="AB153" s="73"/>
      <c r="AC153" s="74"/>
      <c r="AD153" s="80" t="s">
        <v>814</v>
      </c>
      <c r="AE153" s="80" t="s">
        <v>1143</v>
      </c>
      <c r="AF153" s="80" t="s">
        <v>1458</v>
      </c>
      <c r="AG153" s="80" t="s">
        <v>1655</v>
      </c>
      <c r="AH153" s="80" t="s">
        <v>1867</v>
      </c>
      <c r="AI153" s="80">
        <v>66660138</v>
      </c>
      <c r="AJ153" s="80">
        <v>12269</v>
      </c>
      <c r="AK153" s="80">
        <v>331633</v>
      </c>
      <c r="AL153" s="80">
        <v>5922</v>
      </c>
      <c r="AM153" s="80" t="s">
        <v>2047</v>
      </c>
      <c r="AN153" s="98" t="str">
        <f>HYPERLINK("https://www.youtube.com/watch?v=LABGimhsEys")</f>
        <v>https://www.youtube.com/watch?v=LABGimhsEys</v>
      </c>
      <c r="AO153" s="80" t="str">
        <f>REPLACE(INDEX(GroupVertices[Group],MATCH(Vertices[[#This Row],[Vertex]],GroupVertices[Vertex],0)),1,1,"")</f>
        <v>1</v>
      </c>
      <c r="AP153" s="48">
        <v>3</v>
      </c>
      <c r="AQ153" s="49">
        <v>4.615384615384615</v>
      </c>
      <c r="AR153" s="48">
        <v>2</v>
      </c>
      <c r="AS153" s="49">
        <v>3.076923076923077</v>
      </c>
      <c r="AT153" s="48">
        <v>0</v>
      </c>
      <c r="AU153" s="49">
        <v>0</v>
      </c>
      <c r="AV153" s="48">
        <v>60</v>
      </c>
      <c r="AW153" s="49">
        <v>92.3076923076923</v>
      </c>
      <c r="AX153" s="48">
        <v>65</v>
      </c>
      <c r="AY153" s="48"/>
      <c r="AZ153" s="48"/>
      <c r="BA153" s="48"/>
      <c r="BB153" s="48"/>
      <c r="BC153" s="2"/>
      <c r="BD153" s="3"/>
      <c r="BE153" s="3"/>
      <c r="BF153" s="3"/>
      <c r="BG153" s="3"/>
    </row>
    <row r="154" spans="1:59" ht="15">
      <c r="A154" s="66" t="s">
        <v>474</v>
      </c>
      <c r="B154" s="67"/>
      <c r="C154" s="67"/>
      <c r="D154" s="68">
        <v>265.43430717006413</v>
      </c>
      <c r="E154" s="70"/>
      <c r="F154" s="96" t="str">
        <f>HYPERLINK("https://i.ytimg.com/vi/gCYR7BWYhCU/default.jpg")</f>
        <v>https://i.ytimg.com/vi/gCYR7BWYhCU/default.jpg</v>
      </c>
      <c r="G154" s="67"/>
      <c r="H154" s="71" t="s">
        <v>815</v>
      </c>
      <c r="I154" s="72"/>
      <c r="J154" s="72" t="s">
        <v>159</v>
      </c>
      <c r="K154" s="71" t="s">
        <v>815</v>
      </c>
      <c r="L154" s="75">
        <v>1250.75</v>
      </c>
      <c r="M154" s="76">
        <v>330.5377502441406</v>
      </c>
      <c r="N154" s="76">
        <v>5726.2451171875</v>
      </c>
      <c r="O154" s="77"/>
      <c r="P154" s="78"/>
      <c r="Q154" s="78"/>
      <c r="R154" s="82"/>
      <c r="S154" s="48">
        <v>1</v>
      </c>
      <c r="T154" s="48">
        <v>0</v>
      </c>
      <c r="U154" s="49">
        <v>0</v>
      </c>
      <c r="V154" s="49">
        <v>0.000935</v>
      </c>
      <c r="W154" s="49">
        <v>0.002329</v>
      </c>
      <c r="X154" s="49">
        <v>0.405574</v>
      </c>
      <c r="Y154" s="49">
        <v>0</v>
      </c>
      <c r="Z154" s="49">
        <v>0</v>
      </c>
      <c r="AA154" s="73">
        <v>154</v>
      </c>
      <c r="AB154" s="73"/>
      <c r="AC154" s="74"/>
      <c r="AD154" s="80" t="s">
        <v>815</v>
      </c>
      <c r="AE154" s="80" t="s">
        <v>1144</v>
      </c>
      <c r="AF154" s="80" t="s">
        <v>1459</v>
      </c>
      <c r="AG154" s="80" t="s">
        <v>1655</v>
      </c>
      <c r="AH154" s="80" t="s">
        <v>1868</v>
      </c>
      <c r="AI154" s="80">
        <v>2088613</v>
      </c>
      <c r="AJ154" s="80">
        <v>913</v>
      </c>
      <c r="AK154" s="80">
        <v>19871</v>
      </c>
      <c r="AL154" s="80">
        <v>786</v>
      </c>
      <c r="AM154" s="80" t="s">
        <v>2047</v>
      </c>
      <c r="AN154" s="98" t="str">
        <f>HYPERLINK("https://www.youtube.com/watch?v=gCYR7BWYhCU")</f>
        <v>https://www.youtube.com/watch?v=gCYR7BWYhCU</v>
      </c>
      <c r="AO154" s="80" t="str">
        <f>REPLACE(INDEX(GroupVertices[Group],MATCH(Vertices[[#This Row],[Vertex]],GroupVertices[Vertex],0)),1,1,"")</f>
        <v>1</v>
      </c>
      <c r="AP154" s="48">
        <v>1</v>
      </c>
      <c r="AQ154" s="49">
        <v>1.8518518518518519</v>
      </c>
      <c r="AR154" s="48">
        <v>2</v>
      </c>
      <c r="AS154" s="49">
        <v>3.7037037037037037</v>
      </c>
      <c r="AT154" s="48">
        <v>0</v>
      </c>
      <c r="AU154" s="49">
        <v>0</v>
      </c>
      <c r="AV154" s="48">
        <v>51</v>
      </c>
      <c r="AW154" s="49">
        <v>94.44444444444444</v>
      </c>
      <c r="AX154" s="48">
        <v>54</v>
      </c>
      <c r="AY154" s="48"/>
      <c r="AZ154" s="48"/>
      <c r="BA154" s="48"/>
      <c r="BB154" s="48"/>
      <c r="BC154" s="2"/>
      <c r="BD154" s="3"/>
      <c r="BE154" s="3"/>
      <c r="BF154" s="3"/>
      <c r="BG154" s="3"/>
    </row>
    <row r="155" spans="1:59" ht="15">
      <c r="A155" s="66" t="s">
        <v>475</v>
      </c>
      <c r="B155" s="67"/>
      <c r="C155" s="67"/>
      <c r="D155" s="68">
        <v>204.09758893594443</v>
      </c>
      <c r="E155" s="70"/>
      <c r="F155" s="96" t="str">
        <f>HYPERLINK("https://i.ytimg.com/vi/MQPx6WUNuNo/default.jpg")</f>
        <v>https://i.ytimg.com/vi/MQPx6WUNuNo/default.jpg</v>
      </c>
      <c r="G155" s="67"/>
      <c r="H155" s="71" t="s">
        <v>816</v>
      </c>
      <c r="I155" s="72"/>
      <c r="J155" s="72" t="s">
        <v>159</v>
      </c>
      <c r="K155" s="71" t="s">
        <v>816</v>
      </c>
      <c r="L155" s="75">
        <v>1250.75</v>
      </c>
      <c r="M155" s="76">
        <v>118.33135986328125</v>
      </c>
      <c r="N155" s="76">
        <v>7295.98046875</v>
      </c>
      <c r="O155" s="77"/>
      <c r="P155" s="78"/>
      <c r="Q155" s="78"/>
      <c r="R155" s="82"/>
      <c r="S155" s="48">
        <v>1</v>
      </c>
      <c r="T155" s="48">
        <v>0</v>
      </c>
      <c r="U155" s="49">
        <v>0</v>
      </c>
      <c r="V155" s="49">
        <v>0.000935</v>
      </c>
      <c r="W155" s="49">
        <v>0.002329</v>
      </c>
      <c r="X155" s="49">
        <v>0.405574</v>
      </c>
      <c r="Y155" s="49">
        <v>0</v>
      </c>
      <c r="Z155" s="49">
        <v>0</v>
      </c>
      <c r="AA155" s="73">
        <v>155</v>
      </c>
      <c r="AB155" s="73"/>
      <c r="AC155" s="74"/>
      <c r="AD155" s="80" t="s">
        <v>816</v>
      </c>
      <c r="AE155" s="80" t="s">
        <v>1145</v>
      </c>
      <c r="AF155" s="80" t="s">
        <v>1460</v>
      </c>
      <c r="AG155" s="80" t="s">
        <v>1655</v>
      </c>
      <c r="AH155" s="80" t="s">
        <v>1869</v>
      </c>
      <c r="AI155" s="80">
        <v>1400027</v>
      </c>
      <c r="AJ155" s="80">
        <v>193</v>
      </c>
      <c r="AK155" s="80">
        <v>8677</v>
      </c>
      <c r="AL155" s="80">
        <v>200</v>
      </c>
      <c r="AM155" s="80" t="s">
        <v>2047</v>
      </c>
      <c r="AN155" s="98" t="str">
        <f>HYPERLINK("https://www.youtube.com/watch?v=MQPx6WUNuNo")</f>
        <v>https://www.youtube.com/watch?v=MQPx6WUNuNo</v>
      </c>
      <c r="AO155" s="80" t="str">
        <f>REPLACE(INDEX(GroupVertices[Group],MATCH(Vertices[[#This Row],[Vertex]],GroupVertices[Vertex],0)),1,1,"")</f>
        <v>1</v>
      </c>
      <c r="AP155" s="48">
        <v>12</v>
      </c>
      <c r="AQ155" s="49">
        <v>20.338983050847457</v>
      </c>
      <c r="AR155" s="48">
        <v>3</v>
      </c>
      <c r="AS155" s="49">
        <v>5.084745762711864</v>
      </c>
      <c r="AT155" s="48">
        <v>0</v>
      </c>
      <c r="AU155" s="49">
        <v>0</v>
      </c>
      <c r="AV155" s="48">
        <v>44</v>
      </c>
      <c r="AW155" s="49">
        <v>74.57627118644068</v>
      </c>
      <c r="AX155" s="48">
        <v>59</v>
      </c>
      <c r="AY155" s="48"/>
      <c r="AZ155" s="48"/>
      <c r="BA155" s="48"/>
      <c r="BB155" s="48"/>
      <c r="BC155" s="2"/>
      <c r="BD155" s="3"/>
      <c r="BE155" s="3"/>
      <c r="BF155" s="3"/>
      <c r="BG155" s="3"/>
    </row>
    <row r="156" spans="1:59" ht="15">
      <c r="A156" s="66" t="s">
        <v>476</v>
      </c>
      <c r="B156" s="67"/>
      <c r="C156" s="67"/>
      <c r="D156" s="68">
        <v>282.826016486868</v>
      </c>
      <c r="E156" s="70"/>
      <c r="F156" s="96" t="str">
        <f>HYPERLINK("https://i.ytimg.com/vi/H8xCV3bxHyE/default.jpg")</f>
        <v>https://i.ytimg.com/vi/H8xCV3bxHyE/default.jpg</v>
      </c>
      <c r="G156" s="67"/>
      <c r="H156" s="71" t="s">
        <v>817</v>
      </c>
      <c r="I156" s="72"/>
      <c r="J156" s="72" t="s">
        <v>159</v>
      </c>
      <c r="K156" s="71" t="s">
        <v>817</v>
      </c>
      <c r="L156" s="75">
        <v>1250.75</v>
      </c>
      <c r="M156" s="76">
        <v>496.7181701660156</v>
      </c>
      <c r="N156" s="76">
        <v>6368.62939453125</v>
      </c>
      <c r="O156" s="77"/>
      <c r="P156" s="78"/>
      <c r="Q156" s="78"/>
      <c r="R156" s="82"/>
      <c r="S156" s="48">
        <v>1</v>
      </c>
      <c r="T156" s="48">
        <v>0</v>
      </c>
      <c r="U156" s="49">
        <v>0</v>
      </c>
      <c r="V156" s="49">
        <v>0.000935</v>
      </c>
      <c r="W156" s="49">
        <v>0.002329</v>
      </c>
      <c r="X156" s="49">
        <v>0.405574</v>
      </c>
      <c r="Y156" s="49">
        <v>0</v>
      </c>
      <c r="Z156" s="49">
        <v>0</v>
      </c>
      <c r="AA156" s="73">
        <v>156</v>
      </c>
      <c r="AB156" s="73"/>
      <c r="AC156" s="74"/>
      <c r="AD156" s="80" t="s">
        <v>817</v>
      </c>
      <c r="AE156" s="80" t="s">
        <v>1146</v>
      </c>
      <c r="AF156" s="80" t="s">
        <v>1461</v>
      </c>
      <c r="AG156" s="80" t="s">
        <v>1655</v>
      </c>
      <c r="AH156" s="80" t="s">
        <v>1870</v>
      </c>
      <c r="AI156" s="80">
        <v>2283858</v>
      </c>
      <c r="AJ156" s="80">
        <v>1432</v>
      </c>
      <c r="AK156" s="80">
        <v>20834</v>
      </c>
      <c r="AL156" s="80">
        <v>1199</v>
      </c>
      <c r="AM156" s="80" t="s">
        <v>2047</v>
      </c>
      <c r="AN156" s="98" t="str">
        <f>HYPERLINK("https://www.youtube.com/watch?v=H8xCV3bxHyE")</f>
        <v>https://www.youtube.com/watch?v=H8xCV3bxHyE</v>
      </c>
      <c r="AO156" s="80" t="str">
        <f>REPLACE(INDEX(GroupVertices[Group],MATCH(Vertices[[#This Row],[Vertex]],GroupVertices[Vertex],0)),1,1,"")</f>
        <v>1</v>
      </c>
      <c r="AP156" s="48">
        <v>2</v>
      </c>
      <c r="AQ156" s="49">
        <v>3.508771929824561</v>
      </c>
      <c r="AR156" s="48">
        <v>3</v>
      </c>
      <c r="AS156" s="49">
        <v>5.2631578947368425</v>
      </c>
      <c r="AT156" s="48">
        <v>0</v>
      </c>
      <c r="AU156" s="49">
        <v>0</v>
      </c>
      <c r="AV156" s="48">
        <v>52</v>
      </c>
      <c r="AW156" s="49">
        <v>91.2280701754386</v>
      </c>
      <c r="AX156" s="48">
        <v>57</v>
      </c>
      <c r="AY156" s="48"/>
      <c r="AZ156" s="48"/>
      <c r="BA156" s="48"/>
      <c r="BB156" s="48"/>
      <c r="BC156" s="2"/>
      <c r="BD156" s="3"/>
      <c r="BE156" s="3"/>
      <c r="BF156" s="3"/>
      <c r="BG156" s="3"/>
    </row>
    <row r="157" spans="1:59" ht="15">
      <c r="A157" s="66" t="s">
        <v>477</v>
      </c>
      <c r="B157" s="67"/>
      <c r="C157" s="67"/>
      <c r="D157" s="68">
        <v>1000</v>
      </c>
      <c r="E157" s="70"/>
      <c r="F157" s="96" t="str">
        <f>HYPERLINK("https://i.ytimg.com/vi/opRMrEfAIiI/default.jpg")</f>
        <v>https://i.ytimg.com/vi/opRMrEfAIiI/default.jpg</v>
      </c>
      <c r="G157" s="67"/>
      <c r="H157" s="71" t="s">
        <v>818</v>
      </c>
      <c r="I157" s="72"/>
      <c r="J157" s="72" t="s">
        <v>159</v>
      </c>
      <c r="K157" s="71" t="s">
        <v>818</v>
      </c>
      <c r="L157" s="75">
        <v>1250.75</v>
      </c>
      <c r="M157" s="76">
        <v>776.47802734375</v>
      </c>
      <c r="N157" s="76">
        <v>5249.03857421875</v>
      </c>
      <c r="O157" s="77"/>
      <c r="P157" s="78"/>
      <c r="Q157" s="78"/>
      <c r="R157" s="82"/>
      <c r="S157" s="48">
        <v>1</v>
      </c>
      <c r="T157" s="48">
        <v>0</v>
      </c>
      <c r="U157" s="49">
        <v>0</v>
      </c>
      <c r="V157" s="49">
        <v>0.000935</v>
      </c>
      <c r="W157" s="49">
        <v>0.002329</v>
      </c>
      <c r="X157" s="49">
        <v>0.405574</v>
      </c>
      <c r="Y157" s="49">
        <v>0</v>
      </c>
      <c r="Z157" s="49">
        <v>0</v>
      </c>
      <c r="AA157" s="73">
        <v>157</v>
      </c>
      <c r="AB157" s="73"/>
      <c r="AC157" s="74"/>
      <c r="AD157" s="80" t="s">
        <v>818</v>
      </c>
      <c r="AE157" s="80" t="s">
        <v>1147</v>
      </c>
      <c r="AF157" s="80" t="s">
        <v>1462</v>
      </c>
      <c r="AG157" s="80" t="s">
        <v>1655</v>
      </c>
      <c r="AH157" s="80" t="s">
        <v>1871</v>
      </c>
      <c r="AI157" s="80">
        <v>10553789</v>
      </c>
      <c r="AJ157" s="80">
        <v>4849</v>
      </c>
      <c r="AK157" s="80">
        <v>71220</v>
      </c>
      <c r="AL157" s="80">
        <v>2490</v>
      </c>
      <c r="AM157" s="80" t="s">
        <v>2047</v>
      </c>
      <c r="AN157" s="98" t="str">
        <f>HYPERLINK("https://www.youtube.com/watch?v=opRMrEfAIiI")</f>
        <v>https://www.youtube.com/watch?v=opRMrEfAIiI</v>
      </c>
      <c r="AO157" s="80" t="str">
        <f>REPLACE(INDEX(GroupVertices[Group],MATCH(Vertices[[#This Row],[Vertex]],GroupVertices[Vertex],0)),1,1,"")</f>
        <v>1</v>
      </c>
      <c r="AP157" s="48">
        <v>3</v>
      </c>
      <c r="AQ157" s="49">
        <v>6.666666666666667</v>
      </c>
      <c r="AR157" s="48">
        <v>3</v>
      </c>
      <c r="AS157" s="49">
        <v>6.666666666666667</v>
      </c>
      <c r="AT157" s="48">
        <v>0</v>
      </c>
      <c r="AU157" s="49">
        <v>0</v>
      </c>
      <c r="AV157" s="48">
        <v>39</v>
      </c>
      <c r="AW157" s="49">
        <v>86.66666666666667</v>
      </c>
      <c r="AX157" s="48">
        <v>45</v>
      </c>
      <c r="AY157" s="48"/>
      <c r="AZ157" s="48"/>
      <c r="BA157" s="48"/>
      <c r="BB157" s="48"/>
      <c r="BC157" s="2"/>
      <c r="BD157" s="3"/>
      <c r="BE157" s="3"/>
      <c r="BF157" s="3"/>
      <c r="BG157" s="3"/>
    </row>
    <row r="158" spans="1:59" ht="15">
      <c r="A158" s="66" t="s">
        <v>478</v>
      </c>
      <c r="B158" s="67"/>
      <c r="C158" s="67"/>
      <c r="D158" s="68">
        <v>1000</v>
      </c>
      <c r="E158" s="70"/>
      <c r="F158" s="96" t="str">
        <f>HYPERLINK("https://i.ytimg.com/vi/CqJPXVuqs2Y/default.jpg")</f>
        <v>https://i.ytimg.com/vi/CqJPXVuqs2Y/default.jpg</v>
      </c>
      <c r="G158" s="67"/>
      <c r="H158" s="71" t="s">
        <v>819</v>
      </c>
      <c r="I158" s="72"/>
      <c r="J158" s="72" t="s">
        <v>159</v>
      </c>
      <c r="K158" s="71" t="s">
        <v>819</v>
      </c>
      <c r="L158" s="75">
        <v>1250.75</v>
      </c>
      <c r="M158" s="76">
        <v>152.64744567871094</v>
      </c>
      <c r="N158" s="76">
        <v>6765.953125</v>
      </c>
      <c r="O158" s="77"/>
      <c r="P158" s="78"/>
      <c r="Q158" s="78"/>
      <c r="R158" s="82"/>
      <c r="S158" s="48">
        <v>1</v>
      </c>
      <c r="T158" s="48">
        <v>0</v>
      </c>
      <c r="U158" s="49">
        <v>0</v>
      </c>
      <c r="V158" s="49">
        <v>0.000935</v>
      </c>
      <c r="W158" s="49">
        <v>0.002329</v>
      </c>
      <c r="X158" s="49">
        <v>0.405574</v>
      </c>
      <c r="Y158" s="49">
        <v>0</v>
      </c>
      <c r="Z158" s="49">
        <v>0</v>
      </c>
      <c r="AA158" s="73">
        <v>158</v>
      </c>
      <c r="AB158" s="73"/>
      <c r="AC158" s="74"/>
      <c r="AD158" s="80" t="s">
        <v>819</v>
      </c>
      <c r="AE158" s="80" t="s">
        <v>1148</v>
      </c>
      <c r="AF158" s="80" t="s">
        <v>1463</v>
      </c>
      <c r="AG158" s="80" t="s">
        <v>1655</v>
      </c>
      <c r="AH158" s="80" t="s">
        <v>1872</v>
      </c>
      <c r="AI158" s="80">
        <v>21243255</v>
      </c>
      <c r="AJ158" s="80">
        <v>4811</v>
      </c>
      <c r="AK158" s="80">
        <v>140587</v>
      </c>
      <c r="AL158" s="80">
        <v>6134</v>
      </c>
      <c r="AM158" s="80" t="s">
        <v>2047</v>
      </c>
      <c r="AN158" s="98" t="str">
        <f>HYPERLINK("https://www.youtube.com/watch?v=CqJPXVuqs2Y")</f>
        <v>https://www.youtube.com/watch?v=CqJPXVuqs2Y</v>
      </c>
      <c r="AO158" s="80" t="str">
        <f>REPLACE(INDEX(GroupVertices[Group],MATCH(Vertices[[#This Row],[Vertex]],GroupVertices[Vertex],0)),1,1,"")</f>
        <v>1</v>
      </c>
      <c r="AP158" s="48">
        <v>2</v>
      </c>
      <c r="AQ158" s="49">
        <v>3.7037037037037037</v>
      </c>
      <c r="AR158" s="48">
        <v>5</v>
      </c>
      <c r="AS158" s="49">
        <v>9.25925925925926</v>
      </c>
      <c r="AT158" s="48">
        <v>0</v>
      </c>
      <c r="AU158" s="49">
        <v>0</v>
      </c>
      <c r="AV158" s="48">
        <v>47</v>
      </c>
      <c r="AW158" s="49">
        <v>87.03703703703704</v>
      </c>
      <c r="AX158" s="48">
        <v>54</v>
      </c>
      <c r="AY158" s="48"/>
      <c r="AZ158" s="48"/>
      <c r="BA158" s="48"/>
      <c r="BB158" s="48"/>
      <c r="BC158" s="2"/>
      <c r="BD158" s="3"/>
      <c r="BE158" s="3"/>
      <c r="BF158" s="3"/>
      <c r="BG158" s="3"/>
    </row>
    <row r="159" spans="1:59" ht="15">
      <c r="A159" s="66" t="s">
        <v>479</v>
      </c>
      <c r="B159" s="67"/>
      <c r="C159" s="67"/>
      <c r="D159" s="68">
        <v>411.8511302044302</v>
      </c>
      <c r="E159" s="70"/>
      <c r="F159" s="96" t="str">
        <f>HYPERLINK("https://i.ytimg.com/vi/g3XTIYh6WAk/default.jpg")</f>
        <v>https://i.ytimg.com/vi/g3XTIYh6WAk/default.jpg</v>
      </c>
      <c r="G159" s="67"/>
      <c r="H159" s="71" t="s">
        <v>820</v>
      </c>
      <c r="I159" s="72"/>
      <c r="J159" s="72" t="s">
        <v>159</v>
      </c>
      <c r="K159" s="71" t="s">
        <v>820</v>
      </c>
      <c r="L159" s="75">
        <v>1250.75</v>
      </c>
      <c r="M159" s="76">
        <v>146.2831573486328</v>
      </c>
      <c r="N159" s="76">
        <v>7815.7607421875</v>
      </c>
      <c r="O159" s="77"/>
      <c r="P159" s="78"/>
      <c r="Q159" s="78"/>
      <c r="R159" s="82"/>
      <c r="S159" s="48">
        <v>1</v>
      </c>
      <c r="T159" s="48">
        <v>0</v>
      </c>
      <c r="U159" s="49">
        <v>0</v>
      </c>
      <c r="V159" s="49">
        <v>0.000935</v>
      </c>
      <c r="W159" s="49">
        <v>0.002329</v>
      </c>
      <c r="X159" s="49">
        <v>0.405574</v>
      </c>
      <c r="Y159" s="49">
        <v>0</v>
      </c>
      <c r="Z159" s="49">
        <v>0</v>
      </c>
      <c r="AA159" s="73">
        <v>159</v>
      </c>
      <c r="AB159" s="73"/>
      <c r="AC159" s="74"/>
      <c r="AD159" s="80" t="s">
        <v>820</v>
      </c>
      <c r="AE159" s="80" t="s">
        <v>1149</v>
      </c>
      <c r="AF159" s="80" t="s">
        <v>1464</v>
      </c>
      <c r="AG159" s="80" t="s">
        <v>1655</v>
      </c>
      <c r="AH159" s="80" t="s">
        <v>1873</v>
      </c>
      <c r="AI159" s="80">
        <v>3732336</v>
      </c>
      <c r="AJ159" s="80">
        <v>1552</v>
      </c>
      <c r="AK159" s="80">
        <v>20390</v>
      </c>
      <c r="AL159" s="80">
        <v>858</v>
      </c>
      <c r="AM159" s="80" t="s">
        <v>2047</v>
      </c>
      <c r="AN159" s="98" t="str">
        <f>HYPERLINK("https://www.youtube.com/watch?v=g3XTIYh6WAk")</f>
        <v>https://www.youtube.com/watch?v=g3XTIYh6WAk</v>
      </c>
      <c r="AO159" s="80" t="str">
        <f>REPLACE(INDEX(GroupVertices[Group],MATCH(Vertices[[#This Row],[Vertex]],GroupVertices[Vertex],0)),1,1,"")</f>
        <v>1</v>
      </c>
      <c r="AP159" s="48">
        <v>4</v>
      </c>
      <c r="AQ159" s="49">
        <v>7.8431372549019605</v>
      </c>
      <c r="AR159" s="48">
        <v>3</v>
      </c>
      <c r="AS159" s="49">
        <v>5.882352941176471</v>
      </c>
      <c r="AT159" s="48">
        <v>0</v>
      </c>
      <c r="AU159" s="49">
        <v>0</v>
      </c>
      <c r="AV159" s="48">
        <v>44</v>
      </c>
      <c r="AW159" s="49">
        <v>86.27450980392157</v>
      </c>
      <c r="AX159" s="48">
        <v>51</v>
      </c>
      <c r="AY159" s="48"/>
      <c r="AZ159" s="48"/>
      <c r="BA159" s="48"/>
      <c r="BB159" s="48"/>
      <c r="BC159" s="2"/>
      <c r="BD159" s="3"/>
      <c r="BE159" s="3"/>
      <c r="BF159" s="3"/>
      <c r="BG159" s="3"/>
    </row>
    <row r="160" spans="1:59" ht="15">
      <c r="A160" s="66" t="s">
        <v>480</v>
      </c>
      <c r="B160" s="67"/>
      <c r="C160" s="67"/>
      <c r="D160" s="68">
        <v>292.33001620802037</v>
      </c>
      <c r="E160" s="70"/>
      <c r="F160" s="96" t="str">
        <f>HYPERLINK("https://i.ytimg.com/vi/sEQcp8WM0oI/default.jpg")</f>
        <v>https://i.ytimg.com/vi/sEQcp8WM0oI/default.jpg</v>
      </c>
      <c r="G160" s="67"/>
      <c r="H160" s="71" t="s">
        <v>821</v>
      </c>
      <c r="I160" s="72"/>
      <c r="J160" s="72" t="s">
        <v>159</v>
      </c>
      <c r="K160" s="71" t="s">
        <v>821</v>
      </c>
      <c r="L160" s="75">
        <v>1250.75</v>
      </c>
      <c r="M160" s="76">
        <v>523.2758178710938</v>
      </c>
      <c r="N160" s="76">
        <v>5231.3798828125</v>
      </c>
      <c r="O160" s="77"/>
      <c r="P160" s="78"/>
      <c r="Q160" s="78"/>
      <c r="R160" s="82"/>
      <c r="S160" s="48">
        <v>1</v>
      </c>
      <c r="T160" s="48">
        <v>0</v>
      </c>
      <c r="U160" s="49">
        <v>0</v>
      </c>
      <c r="V160" s="49">
        <v>0.000935</v>
      </c>
      <c r="W160" s="49">
        <v>0.002329</v>
      </c>
      <c r="X160" s="49">
        <v>0.405574</v>
      </c>
      <c r="Y160" s="49">
        <v>0</v>
      </c>
      <c r="Z160" s="49">
        <v>0</v>
      </c>
      <c r="AA160" s="73">
        <v>160</v>
      </c>
      <c r="AB160" s="73"/>
      <c r="AC160" s="74"/>
      <c r="AD160" s="80" t="s">
        <v>821</v>
      </c>
      <c r="AE160" s="80" t="s">
        <v>1150</v>
      </c>
      <c r="AF160" s="80" t="s">
        <v>1465</v>
      </c>
      <c r="AG160" s="80" t="s">
        <v>1675</v>
      </c>
      <c r="AH160" s="80" t="s">
        <v>1874</v>
      </c>
      <c r="AI160" s="80">
        <v>2390553</v>
      </c>
      <c r="AJ160" s="80">
        <v>1192</v>
      </c>
      <c r="AK160" s="80">
        <v>27146</v>
      </c>
      <c r="AL160" s="80">
        <v>2693</v>
      </c>
      <c r="AM160" s="80" t="s">
        <v>2047</v>
      </c>
      <c r="AN160" s="98" t="str">
        <f>HYPERLINK("https://www.youtube.com/watch?v=sEQcp8WM0oI")</f>
        <v>https://www.youtube.com/watch?v=sEQcp8WM0oI</v>
      </c>
      <c r="AO160" s="80" t="str">
        <f>REPLACE(INDEX(GroupVertices[Group],MATCH(Vertices[[#This Row],[Vertex]],GroupVertices[Vertex],0)),1,1,"")</f>
        <v>1</v>
      </c>
      <c r="AP160" s="48">
        <v>0</v>
      </c>
      <c r="AQ160" s="49">
        <v>0</v>
      </c>
      <c r="AR160" s="48">
        <v>1</v>
      </c>
      <c r="AS160" s="49">
        <v>1.3333333333333333</v>
      </c>
      <c r="AT160" s="48">
        <v>0</v>
      </c>
      <c r="AU160" s="49">
        <v>0</v>
      </c>
      <c r="AV160" s="48">
        <v>74</v>
      </c>
      <c r="AW160" s="49">
        <v>98.66666666666667</v>
      </c>
      <c r="AX160" s="48">
        <v>75</v>
      </c>
      <c r="AY160" s="48"/>
      <c r="AZ160" s="48"/>
      <c r="BA160" s="48"/>
      <c r="BB160" s="48"/>
      <c r="BC160" s="2"/>
      <c r="BD160" s="3"/>
      <c r="BE160" s="3"/>
      <c r="BF160" s="3"/>
      <c r="BG160" s="3"/>
    </row>
    <row r="161" spans="1:59" ht="15">
      <c r="A161" s="66" t="s">
        <v>481</v>
      </c>
      <c r="B161" s="67"/>
      <c r="C161" s="67"/>
      <c r="D161" s="68">
        <v>665.2106868366476</v>
      </c>
      <c r="E161" s="70"/>
      <c r="F161" s="96" t="str">
        <f>HYPERLINK("https://i.ytimg.com/vi/Vkks7EqWnhU/default.jpg")</f>
        <v>https://i.ytimg.com/vi/Vkks7EqWnhU/default.jpg</v>
      </c>
      <c r="G161" s="67"/>
      <c r="H161" s="71" t="s">
        <v>822</v>
      </c>
      <c r="I161" s="72"/>
      <c r="J161" s="72" t="s">
        <v>159</v>
      </c>
      <c r="K161" s="71" t="s">
        <v>822</v>
      </c>
      <c r="L161" s="75">
        <v>1250.75</v>
      </c>
      <c r="M161" s="76">
        <v>220.09585571289062</v>
      </c>
      <c r="N161" s="76">
        <v>8330.3486328125</v>
      </c>
      <c r="O161" s="77"/>
      <c r="P161" s="78"/>
      <c r="Q161" s="78"/>
      <c r="R161" s="82"/>
      <c r="S161" s="48">
        <v>1</v>
      </c>
      <c r="T161" s="48">
        <v>0</v>
      </c>
      <c r="U161" s="49">
        <v>0</v>
      </c>
      <c r="V161" s="49">
        <v>0.000935</v>
      </c>
      <c r="W161" s="49">
        <v>0.002329</v>
      </c>
      <c r="X161" s="49">
        <v>0.405574</v>
      </c>
      <c r="Y161" s="49">
        <v>0</v>
      </c>
      <c r="Z161" s="49">
        <v>0</v>
      </c>
      <c r="AA161" s="73">
        <v>161</v>
      </c>
      <c r="AB161" s="73"/>
      <c r="AC161" s="74"/>
      <c r="AD161" s="80" t="s">
        <v>822</v>
      </c>
      <c r="AE161" s="80" t="s">
        <v>1151</v>
      </c>
      <c r="AF161" s="80" t="s">
        <v>1466</v>
      </c>
      <c r="AG161" s="80" t="s">
        <v>1655</v>
      </c>
      <c r="AH161" s="80" t="s">
        <v>1875</v>
      </c>
      <c r="AI161" s="80">
        <v>6576633</v>
      </c>
      <c r="AJ161" s="80">
        <v>1578</v>
      </c>
      <c r="AK161" s="80">
        <v>36235</v>
      </c>
      <c r="AL161" s="80">
        <v>877</v>
      </c>
      <c r="AM161" s="80" t="s">
        <v>2047</v>
      </c>
      <c r="AN161" s="98" t="str">
        <f>HYPERLINK("https://www.youtube.com/watch?v=Vkks7EqWnhU")</f>
        <v>https://www.youtube.com/watch?v=Vkks7EqWnhU</v>
      </c>
      <c r="AO161" s="80" t="str">
        <f>REPLACE(INDEX(GroupVertices[Group],MATCH(Vertices[[#This Row],[Vertex]],GroupVertices[Vertex],0)),1,1,"")</f>
        <v>1</v>
      </c>
      <c r="AP161" s="48">
        <v>2</v>
      </c>
      <c r="AQ161" s="49">
        <v>3.8461538461538463</v>
      </c>
      <c r="AR161" s="48">
        <v>5</v>
      </c>
      <c r="AS161" s="49">
        <v>9.615384615384615</v>
      </c>
      <c r="AT161" s="48">
        <v>0</v>
      </c>
      <c r="AU161" s="49">
        <v>0</v>
      </c>
      <c r="AV161" s="48">
        <v>45</v>
      </c>
      <c r="AW161" s="49">
        <v>86.53846153846153</v>
      </c>
      <c r="AX161" s="48">
        <v>52</v>
      </c>
      <c r="AY161" s="48"/>
      <c r="AZ161" s="48"/>
      <c r="BA161" s="48"/>
      <c r="BB161" s="48"/>
      <c r="BC161" s="2"/>
      <c r="BD161" s="3"/>
      <c r="BE161" s="3"/>
      <c r="BF161" s="3"/>
      <c r="BG161" s="3"/>
    </row>
    <row r="162" spans="1:59" ht="15">
      <c r="A162" s="66" t="s">
        <v>482</v>
      </c>
      <c r="B162" s="67"/>
      <c r="C162" s="67"/>
      <c r="D162" s="68">
        <v>81.12441059543659</v>
      </c>
      <c r="E162" s="70"/>
      <c r="F162" s="96" t="str">
        <f>HYPERLINK("https://i.ytimg.com/vi/tcijkFYJiJY/default.jpg")</f>
        <v>https://i.ytimg.com/vi/tcijkFYJiJY/default.jpg</v>
      </c>
      <c r="G162" s="67"/>
      <c r="H162" s="71" t="s">
        <v>823</v>
      </c>
      <c r="I162" s="72"/>
      <c r="J162" s="72" t="s">
        <v>159</v>
      </c>
      <c r="K162" s="71" t="s">
        <v>823</v>
      </c>
      <c r="L162" s="75">
        <v>1250.75</v>
      </c>
      <c r="M162" s="76">
        <v>813.2926635742188</v>
      </c>
      <c r="N162" s="76">
        <v>4830.86962890625</v>
      </c>
      <c r="O162" s="77"/>
      <c r="P162" s="78"/>
      <c r="Q162" s="78"/>
      <c r="R162" s="82"/>
      <c r="S162" s="48">
        <v>1</v>
      </c>
      <c r="T162" s="48">
        <v>0</v>
      </c>
      <c r="U162" s="49">
        <v>0</v>
      </c>
      <c r="V162" s="49">
        <v>0.000935</v>
      </c>
      <c r="W162" s="49">
        <v>0.002329</v>
      </c>
      <c r="X162" s="49">
        <v>0.405574</v>
      </c>
      <c r="Y162" s="49">
        <v>0</v>
      </c>
      <c r="Z162" s="49">
        <v>0</v>
      </c>
      <c r="AA162" s="73">
        <v>162</v>
      </c>
      <c r="AB162" s="73"/>
      <c r="AC162" s="74"/>
      <c r="AD162" s="80" t="s">
        <v>823</v>
      </c>
      <c r="AE162" s="80" t="s">
        <v>1152</v>
      </c>
      <c r="AF162" s="80" t="s">
        <v>1467</v>
      </c>
      <c r="AG162" s="80" t="s">
        <v>1676</v>
      </c>
      <c r="AH162" s="80" t="s">
        <v>1876</v>
      </c>
      <c r="AI162" s="80">
        <v>19490</v>
      </c>
      <c r="AJ162" s="80">
        <v>506</v>
      </c>
      <c r="AK162" s="80">
        <v>374</v>
      </c>
      <c r="AL162" s="80">
        <v>27</v>
      </c>
      <c r="AM162" s="80" t="s">
        <v>2047</v>
      </c>
      <c r="AN162" s="98" t="str">
        <f>HYPERLINK("https://www.youtube.com/watch?v=tcijkFYJiJY")</f>
        <v>https://www.youtube.com/watch?v=tcijkFYJiJY</v>
      </c>
      <c r="AO162" s="80" t="str">
        <f>REPLACE(INDEX(GroupVertices[Group],MATCH(Vertices[[#This Row],[Vertex]],GroupVertices[Vertex],0)),1,1,"")</f>
        <v>1</v>
      </c>
      <c r="AP162" s="48">
        <v>0</v>
      </c>
      <c r="AQ162" s="49">
        <v>0</v>
      </c>
      <c r="AR162" s="48">
        <v>1</v>
      </c>
      <c r="AS162" s="49">
        <v>5.2631578947368425</v>
      </c>
      <c r="AT162" s="48">
        <v>0</v>
      </c>
      <c r="AU162" s="49">
        <v>0</v>
      </c>
      <c r="AV162" s="48">
        <v>18</v>
      </c>
      <c r="AW162" s="49">
        <v>94.73684210526316</v>
      </c>
      <c r="AX162" s="48">
        <v>19</v>
      </c>
      <c r="AY162" s="48"/>
      <c r="AZ162" s="48"/>
      <c r="BA162" s="48"/>
      <c r="BB162" s="48"/>
      <c r="BC162" s="2"/>
      <c r="BD162" s="3"/>
      <c r="BE162" s="3"/>
      <c r="BF162" s="3"/>
      <c r="BG162" s="3"/>
    </row>
    <row r="163" spans="1:59" ht="15">
      <c r="A163" s="66" t="s">
        <v>483</v>
      </c>
      <c r="B163" s="67"/>
      <c r="C163" s="67"/>
      <c r="D163" s="68">
        <v>1000</v>
      </c>
      <c r="E163" s="70"/>
      <c r="F163" s="96" t="str">
        <f>HYPERLINK("https://i.ytimg.com/vi/4JhVvlQaG8c/default.jpg")</f>
        <v>https://i.ytimg.com/vi/4JhVvlQaG8c/default.jpg</v>
      </c>
      <c r="G163" s="67"/>
      <c r="H163" s="71" t="s">
        <v>824</v>
      </c>
      <c r="I163" s="72"/>
      <c r="J163" s="72" t="s">
        <v>159</v>
      </c>
      <c r="K163" s="71" t="s">
        <v>824</v>
      </c>
      <c r="L163" s="75">
        <v>1250.75</v>
      </c>
      <c r="M163" s="76">
        <v>452.6534118652344</v>
      </c>
      <c r="N163" s="76">
        <v>7652.95068359375</v>
      </c>
      <c r="O163" s="77"/>
      <c r="P163" s="78"/>
      <c r="Q163" s="78"/>
      <c r="R163" s="82"/>
      <c r="S163" s="48">
        <v>1</v>
      </c>
      <c r="T163" s="48">
        <v>0</v>
      </c>
      <c r="U163" s="49">
        <v>0</v>
      </c>
      <c r="V163" s="49">
        <v>0.000935</v>
      </c>
      <c r="W163" s="49">
        <v>0.002329</v>
      </c>
      <c r="X163" s="49">
        <v>0.405574</v>
      </c>
      <c r="Y163" s="49">
        <v>0</v>
      </c>
      <c r="Z163" s="49">
        <v>0</v>
      </c>
      <c r="AA163" s="73">
        <v>163</v>
      </c>
      <c r="AB163" s="73"/>
      <c r="AC163" s="74"/>
      <c r="AD163" s="80" t="s">
        <v>824</v>
      </c>
      <c r="AE163" s="80" t="s">
        <v>1153</v>
      </c>
      <c r="AF163" s="80" t="s">
        <v>1468</v>
      </c>
      <c r="AG163" s="80" t="s">
        <v>1655</v>
      </c>
      <c r="AH163" s="80" t="s">
        <v>1877</v>
      </c>
      <c r="AI163" s="80">
        <v>16786107</v>
      </c>
      <c r="AJ163" s="80">
        <v>9565</v>
      </c>
      <c r="AK163" s="80">
        <v>133691</v>
      </c>
      <c r="AL163" s="80">
        <v>4862</v>
      </c>
      <c r="AM163" s="80" t="s">
        <v>2047</v>
      </c>
      <c r="AN163" s="98" t="str">
        <f>HYPERLINK("https://www.youtube.com/watch?v=4JhVvlQaG8c")</f>
        <v>https://www.youtube.com/watch?v=4JhVvlQaG8c</v>
      </c>
      <c r="AO163" s="80" t="str">
        <f>REPLACE(INDEX(GroupVertices[Group],MATCH(Vertices[[#This Row],[Vertex]],GroupVertices[Vertex],0)),1,1,"")</f>
        <v>1</v>
      </c>
      <c r="AP163" s="48">
        <v>0</v>
      </c>
      <c r="AQ163" s="49">
        <v>0</v>
      </c>
      <c r="AR163" s="48">
        <v>4</v>
      </c>
      <c r="AS163" s="49">
        <v>7.017543859649122</v>
      </c>
      <c r="AT163" s="48">
        <v>0</v>
      </c>
      <c r="AU163" s="49">
        <v>0</v>
      </c>
      <c r="AV163" s="48">
        <v>53</v>
      </c>
      <c r="AW163" s="49">
        <v>92.98245614035088</v>
      </c>
      <c r="AX163" s="48">
        <v>57</v>
      </c>
      <c r="AY163" s="48"/>
      <c r="AZ163" s="48"/>
      <c r="BA163" s="48"/>
      <c r="BB163" s="48"/>
      <c r="BC163" s="2"/>
      <c r="BD163" s="3"/>
      <c r="BE163" s="3"/>
      <c r="BF163" s="3"/>
      <c r="BG163" s="3"/>
    </row>
    <row r="164" spans="1:59" ht="15">
      <c r="A164" s="66" t="s">
        <v>484</v>
      </c>
      <c r="B164" s="67"/>
      <c r="C164" s="67"/>
      <c r="D164" s="68">
        <v>431.0081543576725</v>
      </c>
      <c r="E164" s="70"/>
      <c r="F164" s="96" t="str">
        <f>HYPERLINK("https://i.ytimg.com/vi/4PY0KzcyVJ8/default.jpg")</f>
        <v>https://i.ytimg.com/vi/4PY0KzcyVJ8/default.jpg</v>
      </c>
      <c r="G164" s="67"/>
      <c r="H164" s="71" t="s">
        <v>825</v>
      </c>
      <c r="I164" s="72"/>
      <c r="J164" s="72" t="s">
        <v>159</v>
      </c>
      <c r="K164" s="71" t="s">
        <v>825</v>
      </c>
      <c r="L164" s="75">
        <v>1250.75</v>
      </c>
      <c r="M164" s="76">
        <v>544.4344482421875</v>
      </c>
      <c r="N164" s="76">
        <v>9330.392578125</v>
      </c>
      <c r="O164" s="77"/>
      <c r="P164" s="78"/>
      <c r="Q164" s="78"/>
      <c r="R164" s="82"/>
      <c r="S164" s="48">
        <v>1</v>
      </c>
      <c r="T164" s="48">
        <v>0</v>
      </c>
      <c r="U164" s="49">
        <v>0</v>
      </c>
      <c r="V164" s="49">
        <v>0.000935</v>
      </c>
      <c r="W164" s="49">
        <v>0.002329</v>
      </c>
      <c r="X164" s="49">
        <v>0.405574</v>
      </c>
      <c r="Y164" s="49">
        <v>0</v>
      </c>
      <c r="Z164" s="49">
        <v>0</v>
      </c>
      <c r="AA164" s="73">
        <v>164</v>
      </c>
      <c r="AB164" s="73"/>
      <c r="AC164" s="74"/>
      <c r="AD164" s="80" t="s">
        <v>825</v>
      </c>
      <c r="AE164" s="80" t="s">
        <v>1154</v>
      </c>
      <c r="AF164" s="80" t="s">
        <v>1469</v>
      </c>
      <c r="AG164" s="80" t="s">
        <v>1655</v>
      </c>
      <c r="AH164" s="80" t="s">
        <v>1878</v>
      </c>
      <c r="AI164" s="80">
        <v>3947399</v>
      </c>
      <c r="AJ164" s="80">
        <v>1024</v>
      </c>
      <c r="AK164" s="80">
        <v>46899</v>
      </c>
      <c r="AL164" s="80">
        <v>566</v>
      </c>
      <c r="AM164" s="80" t="s">
        <v>2047</v>
      </c>
      <c r="AN164" s="98" t="str">
        <f>HYPERLINK("https://www.youtube.com/watch?v=4PY0KzcyVJ8")</f>
        <v>https://www.youtube.com/watch?v=4PY0KzcyVJ8</v>
      </c>
      <c r="AO164" s="80" t="str">
        <f>REPLACE(INDEX(GroupVertices[Group],MATCH(Vertices[[#This Row],[Vertex]],GroupVertices[Vertex],0)),1,1,"")</f>
        <v>1</v>
      </c>
      <c r="AP164" s="48">
        <v>2</v>
      </c>
      <c r="AQ164" s="49">
        <v>4.444444444444445</v>
      </c>
      <c r="AR164" s="48">
        <v>4</v>
      </c>
      <c r="AS164" s="49">
        <v>8.88888888888889</v>
      </c>
      <c r="AT164" s="48">
        <v>0</v>
      </c>
      <c r="AU164" s="49">
        <v>0</v>
      </c>
      <c r="AV164" s="48">
        <v>39</v>
      </c>
      <c r="AW164" s="49">
        <v>86.66666666666667</v>
      </c>
      <c r="AX164" s="48">
        <v>45</v>
      </c>
      <c r="AY164" s="48"/>
      <c r="AZ164" s="48"/>
      <c r="BA164" s="48"/>
      <c r="BB164" s="48"/>
      <c r="BC164" s="2"/>
      <c r="BD164" s="3"/>
      <c r="BE164" s="3"/>
      <c r="BF164" s="3"/>
      <c r="BG164" s="3"/>
    </row>
    <row r="165" spans="1:59" ht="15">
      <c r="A165" s="66" t="s">
        <v>485</v>
      </c>
      <c r="B165" s="67"/>
      <c r="C165" s="67"/>
      <c r="D165" s="68">
        <v>1000</v>
      </c>
      <c r="E165" s="70"/>
      <c r="F165" s="96" t="str">
        <f>HYPERLINK("https://i.ytimg.com/vi/CCU8vpSeBtM/default.jpg")</f>
        <v>https://i.ytimg.com/vi/CCU8vpSeBtM/default.jpg</v>
      </c>
      <c r="G165" s="67"/>
      <c r="H165" s="71" t="s">
        <v>826</v>
      </c>
      <c r="I165" s="72"/>
      <c r="J165" s="72" t="s">
        <v>159</v>
      </c>
      <c r="K165" s="71" t="s">
        <v>826</v>
      </c>
      <c r="L165" s="75">
        <v>1250.75</v>
      </c>
      <c r="M165" s="76">
        <v>1076.1307373046875</v>
      </c>
      <c r="N165" s="76">
        <v>9841.5009765625</v>
      </c>
      <c r="O165" s="77"/>
      <c r="P165" s="78"/>
      <c r="Q165" s="78"/>
      <c r="R165" s="82"/>
      <c r="S165" s="48">
        <v>1</v>
      </c>
      <c r="T165" s="48">
        <v>0</v>
      </c>
      <c r="U165" s="49">
        <v>0</v>
      </c>
      <c r="V165" s="49">
        <v>0.000935</v>
      </c>
      <c r="W165" s="49">
        <v>0.002329</v>
      </c>
      <c r="X165" s="49">
        <v>0.405574</v>
      </c>
      <c r="Y165" s="49">
        <v>0</v>
      </c>
      <c r="Z165" s="49">
        <v>0</v>
      </c>
      <c r="AA165" s="73">
        <v>165</v>
      </c>
      <c r="AB165" s="73"/>
      <c r="AC165" s="74"/>
      <c r="AD165" s="80" t="s">
        <v>826</v>
      </c>
      <c r="AE165" s="80" t="s">
        <v>1155</v>
      </c>
      <c r="AF165" s="80" t="s">
        <v>1470</v>
      </c>
      <c r="AG165" s="80" t="s">
        <v>1655</v>
      </c>
      <c r="AH165" s="80" t="s">
        <v>1879</v>
      </c>
      <c r="AI165" s="80">
        <v>14201504</v>
      </c>
      <c r="AJ165" s="80">
        <v>6253</v>
      </c>
      <c r="AK165" s="80">
        <v>195065</v>
      </c>
      <c r="AL165" s="80">
        <v>3526</v>
      </c>
      <c r="AM165" s="80" t="s">
        <v>2047</v>
      </c>
      <c r="AN165" s="98" t="str">
        <f>HYPERLINK("https://www.youtube.com/watch?v=CCU8vpSeBtM")</f>
        <v>https://www.youtube.com/watch?v=CCU8vpSeBtM</v>
      </c>
      <c r="AO165" s="80" t="str">
        <f>REPLACE(INDEX(GroupVertices[Group],MATCH(Vertices[[#This Row],[Vertex]],GroupVertices[Vertex],0)),1,1,"")</f>
        <v>1</v>
      </c>
      <c r="AP165" s="48">
        <v>3</v>
      </c>
      <c r="AQ165" s="49">
        <v>5</v>
      </c>
      <c r="AR165" s="48">
        <v>3</v>
      </c>
      <c r="AS165" s="49">
        <v>5</v>
      </c>
      <c r="AT165" s="48">
        <v>0</v>
      </c>
      <c r="AU165" s="49">
        <v>0</v>
      </c>
      <c r="AV165" s="48">
        <v>54</v>
      </c>
      <c r="AW165" s="49">
        <v>90</v>
      </c>
      <c r="AX165" s="48">
        <v>60</v>
      </c>
      <c r="AY165" s="48"/>
      <c r="AZ165" s="48"/>
      <c r="BA165" s="48"/>
      <c r="BB165" s="48"/>
      <c r="BC165" s="2"/>
      <c r="BD165" s="3"/>
      <c r="BE165" s="3"/>
      <c r="BF165" s="3"/>
      <c r="BG165" s="3"/>
    </row>
    <row r="166" spans="1:59" ht="15">
      <c r="A166" s="66" t="s">
        <v>486</v>
      </c>
      <c r="B166" s="67"/>
      <c r="C166" s="67"/>
      <c r="D166" s="68">
        <v>1000</v>
      </c>
      <c r="E166" s="70"/>
      <c r="F166" s="96" t="str">
        <f>HYPERLINK("https://i.ytimg.com/vi/RDocnbkHjhI/default.jpg")</f>
        <v>https://i.ytimg.com/vi/RDocnbkHjhI/default.jpg</v>
      </c>
      <c r="G166" s="67"/>
      <c r="H166" s="71" t="s">
        <v>827</v>
      </c>
      <c r="I166" s="72"/>
      <c r="J166" s="72" t="s">
        <v>159</v>
      </c>
      <c r="K166" s="71" t="s">
        <v>827</v>
      </c>
      <c r="L166" s="75">
        <v>1250.75</v>
      </c>
      <c r="M166" s="76">
        <v>444.7946472167969</v>
      </c>
      <c r="N166" s="76">
        <v>7001.76318359375</v>
      </c>
      <c r="O166" s="77"/>
      <c r="P166" s="78"/>
      <c r="Q166" s="78"/>
      <c r="R166" s="82"/>
      <c r="S166" s="48">
        <v>1</v>
      </c>
      <c r="T166" s="48">
        <v>0</v>
      </c>
      <c r="U166" s="49">
        <v>0</v>
      </c>
      <c r="V166" s="49">
        <v>0.000935</v>
      </c>
      <c r="W166" s="49">
        <v>0.002329</v>
      </c>
      <c r="X166" s="49">
        <v>0.405574</v>
      </c>
      <c r="Y166" s="49">
        <v>0</v>
      </c>
      <c r="Z166" s="49">
        <v>0</v>
      </c>
      <c r="AA166" s="73">
        <v>166</v>
      </c>
      <c r="AB166" s="73"/>
      <c r="AC166" s="74"/>
      <c r="AD166" s="80" t="s">
        <v>827</v>
      </c>
      <c r="AE166" s="80" t="s">
        <v>1156</v>
      </c>
      <c r="AF166" s="80" t="s">
        <v>1471</v>
      </c>
      <c r="AG166" s="80" t="s">
        <v>1655</v>
      </c>
      <c r="AH166" s="80" t="s">
        <v>1880</v>
      </c>
      <c r="AI166" s="80">
        <v>63353187</v>
      </c>
      <c r="AJ166" s="80">
        <v>29677</v>
      </c>
      <c r="AK166" s="80">
        <v>468784</v>
      </c>
      <c r="AL166" s="80">
        <v>14931</v>
      </c>
      <c r="AM166" s="80" t="s">
        <v>2047</v>
      </c>
      <c r="AN166" s="98" t="str">
        <f>HYPERLINK("https://www.youtube.com/watch?v=RDocnbkHjhI")</f>
        <v>https://www.youtube.com/watch?v=RDocnbkHjhI</v>
      </c>
      <c r="AO166" s="80" t="str">
        <f>REPLACE(INDEX(GroupVertices[Group],MATCH(Vertices[[#This Row],[Vertex]],GroupVertices[Vertex],0)),1,1,"")</f>
        <v>1</v>
      </c>
      <c r="AP166" s="48">
        <v>2</v>
      </c>
      <c r="AQ166" s="49">
        <v>3.278688524590164</v>
      </c>
      <c r="AR166" s="48">
        <v>2</v>
      </c>
      <c r="AS166" s="49">
        <v>3.278688524590164</v>
      </c>
      <c r="AT166" s="48">
        <v>0</v>
      </c>
      <c r="AU166" s="49">
        <v>0</v>
      </c>
      <c r="AV166" s="48">
        <v>57</v>
      </c>
      <c r="AW166" s="49">
        <v>93.44262295081967</v>
      </c>
      <c r="AX166" s="48">
        <v>61</v>
      </c>
      <c r="AY166" s="48"/>
      <c r="AZ166" s="48"/>
      <c r="BA166" s="48"/>
      <c r="BB166" s="48"/>
      <c r="BC166" s="2"/>
      <c r="BD166" s="3"/>
      <c r="BE166" s="3"/>
      <c r="BF166" s="3"/>
      <c r="BG166" s="3"/>
    </row>
    <row r="167" spans="1:59" ht="15">
      <c r="A167" s="66" t="s">
        <v>487</v>
      </c>
      <c r="B167" s="67"/>
      <c r="C167" s="67"/>
      <c r="D167" s="68">
        <v>1000</v>
      </c>
      <c r="E167" s="70"/>
      <c r="F167" s="96" t="str">
        <f>HYPERLINK("https://i.ytimg.com/vi/4nPuZ9chE7s/default.jpg")</f>
        <v>https://i.ytimg.com/vi/4nPuZ9chE7s/default.jpg</v>
      </c>
      <c r="G167" s="67"/>
      <c r="H167" s="71" t="s">
        <v>828</v>
      </c>
      <c r="I167" s="72"/>
      <c r="J167" s="72" t="s">
        <v>159</v>
      </c>
      <c r="K167" s="71" t="s">
        <v>828</v>
      </c>
      <c r="L167" s="75">
        <v>1250.75</v>
      </c>
      <c r="M167" s="76">
        <v>206.0953369140625</v>
      </c>
      <c r="N167" s="76">
        <v>6239.31640625</v>
      </c>
      <c r="O167" s="77"/>
      <c r="P167" s="78"/>
      <c r="Q167" s="78"/>
      <c r="R167" s="82"/>
      <c r="S167" s="48">
        <v>1</v>
      </c>
      <c r="T167" s="48">
        <v>0</v>
      </c>
      <c r="U167" s="49">
        <v>0</v>
      </c>
      <c r="V167" s="49">
        <v>0.000935</v>
      </c>
      <c r="W167" s="49">
        <v>0.002329</v>
      </c>
      <c r="X167" s="49">
        <v>0.405574</v>
      </c>
      <c r="Y167" s="49">
        <v>0</v>
      </c>
      <c r="Z167" s="49">
        <v>0</v>
      </c>
      <c r="AA167" s="73">
        <v>167</v>
      </c>
      <c r="AB167" s="73"/>
      <c r="AC167" s="74"/>
      <c r="AD167" s="80" t="s">
        <v>828</v>
      </c>
      <c r="AE167" s="80" t="s">
        <v>1157</v>
      </c>
      <c r="AF167" s="80" t="s">
        <v>1472</v>
      </c>
      <c r="AG167" s="80" t="s">
        <v>1655</v>
      </c>
      <c r="AH167" s="80" t="s">
        <v>1881</v>
      </c>
      <c r="AI167" s="80">
        <v>14361656</v>
      </c>
      <c r="AJ167" s="80">
        <v>2693</v>
      </c>
      <c r="AK167" s="80">
        <v>105309</v>
      </c>
      <c r="AL167" s="80">
        <v>3311</v>
      </c>
      <c r="AM167" s="80" t="s">
        <v>2047</v>
      </c>
      <c r="AN167" s="98" t="str">
        <f>HYPERLINK("https://www.youtube.com/watch?v=4nPuZ9chE7s")</f>
        <v>https://www.youtube.com/watch?v=4nPuZ9chE7s</v>
      </c>
      <c r="AO167" s="80" t="str">
        <f>REPLACE(INDEX(GroupVertices[Group],MATCH(Vertices[[#This Row],[Vertex]],GroupVertices[Vertex],0)),1,1,"")</f>
        <v>1</v>
      </c>
      <c r="AP167" s="48">
        <v>0</v>
      </c>
      <c r="AQ167" s="49">
        <v>0</v>
      </c>
      <c r="AR167" s="48">
        <v>1</v>
      </c>
      <c r="AS167" s="49">
        <v>2.0833333333333335</v>
      </c>
      <c r="AT167" s="48">
        <v>0</v>
      </c>
      <c r="AU167" s="49">
        <v>0</v>
      </c>
      <c r="AV167" s="48">
        <v>47</v>
      </c>
      <c r="AW167" s="49">
        <v>97.91666666666667</v>
      </c>
      <c r="AX167" s="48">
        <v>48</v>
      </c>
      <c r="AY167" s="48"/>
      <c r="AZ167" s="48"/>
      <c r="BA167" s="48"/>
      <c r="BB167" s="48"/>
      <c r="BC167" s="2"/>
      <c r="BD167" s="3"/>
      <c r="BE167" s="3"/>
      <c r="BF167" s="3"/>
      <c r="BG167" s="3"/>
    </row>
    <row r="168" spans="1:59" ht="15">
      <c r="A168" s="66" t="s">
        <v>488</v>
      </c>
      <c r="B168" s="67"/>
      <c r="C168" s="67"/>
      <c r="D168" s="68">
        <v>163.08515116835235</v>
      </c>
      <c r="E168" s="70"/>
      <c r="F168" s="96" t="str">
        <f>HYPERLINK("https://i.ytimg.com/vi/9UCdFbyL8y0/default.jpg")</f>
        <v>https://i.ytimg.com/vi/9UCdFbyL8y0/default.jpg</v>
      </c>
      <c r="G168" s="67"/>
      <c r="H168" s="71" t="s">
        <v>829</v>
      </c>
      <c r="I168" s="72"/>
      <c r="J168" s="72" t="s">
        <v>159</v>
      </c>
      <c r="K168" s="71" t="s">
        <v>829</v>
      </c>
      <c r="L168" s="75">
        <v>1250.75</v>
      </c>
      <c r="M168" s="76">
        <v>657.0563354492188</v>
      </c>
      <c r="N168" s="76">
        <v>8846.5654296875</v>
      </c>
      <c r="O168" s="77"/>
      <c r="P168" s="78"/>
      <c r="Q168" s="78"/>
      <c r="R168" s="82"/>
      <c r="S168" s="48">
        <v>1</v>
      </c>
      <c r="T168" s="48">
        <v>0</v>
      </c>
      <c r="U168" s="49">
        <v>0</v>
      </c>
      <c r="V168" s="49">
        <v>0.000935</v>
      </c>
      <c r="W168" s="49">
        <v>0.002329</v>
      </c>
      <c r="X168" s="49">
        <v>0.405574</v>
      </c>
      <c r="Y168" s="49">
        <v>0</v>
      </c>
      <c r="Z168" s="49">
        <v>0</v>
      </c>
      <c r="AA168" s="73">
        <v>168</v>
      </c>
      <c r="AB168" s="73"/>
      <c r="AC168" s="74"/>
      <c r="AD168" s="80" t="s">
        <v>829</v>
      </c>
      <c r="AE168" s="80" t="s">
        <v>1158</v>
      </c>
      <c r="AF168" s="80" t="s">
        <v>1473</v>
      </c>
      <c r="AG168" s="80" t="s">
        <v>1655</v>
      </c>
      <c r="AH168" s="80" t="s">
        <v>1882</v>
      </c>
      <c r="AI168" s="80">
        <v>939608</v>
      </c>
      <c r="AJ168" s="80">
        <v>4832</v>
      </c>
      <c r="AK168" s="80">
        <v>13971</v>
      </c>
      <c r="AL168" s="80">
        <v>1615</v>
      </c>
      <c r="AM168" s="80" t="s">
        <v>2047</v>
      </c>
      <c r="AN168" s="98" t="str">
        <f>HYPERLINK("https://www.youtube.com/watch?v=9UCdFbyL8y0")</f>
        <v>https://www.youtube.com/watch?v=9UCdFbyL8y0</v>
      </c>
      <c r="AO168" s="80" t="str">
        <f>REPLACE(INDEX(GroupVertices[Group],MATCH(Vertices[[#This Row],[Vertex]],GroupVertices[Vertex],0)),1,1,"")</f>
        <v>1</v>
      </c>
      <c r="AP168" s="48">
        <v>1</v>
      </c>
      <c r="AQ168" s="49">
        <v>2.380952380952381</v>
      </c>
      <c r="AR168" s="48">
        <v>4</v>
      </c>
      <c r="AS168" s="49">
        <v>9.523809523809524</v>
      </c>
      <c r="AT168" s="48">
        <v>0</v>
      </c>
      <c r="AU168" s="49">
        <v>0</v>
      </c>
      <c r="AV168" s="48">
        <v>37</v>
      </c>
      <c r="AW168" s="49">
        <v>88.0952380952381</v>
      </c>
      <c r="AX168" s="48">
        <v>42</v>
      </c>
      <c r="AY168" s="48"/>
      <c r="AZ168" s="48"/>
      <c r="BA168" s="48"/>
      <c r="BB168" s="48"/>
      <c r="BC168" s="2"/>
      <c r="BD168" s="3"/>
      <c r="BE168" s="3"/>
      <c r="BF168" s="3"/>
      <c r="BG168" s="3"/>
    </row>
    <row r="169" spans="1:59" ht="15">
      <c r="A169" s="66" t="s">
        <v>489</v>
      </c>
      <c r="B169" s="67"/>
      <c r="C169" s="67"/>
      <c r="D169" s="68">
        <v>174.71371059098277</v>
      </c>
      <c r="E169" s="70"/>
      <c r="F169" s="96" t="str">
        <f>HYPERLINK("https://i.ytimg.com/vi/Ju7Yt0LMiVk/default.jpg")</f>
        <v>https://i.ytimg.com/vi/Ju7Yt0LMiVk/default.jpg</v>
      </c>
      <c r="G169" s="67"/>
      <c r="H169" s="71" t="s">
        <v>830</v>
      </c>
      <c r="I169" s="72"/>
      <c r="J169" s="72" t="s">
        <v>159</v>
      </c>
      <c r="K169" s="71" t="s">
        <v>830</v>
      </c>
      <c r="L169" s="75">
        <v>1250.75</v>
      </c>
      <c r="M169" s="76">
        <v>1021.1113891601562</v>
      </c>
      <c r="N169" s="76">
        <v>4692.51025390625</v>
      </c>
      <c r="O169" s="77"/>
      <c r="P169" s="78"/>
      <c r="Q169" s="78"/>
      <c r="R169" s="82"/>
      <c r="S169" s="48">
        <v>1</v>
      </c>
      <c r="T169" s="48">
        <v>0</v>
      </c>
      <c r="U169" s="49">
        <v>0</v>
      </c>
      <c r="V169" s="49">
        <v>0.000935</v>
      </c>
      <c r="W169" s="49">
        <v>0.002329</v>
      </c>
      <c r="X169" s="49">
        <v>0.405574</v>
      </c>
      <c r="Y169" s="49">
        <v>0</v>
      </c>
      <c r="Z169" s="49">
        <v>0</v>
      </c>
      <c r="AA169" s="73">
        <v>169</v>
      </c>
      <c r="AB169" s="73"/>
      <c r="AC169" s="74"/>
      <c r="AD169" s="80" t="s">
        <v>830</v>
      </c>
      <c r="AE169" s="80" t="s">
        <v>1159</v>
      </c>
      <c r="AF169" s="80" t="s">
        <v>1474</v>
      </c>
      <c r="AG169" s="80" t="s">
        <v>1677</v>
      </c>
      <c r="AH169" s="80" t="s">
        <v>1883</v>
      </c>
      <c r="AI169" s="80">
        <v>1070154</v>
      </c>
      <c r="AJ169" s="80">
        <v>2441</v>
      </c>
      <c r="AK169" s="80">
        <v>16003</v>
      </c>
      <c r="AL169" s="80">
        <v>528</v>
      </c>
      <c r="AM169" s="80" t="s">
        <v>2047</v>
      </c>
      <c r="AN169" s="98" t="str">
        <f>HYPERLINK("https://www.youtube.com/watch?v=Ju7Yt0LMiVk")</f>
        <v>https://www.youtube.com/watch?v=Ju7Yt0LMiVk</v>
      </c>
      <c r="AO169" s="80" t="str">
        <f>REPLACE(INDEX(GroupVertices[Group],MATCH(Vertices[[#This Row],[Vertex]],GroupVertices[Vertex],0)),1,1,"")</f>
        <v>1</v>
      </c>
      <c r="AP169" s="48">
        <v>2</v>
      </c>
      <c r="AQ169" s="49">
        <v>6.666666666666667</v>
      </c>
      <c r="AR169" s="48">
        <v>4</v>
      </c>
      <c r="AS169" s="49">
        <v>13.333333333333334</v>
      </c>
      <c r="AT169" s="48">
        <v>0</v>
      </c>
      <c r="AU169" s="49">
        <v>0</v>
      </c>
      <c r="AV169" s="48">
        <v>24</v>
      </c>
      <c r="AW169" s="49">
        <v>80</v>
      </c>
      <c r="AX169" s="48">
        <v>30</v>
      </c>
      <c r="AY169" s="48"/>
      <c r="AZ169" s="48"/>
      <c r="BA169" s="48"/>
      <c r="BB169" s="48"/>
      <c r="BC169" s="2"/>
      <c r="BD169" s="3"/>
      <c r="BE169" s="3"/>
      <c r="BF169" s="3"/>
      <c r="BG169" s="3"/>
    </row>
    <row r="170" spans="1:59" ht="15">
      <c r="A170" s="66" t="s">
        <v>490</v>
      </c>
      <c r="B170" s="67"/>
      <c r="C170" s="67"/>
      <c r="D170" s="68">
        <v>193.3034966334954</v>
      </c>
      <c r="E170" s="70"/>
      <c r="F170" s="96" t="str">
        <f>HYPERLINK("https://i.ytimg.com/vi/gcNKIGAodj8/default.jpg")</f>
        <v>https://i.ytimg.com/vi/gcNKIGAodj8/default.jpg</v>
      </c>
      <c r="G170" s="67"/>
      <c r="H170" s="71" t="s">
        <v>831</v>
      </c>
      <c r="I170" s="72"/>
      <c r="J170" s="72" t="s">
        <v>159</v>
      </c>
      <c r="K170" s="71" t="s">
        <v>831</v>
      </c>
      <c r="L170" s="75">
        <v>1250.75</v>
      </c>
      <c r="M170" s="76">
        <v>608.4628295898438</v>
      </c>
      <c r="N170" s="76">
        <v>5785.5048828125</v>
      </c>
      <c r="O170" s="77"/>
      <c r="P170" s="78"/>
      <c r="Q170" s="78"/>
      <c r="R170" s="82"/>
      <c r="S170" s="48">
        <v>1</v>
      </c>
      <c r="T170" s="48">
        <v>0</v>
      </c>
      <c r="U170" s="49">
        <v>0</v>
      </c>
      <c r="V170" s="49">
        <v>0.000935</v>
      </c>
      <c r="W170" s="49">
        <v>0.002329</v>
      </c>
      <c r="X170" s="49">
        <v>0.405574</v>
      </c>
      <c r="Y170" s="49">
        <v>0</v>
      </c>
      <c r="Z170" s="49">
        <v>0</v>
      </c>
      <c r="AA170" s="73">
        <v>170</v>
      </c>
      <c r="AB170" s="73"/>
      <c r="AC170" s="74"/>
      <c r="AD170" s="80" t="s">
        <v>831</v>
      </c>
      <c r="AE170" s="80" t="s">
        <v>1160</v>
      </c>
      <c r="AF170" s="80" t="s">
        <v>1475</v>
      </c>
      <c r="AG170" s="80" t="s">
        <v>1655</v>
      </c>
      <c r="AH170" s="80" t="s">
        <v>1884</v>
      </c>
      <c r="AI170" s="80">
        <v>1278849</v>
      </c>
      <c r="AJ170" s="80">
        <v>7073</v>
      </c>
      <c r="AK170" s="80">
        <v>25014</v>
      </c>
      <c r="AL170" s="80">
        <v>1890</v>
      </c>
      <c r="AM170" s="80" t="s">
        <v>2047</v>
      </c>
      <c r="AN170" s="98" t="str">
        <f>HYPERLINK("https://www.youtube.com/watch?v=gcNKIGAodj8")</f>
        <v>https://www.youtube.com/watch?v=gcNKIGAodj8</v>
      </c>
      <c r="AO170" s="80" t="str">
        <f>REPLACE(INDEX(GroupVertices[Group],MATCH(Vertices[[#This Row],[Vertex]],GroupVertices[Vertex],0)),1,1,"")</f>
        <v>1</v>
      </c>
      <c r="AP170" s="48">
        <v>0</v>
      </c>
      <c r="AQ170" s="49">
        <v>0</v>
      </c>
      <c r="AR170" s="48">
        <v>1</v>
      </c>
      <c r="AS170" s="49">
        <v>3.125</v>
      </c>
      <c r="AT170" s="48">
        <v>0</v>
      </c>
      <c r="AU170" s="49">
        <v>0</v>
      </c>
      <c r="AV170" s="48">
        <v>31</v>
      </c>
      <c r="AW170" s="49">
        <v>96.875</v>
      </c>
      <c r="AX170" s="48">
        <v>32</v>
      </c>
      <c r="AY170" s="48"/>
      <c r="AZ170" s="48"/>
      <c r="BA170" s="48"/>
      <c r="BB170" s="48"/>
      <c r="BC170" s="2"/>
      <c r="BD170" s="3"/>
      <c r="BE170" s="3"/>
      <c r="BF170" s="3"/>
      <c r="BG170" s="3"/>
    </row>
    <row r="171" spans="1:59" ht="15">
      <c r="A171" s="66" t="s">
        <v>491</v>
      </c>
      <c r="B171" s="67"/>
      <c r="C171" s="67"/>
      <c r="D171" s="68">
        <v>1000</v>
      </c>
      <c r="E171" s="70"/>
      <c r="F171" s="96" t="str">
        <f>HYPERLINK("https://i.ytimg.com/vi/QmPLGt5rd_k/default.jpg")</f>
        <v>https://i.ytimg.com/vi/QmPLGt5rd_k/default.jpg</v>
      </c>
      <c r="G171" s="67"/>
      <c r="H171" s="71" t="s">
        <v>832</v>
      </c>
      <c r="I171" s="72"/>
      <c r="J171" s="72" t="s">
        <v>159</v>
      </c>
      <c r="K171" s="71" t="s">
        <v>832</v>
      </c>
      <c r="L171" s="75">
        <v>1250.75</v>
      </c>
      <c r="M171" s="76">
        <v>526.437255859375</v>
      </c>
      <c r="N171" s="76">
        <v>8279.2666015625</v>
      </c>
      <c r="O171" s="77"/>
      <c r="P171" s="78"/>
      <c r="Q171" s="78"/>
      <c r="R171" s="82"/>
      <c r="S171" s="48">
        <v>1</v>
      </c>
      <c r="T171" s="48">
        <v>0</v>
      </c>
      <c r="U171" s="49">
        <v>0</v>
      </c>
      <c r="V171" s="49">
        <v>0.000935</v>
      </c>
      <c r="W171" s="49">
        <v>0.002329</v>
      </c>
      <c r="X171" s="49">
        <v>0.405574</v>
      </c>
      <c r="Y171" s="49">
        <v>0</v>
      </c>
      <c r="Z171" s="49">
        <v>0</v>
      </c>
      <c r="AA171" s="73">
        <v>171</v>
      </c>
      <c r="AB171" s="73"/>
      <c r="AC171" s="74"/>
      <c r="AD171" s="80" t="s">
        <v>832</v>
      </c>
      <c r="AE171" s="80" t="s">
        <v>1161</v>
      </c>
      <c r="AF171" s="80" t="s">
        <v>1476</v>
      </c>
      <c r="AG171" s="80" t="s">
        <v>1655</v>
      </c>
      <c r="AH171" s="80" t="s">
        <v>1885</v>
      </c>
      <c r="AI171" s="80">
        <v>25328254</v>
      </c>
      <c r="AJ171" s="80">
        <v>10099</v>
      </c>
      <c r="AK171" s="80">
        <v>249619</v>
      </c>
      <c r="AL171" s="80">
        <v>6585</v>
      </c>
      <c r="AM171" s="80" t="s">
        <v>2047</v>
      </c>
      <c r="AN171" s="98" t="str">
        <f>HYPERLINK("https://www.youtube.com/watch?v=QmPLGt5rd_k")</f>
        <v>https://www.youtube.com/watch?v=QmPLGt5rd_k</v>
      </c>
      <c r="AO171" s="80" t="str">
        <f>REPLACE(INDEX(GroupVertices[Group],MATCH(Vertices[[#This Row],[Vertex]],GroupVertices[Vertex],0)),1,1,"")</f>
        <v>1</v>
      </c>
      <c r="AP171" s="48">
        <v>2</v>
      </c>
      <c r="AQ171" s="49">
        <v>3.0303030303030303</v>
      </c>
      <c r="AR171" s="48">
        <v>2</v>
      </c>
      <c r="AS171" s="49">
        <v>3.0303030303030303</v>
      </c>
      <c r="AT171" s="48">
        <v>0</v>
      </c>
      <c r="AU171" s="49">
        <v>0</v>
      </c>
      <c r="AV171" s="48">
        <v>62</v>
      </c>
      <c r="AW171" s="49">
        <v>93.93939393939394</v>
      </c>
      <c r="AX171" s="48">
        <v>66</v>
      </c>
      <c r="AY171" s="48"/>
      <c r="AZ171" s="48"/>
      <c r="BA171" s="48"/>
      <c r="BB171" s="48"/>
      <c r="BC171" s="2"/>
      <c r="BD171" s="3"/>
      <c r="BE171" s="3"/>
      <c r="BF171" s="3"/>
      <c r="BG171" s="3"/>
    </row>
    <row r="172" spans="1:59" ht="15">
      <c r="A172" s="66" t="s">
        <v>492</v>
      </c>
      <c r="B172" s="67"/>
      <c r="C172" s="67"/>
      <c r="D172" s="68">
        <v>1000</v>
      </c>
      <c r="E172" s="70"/>
      <c r="F172" s="96" t="str">
        <f>HYPERLINK("https://i.ytimg.com/vi/uP4d9YtzkXk/default.jpg")</f>
        <v>https://i.ytimg.com/vi/uP4d9YtzkXk/default.jpg</v>
      </c>
      <c r="G172" s="67"/>
      <c r="H172" s="71" t="s">
        <v>833</v>
      </c>
      <c r="I172" s="72"/>
      <c r="J172" s="72" t="s">
        <v>159</v>
      </c>
      <c r="K172" s="71" t="s">
        <v>833</v>
      </c>
      <c r="L172" s="75">
        <v>1250.75</v>
      </c>
      <c r="M172" s="76">
        <v>811.3599853515625</v>
      </c>
      <c r="N172" s="76">
        <v>9360.181640625</v>
      </c>
      <c r="O172" s="77"/>
      <c r="P172" s="78"/>
      <c r="Q172" s="78"/>
      <c r="R172" s="82"/>
      <c r="S172" s="48">
        <v>1</v>
      </c>
      <c r="T172" s="48">
        <v>0</v>
      </c>
      <c r="U172" s="49">
        <v>0</v>
      </c>
      <c r="V172" s="49">
        <v>0.000935</v>
      </c>
      <c r="W172" s="49">
        <v>0.002329</v>
      </c>
      <c r="X172" s="49">
        <v>0.405574</v>
      </c>
      <c r="Y172" s="49">
        <v>0</v>
      </c>
      <c r="Z172" s="49">
        <v>0</v>
      </c>
      <c r="AA172" s="73">
        <v>172</v>
      </c>
      <c r="AB172" s="73"/>
      <c r="AC172" s="74"/>
      <c r="AD172" s="80" t="s">
        <v>833</v>
      </c>
      <c r="AE172" s="80" t="s">
        <v>1162</v>
      </c>
      <c r="AF172" s="80" t="s">
        <v>1477</v>
      </c>
      <c r="AG172" s="80" t="s">
        <v>1655</v>
      </c>
      <c r="AH172" s="80" t="s">
        <v>1886</v>
      </c>
      <c r="AI172" s="80">
        <v>27010664</v>
      </c>
      <c r="AJ172" s="80">
        <v>7527</v>
      </c>
      <c r="AK172" s="80">
        <v>214775</v>
      </c>
      <c r="AL172" s="80">
        <v>5964</v>
      </c>
      <c r="AM172" s="80" t="s">
        <v>2047</v>
      </c>
      <c r="AN172" s="98" t="str">
        <f>HYPERLINK("https://www.youtube.com/watch?v=uP4d9YtzkXk")</f>
        <v>https://www.youtube.com/watch?v=uP4d9YtzkXk</v>
      </c>
      <c r="AO172" s="80" t="str">
        <f>REPLACE(INDEX(GroupVertices[Group],MATCH(Vertices[[#This Row],[Vertex]],GroupVertices[Vertex],0)),1,1,"")</f>
        <v>1</v>
      </c>
      <c r="AP172" s="48">
        <v>3</v>
      </c>
      <c r="AQ172" s="49">
        <v>6.666666666666667</v>
      </c>
      <c r="AR172" s="48">
        <v>2</v>
      </c>
      <c r="AS172" s="49">
        <v>4.444444444444445</v>
      </c>
      <c r="AT172" s="48">
        <v>0</v>
      </c>
      <c r="AU172" s="49">
        <v>0</v>
      </c>
      <c r="AV172" s="48">
        <v>40</v>
      </c>
      <c r="AW172" s="49">
        <v>88.88888888888889</v>
      </c>
      <c r="AX172" s="48">
        <v>45</v>
      </c>
      <c r="AY172" s="48"/>
      <c r="AZ172" s="48"/>
      <c r="BA172" s="48"/>
      <c r="BB172" s="48"/>
      <c r="BC172" s="2"/>
      <c r="BD172" s="3"/>
      <c r="BE172" s="3"/>
      <c r="BF172" s="3"/>
      <c r="BG172" s="3"/>
    </row>
    <row r="173" spans="1:59" ht="15">
      <c r="A173" s="66" t="s">
        <v>326</v>
      </c>
      <c r="B173" s="67"/>
      <c r="C173" s="67"/>
      <c r="D173" s="68">
        <v>93.72096256663781</v>
      </c>
      <c r="E173" s="70"/>
      <c r="F173" s="96" t="str">
        <f>HYPERLINK("https://i.ytimg.com/vi/VQti02x57bE/default.jpg")</f>
        <v>https://i.ytimg.com/vi/VQti02x57bE/default.jpg</v>
      </c>
      <c r="G173" s="67"/>
      <c r="H173" s="71" t="s">
        <v>834</v>
      </c>
      <c r="I173" s="72"/>
      <c r="J173" s="72" t="s">
        <v>159</v>
      </c>
      <c r="K173" s="71" t="s">
        <v>834</v>
      </c>
      <c r="L173" s="75">
        <v>1250.75</v>
      </c>
      <c r="M173" s="76">
        <v>8576.57421875</v>
      </c>
      <c r="N173" s="76">
        <v>1509.580078125</v>
      </c>
      <c r="O173" s="77"/>
      <c r="P173" s="78"/>
      <c r="Q173" s="78"/>
      <c r="R173" s="82"/>
      <c r="S173" s="48">
        <v>1</v>
      </c>
      <c r="T173" s="48">
        <v>50</v>
      </c>
      <c r="U173" s="49">
        <v>14634.8066</v>
      </c>
      <c r="V173" s="49">
        <v>0.001348</v>
      </c>
      <c r="W173" s="49">
        <v>0.033545</v>
      </c>
      <c r="X173" s="49">
        <v>14.525971</v>
      </c>
      <c r="Y173" s="49">
        <v>0.03469387755102041</v>
      </c>
      <c r="Z173" s="49">
        <v>0.02</v>
      </c>
      <c r="AA173" s="73">
        <v>173</v>
      </c>
      <c r="AB173" s="73"/>
      <c r="AC173" s="74"/>
      <c r="AD173" s="80" t="s">
        <v>834</v>
      </c>
      <c r="AE173" s="80" t="s">
        <v>1163</v>
      </c>
      <c r="AF173" s="80" t="s">
        <v>1478</v>
      </c>
      <c r="AG173" s="80" t="s">
        <v>1678</v>
      </c>
      <c r="AH173" s="80" t="s">
        <v>1887</v>
      </c>
      <c r="AI173" s="80">
        <v>160903</v>
      </c>
      <c r="AJ173" s="80">
        <v>1943</v>
      </c>
      <c r="AK173" s="80">
        <v>2408</v>
      </c>
      <c r="AL173" s="80">
        <v>207</v>
      </c>
      <c r="AM173" s="80" t="s">
        <v>2047</v>
      </c>
      <c r="AN173" s="98" t="str">
        <f>HYPERLINK("https://www.youtube.com/watch?v=VQti02x57bE")</f>
        <v>https://www.youtube.com/watch?v=VQti02x57bE</v>
      </c>
      <c r="AO173" s="80" t="str">
        <f>REPLACE(INDEX(GroupVertices[Group],MATCH(Vertices[[#This Row],[Vertex]],GroupVertices[Vertex],0)),1,1,"")</f>
        <v>8</v>
      </c>
      <c r="AP173" s="48">
        <v>0</v>
      </c>
      <c r="AQ173" s="49">
        <v>0</v>
      </c>
      <c r="AR173" s="48">
        <v>0</v>
      </c>
      <c r="AS173" s="49">
        <v>0</v>
      </c>
      <c r="AT173" s="48">
        <v>0</v>
      </c>
      <c r="AU173" s="49">
        <v>0</v>
      </c>
      <c r="AV173" s="48">
        <v>37</v>
      </c>
      <c r="AW173" s="49">
        <v>100</v>
      </c>
      <c r="AX173" s="48">
        <v>37</v>
      </c>
      <c r="AY173" s="119" t="s">
        <v>3491</v>
      </c>
      <c r="AZ173" s="119" t="s">
        <v>3491</v>
      </c>
      <c r="BA173" s="119" t="s">
        <v>3491</v>
      </c>
      <c r="BB173" s="119" t="s">
        <v>3491</v>
      </c>
      <c r="BC173" s="2"/>
      <c r="BD173" s="3"/>
      <c r="BE173" s="3"/>
      <c r="BF173" s="3"/>
      <c r="BG173" s="3"/>
    </row>
    <row r="174" spans="1:59" ht="15">
      <c r="A174" s="66" t="s">
        <v>493</v>
      </c>
      <c r="B174" s="67"/>
      <c r="C174" s="67"/>
      <c r="D174" s="68">
        <v>193.27223083938955</v>
      </c>
      <c r="E174" s="70"/>
      <c r="F174" s="96" t="str">
        <f>HYPERLINK("https://i.ytimg.com/vi/iHVI6X_f3rM/default.jpg")</f>
        <v>https://i.ytimg.com/vi/iHVI6X_f3rM/default.jpg</v>
      </c>
      <c r="G174" s="67"/>
      <c r="H174" s="71" t="s">
        <v>835</v>
      </c>
      <c r="I174" s="72"/>
      <c r="J174" s="72" t="s">
        <v>159</v>
      </c>
      <c r="K174" s="71" t="s">
        <v>835</v>
      </c>
      <c r="L174" s="75">
        <v>1250.75</v>
      </c>
      <c r="M174" s="76">
        <v>7630.099609375</v>
      </c>
      <c r="N174" s="76">
        <v>2480.99755859375</v>
      </c>
      <c r="O174" s="77"/>
      <c r="P174" s="78"/>
      <c r="Q174" s="78"/>
      <c r="R174" s="82"/>
      <c r="S174" s="48">
        <v>1</v>
      </c>
      <c r="T174" s="48">
        <v>0</v>
      </c>
      <c r="U174" s="49">
        <v>0</v>
      </c>
      <c r="V174" s="49">
        <v>0.000934</v>
      </c>
      <c r="W174" s="49">
        <v>0.002477</v>
      </c>
      <c r="X174" s="49">
        <v>0.396941</v>
      </c>
      <c r="Y174" s="49">
        <v>0</v>
      </c>
      <c r="Z174" s="49">
        <v>0</v>
      </c>
      <c r="AA174" s="73">
        <v>174</v>
      </c>
      <c r="AB174" s="73"/>
      <c r="AC174" s="74"/>
      <c r="AD174" s="80" t="s">
        <v>835</v>
      </c>
      <c r="AE174" s="80" t="s">
        <v>1164</v>
      </c>
      <c r="AF174" s="80" t="s">
        <v>1474</v>
      </c>
      <c r="AG174" s="80" t="s">
        <v>1677</v>
      </c>
      <c r="AH174" s="80" t="s">
        <v>1888</v>
      </c>
      <c r="AI174" s="80">
        <v>1278498</v>
      </c>
      <c r="AJ174" s="80">
        <v>1906</v>
      </c>
      <c r="AK174" s="80">
        <v>19541</v>
      </c>
      <c r="AL174" s="80">
        <v>445</v>
      </c>
      <c r="AM174" s="80" t="s">
        <v>2047</v>
      </c>
      <c r="AN174" s="98" t="str">
        <f>HYPERLINK("https://www.youtube.com/watch?v=iHVI6X_f3rM")</f>
        <v>https://www.youtube.com/watch?v=iHVI6X_f3rM</v>
      </c>
      <c r="AO174" s="80" t="str">
        <f>REPLACE(INDEX(GroupVertices[Group],MATCH(Vertices[[#This Row],[Vertex]],GroupVertices[Vertex],0)),1,1,"")</f>
        <v>8</v>
      </c>
      <c r="AP174" s="48">
        <v>2</v>
      </c>
      <c r="AQ174" s="49">
        <v>6.666666666666667</v>
      </c>
      <c r="AR174" s="48">
        <v>4</v>
      </c>
      <c r="AS174" s="49">
        <v>13.333333333333334</v>
      </c>
      <c r="AT174" s="48">
        <v>0</v>
      </c>
      <c r="AU174" s="49">
        <v>0</v>
      </c>
      <c r="AV174" s="48">
        <v>24</v>
      </c>
      <c r="AW174" s="49">
        <v>80</v>
      </c>
      <c r="AX174" s="48">
        <v>30</v>
      </c>
      <c r="AY174" s="48"/>
      <c r="AZ174" s="48"/>
      <c r="BA174" s="48"/>
      <c r="BB174" s="48"/>
      <c r="BC174" s="2"/>
      <c r="BD174" s="3"/>
      <c r="BE174" s="3"/>
      <c r="BF174" s="3"/>
      <c r="BG174" s="3"/>
    </row>
    <row r="175" spans="1:59" ht="15">
      <c r="A175" s="66" t="s">
        <v>494</v>
      </c>
      <c r="B175" s="67"/>
      <c r="C175" s="67"/>
      <c r="D175" s="68">
        <v>175.69506459002616</v>
      </c>
      <c r="E175" s="70"/>
      <c r="F175" s="96" t="str">
        <f>HYPERLINK("https://i.ytimg.com/vi/GxFAjOC8Kt8/default.jpg")</f>
        <v>https://i.ytimg.com/vi/GxFAjOC8Kt8/default.jpg</v>
      </c>
      <c r="G175" s="67"/>
      <c r="H175" s="71" t="s">
        <v>836</v>
      </c>
      <c r="I175" s="72"/>
      <c r="J175" s="72" t="s">
        <v>159</v>
      </c>
      <c r="K175" s="71" t="s">
        <v>836</v>
      </c>
      <c r="L175" s="75">
        <v>1250.75</v>
      </c>
      <c r="M175" s="76">
        <v>8773.0634765625</v>
      </c>
      <c r="N175" s="76">
        <v>741.4976806640625</v>
      </c>
      <c r="O175" s="77"/>
      <c r="P175" s="78"/>
      <c r="Q175" s="78"/>
      <c r="R175" s="82"/>
      <c r="S175" s="48">
        <v>1</v>
      </c>
      <c r="T175" s="48">
        <v>0</v>
      </c>
      <c r="U175" s="49">
        <v>0</v>
      </c>
      <c r="V175" s="49">
        <v>0.000934</v>
      </c>
      <c r="W175" s="49">
        <v>0.002477</v>
      </c>
      <c r="X175" s="49">
        <v>0.396941</v>
      </c>
      <c r="Y175" s="49">
        <v>0</v>
      </c>
      <c r="Z175" s="49">
        <v>0</v>
      </c>
      <c r="AA175" s="73">
        <v>175</v>
      </c>
      <c r="AB175" s="73"/>
      <c r="AC175" s="74"/>
      <c r="AD175" s="80" t="s">
        <v>836</v>
      </c>
      <c r="AE175" s="80" t="s">
        <v>1165</v>
      </c>
      <c r="AF175" s="80" t="s">
        <v>1479</v>
      </c>
      <c r="AG175" s="80" t="s">
        <v>1644</v>
      </c>
      <c r="AH175" s="80" t="s">
        <v>1889</v>
      </c>
      <c r="AI175" s="80">
        <v>1081171</v>
      </c>
      <c r="AJ175" s="80">
        <v>6780</v>
      </c>
      <c r="AK175" s="80">
        <v>25703</v>
      </c>
      <c r="AL175" s="80">
        <v>1060</v>
      </c>
      <c r="AM175" s="80" t="s">
        <v>2047</v>
      </c>
      <c r="AN175" s="98" t="str">
        <f>HYPERLINK("https://www.youtube.com/watch?v=GxFAjOC8Kt8")</f>
        <v>https://www.youtube.com/watch?v=GxFAjOC8Kt8</v>
      </c>
      <c r="AO175" s="80" t="str">
        <f>REPLACE(INDEX(GroupVertices[Group],MATCH(Vertices[[#This Row],[Vertex]],GroupVertices[Vertex],0)),1,1,"")</f>
        <v>8</v>
      </c>
      <c r="AP175" s="48">
        <v>3</v>
      </c>
      <c r="AQ175" s="49">
        <v>12</v>
      </c>
      <c r="AR175" s="48">
        <v>3</v>
      </c>
      <c r="AS175" s="49">
        <v>12</v>
      </c>
      <c r="AT175" s="48">
        <v>0</v>
      </c>
      <c r="AU175" s="49">
        <v>0</v>
      </c>
      <c r="AV175" s="48">
        <v>19</v>
      </c>
      <c r="AW175" s="49">
        <v>76</v>
      </c>
      <c r="AX175" s="48">
        <v>25</v>
      </c>
      <c r="AY175" s="48"/>
      <c r="AZ175" s="48"/>
      <c r="BA175" s="48"/>
      <c r="BB175" s="48"/>
      <c r="BC175" s="2"/>
      <c r="BD175" s="3"/>
      <c r="BE175" s="3"/>
      <c r="BF175" s="3"/>
      <c r="BG175" s="3"/>
    </row>
    <row r="176" spans="1:59" ht="15">
      <c r="A176" s="66" t="s">
        <v>495</v>
      </c>
      <c r="B176" s="67"/>
      <c r="C176" s="67"/>
      <c r="D176" s="68">
        <v>86.39256328776885</v>
      </c>
      <c r="E176" s="70"/>
      <c r="F176" s="96" t="str">
        <f>HYPERLINK("https://i.ytimg.com/vi/FdVeDZt1ov4/default.jpg")</f>
        <v>https://i.ytimg.com/vi/FdVeDZt1ov4/default.jpg</v>
      </c>
      <c r="G176" s="67"/>
      <c r="H176" s="71" t="s">
        <v>837</v>
      </c>
      <c r="I176" s="72"/>
      <c r="J176" s="72" t="s">
        <v>159</v>
      </c>
      <c r="K176" s="71" t="s">
        <v>837</v>
      </c>
      <c r="L176" s="75">
        <v>1250.75</v>
      </c>
      <c r="M176" s="76">
        <v>8825.1591796875</v>
      </c>
      <c r="N176" s="76">
        <v>2220.51123046875</v>
      </c>
      <c r="O176" s="77"/>
      <c r="P176" s="78"/>
      <c r="Q176" s="78"/>
      <c r="R176" s="82"/>
      <c r="S176" s="48">
        <v>1</v>
      </c>
      <c r="T176" s="48">
        <v>0</v>
      </c>
      <c r="U176" s="49">
        <v>0</v>
      </c>
      <c r="V176" s="49">
        <v>0.000934</v>
      </c>
      <c r="W176" s="49">
        <v>0.002477</v>
      </c>
      <c r="X176" s="49">
        <v>0.396941</v>
      </c>
      <c r="Y176" s="49">
        <v>0</v>
      </c>
      <c r="Z176" s="49">
        <v>0</v>
      </c>
      <c r="AA176" s="73">
        <v>176</v>
      </c>
      <c r="AB176" s="73"/>
      <c r="AC176" s="74"/>
      <c r="AD176" s="80" t="s">
        <v>837</v>
      </c>
      <c r="AE176" s="80" t="s">
        <v>1166</v>
      </c>
      <c r="AF176" s="80" t="s">
        <v>1480</v>
      </c>
      <c r="AG176" s="80" t="s">
        <v>1679</v>
      </c>
      <c r="AH176" s="80" t="s">
        <v>1890</v>
      </c>
      <c r="AI176" s="80">
        <v>78632</v>
      </c>
      <c r="AJ176" s="80">
        <v>4006</v>
      </c>
      <c r="AK176" s="80">
        <v>948</v>
      </c>
      <c r="AL176" s="80">
        <v>331</v>
      </c>
      <c r="AM176" s="80" t="s">
        <v>2047</v>
      </c>
      <c r="AN176" s="98" t="str">
        <f>HYPERLINK("https://www.youtube.com/watch?v=FdVeDZt1ov4")</f>
        <v>https://www.youtube.com/watch?v=FdVeDZt1ov4</v>
      </c>
      <c r="AO176" s="80" t="str">
        <f>REPLACE(INDEX(GroupVertices[Group],MATCH(Vertices[[#This Row],[Vertex]],GroupVertices[Vertex],0)),1,1,"")</f>
        <v>8</v>
      </c>
      <c r="AP176" s="48">
        <v>0</v>
      </c>
      <c r="AQ176" s="49">
        <v>0</v>
      </c>
      <c r="AR176" s="48">
        <v>1</v>
      </c>
      <c r="AS176" s="49">
        <v>6.25</v>
      </c>
      <c r="AT176" s="48">
        <v>0</v>
      </c>
      <c r="AU176" s="49">
        <v>0</v>
      </c>
      <c r="AV176" s="48">
        <v>15</v>
      </c>
      <c r="AW176" s="49">
        <v>93.75</v>
      </c>
      <c r="AX176" s="48">
        <v>16</v>
      </c>
      <c r="AY176" s="48"/>
      <c r="AZ176" s="48"/>
      <c r="BA176" s="48"/>
      <c r="BB176" s="48"/>
      <c r="BC176" s="2"/>
      <c r="BD176" s="3"/>
      <c r="BE176" s="3"/>
      <c r="BF176" s="3"/>
      <c r="BG176" s="3"/>
    </row>
    <row r="177" spans="1:59" ht="15">
      <c r="A177" s="66" t="s">
        <v>496</v>
      </c>
      <c r="B177" s="67"/>
      <c r="C177" s="67"/>
      <c r="D177" s="68">
        <v>164.6091582092558</v>
      </c>
      <c r="E177" s="70"/>
      <c r="F177" s="96" t="str">
        <f>HYPERLINK("https://i.ytimg.com/vi/7_HxdCHqFiU/default.jpg")</f>
        <v>https://i.ytimg.com/vi/7_HxdCHqFiU/default.jpg</v>
      </c>
      <c r="G177" s="67"/>
      <c r="H177" s="71" t="s">
        <v>838</v>
      </c>
      <c r="I177" s="72"/>
      <c r="J177" s="72" t="s">
        <v>159</v>
      </c>
      <c r="K177" s="71" t="s">
        <v>838</v>
      </c>
      <c r="L177" s="75">
        <v>1250.75</v>
      </c>
      <c r="M177" s="76">
        <v>8816.6689453125</v>
      </c>
      <c r="N177" s="76">
        <v>144.4942169189453</v>
      </c>
      <c r="O177" s="77"/>
      <c r="P177" s="78"/>
      <c r="Q177" s="78"/>
      <c r="R177" s="82"/>
      <c r="S177" s="48">
        <v>1</v>
      </c>
      <c r="T177" s="48">
        <v>0</v>
      </c>
      <c r="U177" s="49">
        <v>0</v>
      </c>
      <c r="V177" s="49">
        <v>0.000934</v>
      </c>
      <c r="W177" s="49">
        <v>0.002477</v>
      </c>
      <c r="X177" s="49">
        <v>0.396941</v>
      </c>
      <c r="Y177" s="49">
        <v>0</v>
      </c>
      <c r="Z177" s="49">
        <v>0</v>
      </c>
      <c r="AA177" s="73">
        <v>177</v>
      </c>
      <c r="AB177" s="73"/>
      <c r="AC177" s="74"/>
      <c r="AD177" s="80" t="s">
        <v>838</v>
      </c>
      <c r="AE177" s="80" t="s">
        <v>1167</v>
      </c>
      <c r="AF177" s="80" t="s">
        <v>1481</v>
      </c>
      <c r="AG177" s="80" t="s">
        <v>1680</v>
      </c>
      <c r="AH177" s="80" t="s">
        <v>1891</v>
      </c>
      <c r="AI177" s="80">
        <v>956717</v>
      </c>
      <c r="AJ177" s="80">
        <v>4491</v>
      </c>
      <c r="AK177" s="80">
        <v>25704</v>
      </c>
      <c r="AL177" s="80">
        <v>596</v>
      </c>
      <c r="AM177" s="80" t="s">
        <v>2047</v>
      </c>
      <c r="AN177" s="98" t="str">
        <f>HYPERLINK("https://www.youtube.com/watch?v=7_HxdCHqFiU")</f>
        <v>https://www.youtube.com/watch?v=7_HxdCHqFiU</v>
      </c>
      <c r="AO177" s="80" t="str">
        <f>REPLACE(INDEX(GroupVertices[Group],MATCH(Vertices[[#This Row],[Vertex]],GroupVertices[Vertex],0)),1,1,"")</f>
        <v>8</v>
      </c>
      <c r="AP177" s="48">
        <v>2</v>
      </c>
      <c r="AQ177" s="49">
        <v>2.898550724637681</v>
      </c>
      <c r="AR177" s="48">
        <v>5</v>
      </c>
      <c r="AS177" s="49">
        <v>7.246376811594203</v>
      </c>
      <c r="AT177" s="48">
        <v>0</v>
      </c>
      <c r="AU177" s="49">
        <v>0</v>
      </c>
      <c r="AV177" s="48">
        <v>62</v>
      </c>
      <c r="AW177" s="49">
        <v>89.85507246376811</v>
      </c>
      <c r="AX177" s="48">
        <v>69</v>
      </c>
      <c r="AY177" s="48"/>
      <c r="AZ177" s="48"/>
      <c r="BA177" s="48"/>
      <c r="BB177" s="48"/>
      <c r="BC177" s="2"/>
      <c r="BD177" s="3"/>
      <c r="BE177" s="3"/>
      <c r="BF177" s="3"/>
      <c r="BG177" s="3"/>
    </row>
    <row r="178" spans="1:59" ht="15">
      <c r="A178" s="66" t="s">
        <v>497</v>
      </c>
      <c r="B178" s="67"/>
      <c r="C178" s="67"/>
      <c r="D178" s="68">
        <v>134.12857200950407</v>
      </c>
      <c r="E178" s="70"/>
      <c r="F178" s="96" t="str">
        <f>HYPERLINK("https://i.ytimg.com/vi/CUhVKyRzR10/default.jpg")</f>
        <v>https://i.ytimg.com/vi/CUhVKyRzR10/default.jpg</v>
      </c>
      <c r="G178" s="67"/>
      <c r="H178" s="71" t="s">
        <v>839</v>
      </c>
      <c r="I178" s="72"/>
      <c r="J178" s="72" t="s">
        <v>159</v>
      </c>
      <c r="K178" s="71" t="s">
        <v>839</v>
      </c>
      <c r="L178" s="75">
        <v>1250.75</v>
      </c>
      <c r="M178" s="76">
        <v>8377.08203125</v>
      </c>
      <c r="N178" s="76">
        <v>162.074462890625</v>
      </c>
      <c r="O178" s="77"/>
      <c r="P178" s="78"/>
      <c r="Q178" s="78"/>
      <c r="R178" s="82"/>
      <c r="S178" s="48">
        <v>1</v>
      </c>
      <c r="T178" s="48">
        <v>0</v>
      </c>
      <c r="U178" s="49">
        <v>0</v>
      </c>
      <c r="V178" s="49">
        <v>0.000934</v>
      </c>
      <c r="W178" s="49">
        <v>0.002477</v>
      </c>
      <c r="X178" s="49">
        <v>0.396941</v>
      </c>
      <c r="Y178" s="49">
        <v>0</v>
      </c>
      <c r="Z178" s="49">
        <v>0</v>
      </c>
      <c r="AA178" s="73">
        <v>178</v>
      </c>
      <c r="AB178" s="73"/>
      <c r="AC178" s="74"/>
      <c r="AD178" s="80" t="s">
        <v>839</v>
      </c>
      <c r="AE178" s="80" t="s">
        <v>1168</v>
      </c>
      <c r="AF178" s="80" t="s">
        <v>1474</v>
      </c>
      <c r="AG178" s="80" t="s">
        <v>1677</v>
      </c>
      <c r="AH178" s="80" t="s">
        <v>1888</v>
      </c>
      <c r="AI178" s="80">
        <v>614532</v>
      </c>
      <c r="AJ178" s="80">
        <v>1874</v>
      </c>
      <c r="AK178" s="80">
        <v>13618</v>
      </c>
      <c r="AL178" s="80">
        <v>249</v>
      </c>
      <c r="AM178" s="80" t="s">
        <v>2047</v>
      </c>
      <c r="AN178" s="98" t="str">
        <f>HYPERLINK("https://www.youtube.com/watch?v=CUhVKyRzR10")</f>
        <v>https://www.youtube.com/watch?v=CUhVKyRzR10</v>
      </c>
      <c r="AO178" s="80" t="str">
        <f>REPLACE(INDEX(GroupVertices[Group],MATCH(Vertices[[#This Row],[Vertex]],GroupVertices[Vertex],0)),1,1,"")</f>
        <v>8</v>
      </c>
      <c r="AP178" s="48">
        <v>2</v>
      </c>
      <c r="AQ178" s="49">
        <v>6.666666666666667</v>
      </c>
      <c r="AR178" s="48">
        <v>4</v>
      </c>
      <c r="AS178" s="49">
        <v>13.333333333333334</v>
      </c>
      <c r="AT178" s="48">
        <v>0</v>
      </c>
      <c r="AU178" s="49">
        <v>0</v>
      </c>
      <c r="AV178" s="48">
        <v>24</v>
      </c>
      <c r="AW178" s="49">
        <v>80</v>
      </c>
      <c r="AX178" s="48">
        <v>30</v>
      </c>
      <c r="AY178" s="48"/>
      <c r="AZ178" s="48"/>
      <c r="BA178" s="48"/>
      <c r="BB178" s="48"/>
      <c r="BC178" s="2"/>
      <c r="BD178" s="3"/>
      <c r="BE178" s="3"/>
      <c r="BF178" s="3"/>
      <c r="BG178" s="3"/>
    </row>
    <row r="179" spans="1:59" ht="15">
      <c r="A179" s="66" t="s">
        <v>498</v>
      </c>
      <c r="B179" s="67"/>
      <c r="C179" s="67"/>
      <c r="D179" s="68">
        <v>82.83556701929277</v>
      </c>
      <c r="E179" s="70"/>
      <c r="F179" s="96" t="str">
        <f>HYPERLINK("https://i.ytimg.com/vi/8qvl5jK1K58/default.jpg")</f>
        <v>https://i.ytimg.com/vi/8qvl5jK1K58/default.jpg</v>
      </c>
      <c r="G179" s="67"/>
      <c r="H179" s="71" t="s">
        <v>840</v>
      </c>
      <c r="I179" s="72"/>
      <c r="J179" s="72" t="s">
        <v>159</v>
      </c>
      <c r="K179" s="71" t="s">
        <v>840</v>
      </c>
      <c r="L179" s="75">
        <v>1250.75</v>
      </c>
      <c r="M179" s="76">
        <v>9830.2138671875</v>
      </c>
      <c r="N179" s="76">
        <v>1055.9278564453125</v>
      </c>
      <c r="O179" s="77"/>
      <c r="P179" s="78"/>
      <c r="Q179" s="78"/>
      <c r="R179" s="82"/>
      <c r="S179" s="48">
        <v>1</v>
      </c>
      <c r="T179" s="48">
        <v>0</v>
      </c>
      <c r="U179" s="49">
        <v>0</v>
      </c>
      <c r="V179" s="49">
        <v>0.000934</v>
      </c>
      <c r="W179" s="49">
        <v>0.002477</v>
      </c>
      <c r="X179" s="49">
        <v>0.396941</v>
      </c>
      <c r="Y179" s="49">
        <v>0</v>
      </c>
      <c r="Z179" s="49">
        <v>0</v>
      </c>
      <c r="AA179" s="73">
        <v>179</v>
      </c>
      <c r="AB179" s="73"/>
      <c r="AC179" s="74"/>
      <c r="AD179" s="80" t="s">
        <v>840</v>
      </c>
      <c r="AE179" s="80" t="s">
        <v>1169</v>
      </c>
      <c r="AF179" s="80" t="s">
        <v>1482</v>
      </c>
      <c r="AG179" s="80" t="s">
        <v>1681</v>
      </c>
      <c r="AH179" s="80" t="s">
        <v>1892</v>
      </c>
      <c r="AI179" s="80">
        <v>38700</v>
      </c>
      <c r="AJ179" s="80">
        <v>1040</v>
      </c>
      <c r="AK179" s="80">
        <v>736</v>
      </c>
      <c r="AL179" s="80">
        <v>168</v>
      </c>
      <c r="AM179" s="80" t="s">
        <v>2047</v>
      </c>
      <c r="AN179" s="98" t="str">
        <f>HYPERLINK("https://www.youtube.com/watch?v=8qvl5jK1K58")</f>
        <v>https://www.youtube.com/watch?v=8qvl5jK1K58</v>
      </c>
      <c r="AO179" s="80" t="str">
        <f>REPLACE(INDEX(GroupVertices[Group],MATCH(Vertices[[#This Row],[Vertex]],GroupVertices[Vertex],0)),1,1,"")</f>
        <v>8</v>
      </c>
      <c r="AP179" s="48">
        <v>0</v>
      </c>
      <c r="AQ179" s="49">
        <v>0</v>
      </c>
      <c r="AR179" s="48">
        <v>1</v>
      </c>
      <c r="AS179" s="49">
        <v>2.0833333333333335</v>
      </c>
      <c r="AT179" s="48">
        <v>0</v>
      </c>
      <c r="AU179" s="49">
        <v>0</v>
      </c>
      <c r="AV179" s="48">
        <v>47</v>
      </c>
      <c r="AW179" s="49">
        <v>97.91666666666667</v>
      </c>
      <c r="AX179" s="48">
        <v>48</v>
      </c>
      <c r="AY179" s="48"/>
      <c r="AZ179" s="48"/>
      <c r="BA179" s="48"/>
      <c r="BB179" s="48"/>
      <c r="BC179" s="2"/>
      <c r="BD179" s="3"/>
      <c r="BE179" s="3"/>
      <c r="BF179" s="3"/>
      <c r="BG179" s="3"/>
    </row>
    <row r="180" spans="1:59" ht="15">
      <c r="A180" s="66" t="s">
        <v>499</v>
      </c>
      <c r="B180" s="67"/>
      <c r="C180" s="67"/>
      <c r="D180" s="68">
        <v>81.30648262720972</v>
      </c>
      <c r="E180" s="70"/>
      <c r="F180" s="96" t="str">
        <f>HYPERLINK("https://i.ytimg.com/vi/y_hYgFWehDY/default.jpg")</f>
        <v>https://i.ytimg.com/vi/y_hYgFWehDY/default.jpg</v>
      </c>
      <c r="G180" s="67"/>
      <c r="H180" s="71" t="s">
        <v>841</v>
      </c>
      <c r="I180" s="72"/>
      <c r="J180" s="72" t="s">
        <v>159</v>
      </c>
      <c r="K180" s="71" t="s">
        <v>841</v>
      </c>
      <c r="L180" s="75">
        <v>1250.75</v>
      </c>
      <c r="M180" s="76">
        <v>9282.41796875</v>
      </c>
      <c r="N180" s="76">
        <v>2663.873291015625</v>
      </c>
      <c r="O180" s="77"/>
      <c r="P180" s="78"/>
      <c r="Q180" s="78"/>
      <c r="R180" s="82"/>
      <c r="S180" s="48">
        <v>1</v>
      </c>
      <c r="T180" s="48">
        <v>0</v>
      </c>
      <c r="U180" s="49">
        <v>0</v>
      </c>
      <c r="V180" s="49">
        <v>0.000934</v>
      </c>
      <c r="W180" s="49">
        <v>0.002477</v>
      </c>
      <c r="X180" s="49">
        <v>0.396941</v>
      </c>
      <c r="Y180" s="49">
        <v>0</v>
      </c>
      <c r="Z180" s="49">
        <v>0</v>
      </c>
      <c r="AA180" s="73">
        <v>180</v>
      </c>
      <c r="AB180" s="73"/>
      <c r="AC180" s="74"/>
      <c r="AD180" s="80" t="s">
        <v>841</v>
      </c>
      <c r="AE180" s="80" t="s">
        <v>1170</v>
      </c>
      <c r="AF180" s="80" t="s">
        <v>1483</v>
      </c>
      <c r="AG180" s="80" t="s">
        <v>1682</v>
      </c>
      <c r="AH180" s="80" t="s">
        <v>1893</v>
      </c>
      <c r="AI180" s="80">
        <v>21534</v>
      </c>
      <c r="AJ180" s="80">
        <v>0</v>
      </c>
      <c r="AK180" s="80">
        <v>266</v>
      </c>
      <c r="AL180" s="80">
        <v>177</v>
      </c>
      <c r="AM180" s="80" t="s">
        <v>2047</v>
      </c>
      <c r="AN180" s="98" t="str">
        <f>HYPERLINK("https://www.youtube.com/watch?v=y_hYgFWehDY")</f>
        <v>https://www.youtube.com/watch?v=y_hYgFWehDY</v>
      </c>
      <c r="AO180" s="80" t="str">
        <f>REPLACE(INDEX(GroupVertices[Group],MATCH(Vertices[[#This Row],[Vertex]],GroupVertices[Vertex],0)),1,1,"")</f>
        <v>8</v>
      </c>
      <c r="AP180" s="48">
        <v>1</v>
      </c>
      <c r="AQ180" s="49">
        <v>3.225806451612903</v>
      </c>
      <c r="AR180" s="48">
        <v>5</v>
      </c>
      <c r="AS180" s="49">
        <v>16.129032258064516</v>
      </c>
      <c r="AT180" s="48">
        <v>0</v>
      </c>
      <c r="AU180" s="49">
        <v>0</v>
      </c>
      <c r="AV180" s="48">
        <v>25</v>
      </c>
      <c r="AW180" s="49">
        <v>80.64516129032258</v>
      </c>
      <c r="AX180" s="48">
        <v>31</v>
      </c>
      <c r="AY180" s="48"/>
      <c r="AZ180" s="48"/>
      <c r="BA180" s="48"/>
      <c r="BB180" s="48"/>
      <c r="BC180" s="2"/>
      <c r="BD180" s="3"/>
      <c r="BE180" s="3"/>
      <c r="BF180" s="3"/>
      <c r="BG180" s="3"/>
    </row>
    <row r="181" spans="1:59" ht="15">
      <c r="A181" s="66" t="s">
        <v>500</v>
      </c>
      <c r="B181" s="67"/>
      <c r="C181" s="67"/>
      <c r="D181" s="68">
        <v>81.69289577487699</v>
      </c>
      <c r="E181" s="70"/>
      <c r="F181" s="96" t="str">
        <f>HYPERLINK("https://i.ytimg.com/vi/m6X9TVebtxs/default.jpg")</f>
        <v>https://i.ytimg.com/vi/m6X9TVebtxs/default.jpg</v>
      </c>
      <c r="G181" s="67"/>
      <c r="H181" s="71" t="s">
        <v>842</v>
      </c>
      <c r="I181" s="72"/>
      <c r="J181" s="72" t="s">
        <v>159</v>
      </c>
      <c r="K181" s="71" t="s">
        <v>842</v>
      </c>
      <c r="L181" s="75">
        <v>1250.75</v>
      </c>
      <c r="M181" s="76">
        <v>7399.9921875</v>
      </c>
      <c r="N181" s="76">
        <v>2098.068603515625</v>
      </c>
      <c r="O181" s="77"/>
      <c r="P181" s="78"/>
      <c r="Q181" s="78"/>
      <c r="R181" s="82"/>
      <c r="S181" s="48">
        <v>1</v>
      </c>
      <c r="T181" s="48">
        <v>0</v>
      </c>
      <c r="U181" s="49">
        <v>0</v>
      </c>
      <c r="V181" s="49">
        <v>0.000934</v>
      </c>
      <c r="W181" s="49">
        <v>0.002477</v>
      </c>
      <c r="X181" s="49">
        <v>0.396941</v>
      </c>
      <c r="Y181" s="49">
        <v>0</v>
      </c>
      <c r="Z181" s="49">
        <v>0</v>
      </c>
      <c r="AA181" s="73">
        <v>181</v>
      </c>
      <c r="AB181" s="73"/>
      <c r="AC181" s="74"/>
      <c r="AD181" s="80" t="s">
        <v>842</v>
      </c>
      <c r="AE181" s="80" t="s">
        <v>1171</v>
      </c>
      <c r="AF181" s="80" t="s">
        <v>1484</v>
      </c>
      <c r="AG181" s="80" t="s">
        <v>1683</v>
      </c>
      <c r="AH181" s="80" t="s">
        <v>1894</v>
      </c>
      <c r="AI181" s="80">
        <v>25872</v>
      </c>
      <c r="AJ181" s="80">
        <v>640</v>
      </c>
      <c r="AK181" s="80">
        <v>200</v>
      </c>
      <c r="AL181" s="80">
        <v>56</v>
      </c>
      <c r="AM181" s="80" t="s">
        <v>2047</v>
      </c>
      <c r="AN181" s="98" t="str">
        <f>HYPERLINK("https://www.youtube.com/watch?v=m6X9TVebtxs")</f>
        <v>https://www.youtube.com/watch?v=m6X9TVebtxs</v>
      </c>
      <c r="AO181" s="80" t="str">
        <f>REPLACE(INDEX(GroupVertices[Group],MATCH(Vertices[[#This Row],[Vertex]],GroupVertices[Vertex],0)),1,1,"")</f>
        <v>8</v>
      </c>
      <c r="AP181" s="48">
        <v>0</v>
      </c>
      <c r="AQ181" s="49">
        <v>0</v>
      </c>
      <c r="AR181" s="48">
        <v>0</v>
      </c>
      <c r="AS181" s="49">
        <v>0</v>
      </c>
      <c r="AT181" s="48">
        <v>0</v>
      </c>
      <c r="AU181" s="49">
        <v>0</v>
      </c>
      <c r="AV181" s="48">
        <v>33</v>
      </c>
      <c r="AW181" s="49">
        <v>100</v>
      </c>
      <c r="AX181" s="48">
        <v>33</v>
      </c>
      <c r="AY181" s="48"/>
      <c r="AZ181" s="48"/>
      <c r="BA181" s="48"/>
      <c r="BB181" s="48"/>
      <c r="BC181" s="2"/>
      <c r="BD181" s="3"/>
      <c r="BE181" s="3"/>
      <c r="BF181" s="3"/>
      <c r="BG181" s="3"/>
    </row>
    <row r="182" spans="1:59" ht="15">
      <c r="A182" s="66" t="s">
        <v>501</v>
      </c>
      <c r="B182" s="67"/>
      <c r="C182" s="67"/>
      <c r="D182" s="68">
        <v>84.98088150717162</v>
      </c>
      <c r="E182" s="70"/>
      <c r="F182" s="96" t="str">
        <f>HYPERLINK("https://i.ytimg.com/vi/smbwz5zhPYQ/default.jpg")</f>
        <v>https://i.ytimg.com/vi/smbwz5zhPYQ/default.jpg</v>
      </c>
      <c r="G182" s="67"/>
      <c r="H182" s="71" t="s">
        <v>843</v>
      </c>
      <c r="I182" s="72"/>
      <c r="J182" s="72" t="s">
        <v>159</v>
      </c>
      <c r="K182" s="71" t="s">
        <v>843</v>
      </c>
      <c r="L182" s="75">
        <v>1250.75</v>
      </c>
      <c r="M182" s="76">
        <v>9816.119140625</v>
      </c>
      <c r="N182" s="76">
        <v>1982.6697998046875</v>
      </c>
      <c r="O182" s="77"/>
      <c r="P182" s="78"/>
      <c r="Q182" s="78"/>
      <c r="R182" s="82"/>
      <c r="S182" s="48">
        <v>1</v>
      </c>
      <c r="T182" s="48">
        <v>0</v>
      </c>
      <c r="U182" s="49">
        <v>0</v>
      </c>
      <c r="V182" s="49">
        <v>0.000934</v>
      </c>
      <c r="W182" s="49">
        <v>0.002477</v>
      </c>
      <c r="X182" s="49">
        <v>0.396941</v>
      </c>
      <c r="Y182" s="49">
        <v>0</v>
      </c>
      <c r="Z182" s="49">
        <v>0</v>
      </c>
      <c r="AA182" s="73">
        <v>182</v>
      </c>
      <c r="AB182" s="73"/>
      <c r="AC182" s="74"/>
      <c r="AD182" s="80" t="s">
        <v>843</v>
      </c>
      <c r="AE182" s="80" t="s">
        <v>1172</v>
      </c>
      <c r="AF182" s="80" t="s">
        <v>1485</v>
      </c>
      <c r="AG182" s="80" t="s">
        <v>1684</v>
      </c>
      <c r="AH182" s="80" t="s">
        <v>1895</v>
      </c>
      <c r="AI182" s="80">
        <v>62784</v>
      </c>
      <c r="AJ182" s="80">
        <v>2179</v>
      </c>
      <c r="AK182" s="80">
        <v>868</v>
      </c>
      <c r="AL182" s="80">
        <v>183</v>
      </c>
      <c r="AM182" s="80" t="s">
        <v>2047</v>
      </c>
      <c r="AN182" s="98" t="str">
        <f>HYPERLINK("https://www.youtube.com/watch?v=smbwz5zhPYQ")</f>
        <v>https://www.youtube.com/watch?v=smbwz5zhPYQ</v>
      </c>
      <c r="AO182" s="80" t="str">
        <f>REPLACE(INDEX(GroupVertices[Group],MATCH(Vertices[[#This Row],[Vertex]],GroupVertices[Vertex],0)),1,1,"")</f>
        <v>8</v>
      </c>
      <c r="AP182" s="48">
        <v>0</v>
      </c>
      <c r="AQ182" s="49">
        <v>0</v>
      </c>
      <c r="AR182" s="48">
        <v>1</v>
      </c>
      <c r="AS182" s="49">
        <v>20</v>
      </c>
      <c r="AT182" s="48">
        <v>0</v>
      </c>
      <c r="AU182" s="49">
        <v>0</v>
      </c>
      <c r="AV182" s="48">
        <v>4</v>
      </c>
      <c r="AW182" s="49">
        <v>80</v>
      </c>
      <c r="AX182" s="48">
        <v>5</v>
      </c>
      <c r="AY182" s="48"/>
      <c r="AZ182" s="48"/>
      <c r="BA182" s="48"/>
      <c r="BB182" s="48"/>
      <c r="BC182" s="2"/>
      <c r="BD182" s="3"/>
      <c r="BE182" s="3"/>
      <c r="BF182" s="3"/>
      <c r="BG182" s="3"/>
    </row>
    <row r="183" spans="1:59" ht="15">
      <c r="A183" s="66" t="s">
        <v>502</v>
      </c>
      <c r="B183" s="67"/>
      <c r="C183" s="67"/>
      <c r="D183" s="68">
        <v>136.44767442986304</v>
      </c>
      <c r="E183" s="70"/>
      <c r="F183" s="96" t="str">
        <f>HYPERLINK("https://i.ytimg.com/vi/tELZEPcgKkE/default.jpg")</f>
        <v>https://i.ytimg.com/vi/tELZEPcgKkE/default.jpg</v>
      </c>
      <c r="G183" s="67"/>
      <c r="H183" s="71" t="s">
        <v>844</v>
      </c>
      <c r="I183" s="72"/>
      <c r="J183" s="72" t="s">
        <v>159</v>
      </c>
      <c r="K183" s="71" t="s">
        <v>844</v>
      </c>
      <c r="L183" s="75">
        <v>1250.75</v>
      </c>
      <c r="M183" s="76">
        <v>8182.26025390625</v>
      </c>
      <c r="N183" s="76">
        <v>2266.97265625</v>
      </c>
      <c r="O183" s="77"/>
      <c r="P183" s="78"/>
      <c r="Q183" s="78"/>
      <c r="R183" s="82"/>
      <c r="S183" s="48">
        <v>1</v>
      </c>
      <c r="T183" s="48">
        <v>0</v>
      </c>
      <c r="U183" s="49">
        <v>0</v>
      </c>
      <c r="V183" s="49">
        <v>0.000934</v>
      </c>
      <c r="W183" s="49">
        <v>0.002477</v>
      </c>
      <c r="X183" s="49">
        <v>0.396941</v>
      </c>
      <c r="Y183" s="49">
        <v>0</v>
      </c>
      <c r="Z183" s="49">
        <v>0</v>
      </c>
      <c r="AA183" s="73">
        <v>183</v>
      </c>
      <c r="AB183" s="73"/>
      <c r="AC183" s="74"/>
      <c r="AD183" s="80" t="s">
        <v>844</v>
      </c>
      <c r="AE183" s="80" t="s">
        <v>1173</v>
      </c>
      <c r="AF183" s="80" t="s">
        <v>1486</v>
      </c>
      <c r="AG183" s="80" t="s">
        <v>1685</v>
      </c>
      <c r="AH183" s="80" t="s">
        <v>1896</v>
      </c>
      <c r="AI183" s="80">
        <v>640567</v>
      </c>
      <c r="AJ183" s="80">
        <v>760</v>
      </c>
      <c r="AK183" s="80">
        <v>4945</v>
      </c>
      <c r="AL183" s="80">
        <v>193</v>
      </c>
      <c r="AM183" s="80" t="s">
        <v>2047</v>
      </c>
      <c r="AN183" s="98" t="str">
        <f>HYPERLINK("https://www.youtube.com/watch?v=tELZEPcgKkE")</f>
        <v>https://www.youtube.com/watch?v=tELZEPcgKkE</v>
      </c>
      <c r="AO183" s="80" t="str">
        <f>REPLACE(INDEX(GroupVertices[Group],MATCH(Vertices[[#This Row],[Vertex]],GroupVertices[Vertex],0)),1,1,"")</f>
        <v>8</v>
      </c>
      <c r="AP183" s="48">
        <v>0</v>
      </c>
      <c r="AQ183" s="49">
        <v>0</v>
      </c>
      <c r="AR183" s="48">
        <v>0</v>
      </c>
      <c r="AS183" s="49">
        <v>0</v>
      </c>
      <c r="AT183" s="48">
        <v>0</v>
      </c>
      <c r="AU183" s="49">
        <v>0</v>
      </c>
      <c r="AV183" s="48">
        <v>53</v>
      </c>
      <c r="AW183" s="49">
        <v>100</v>
      </c>
      <c r="AX183" s="48">
        <v>53</v>
      </c>
      <c r="AY183" s="48"/>
      <c r="AZ183" s="48"/>
      <c r="BA183" s="48"/>
      <c r="BB183" s="48"/>
      <c r="BC183" s="2"/>
      <c r="BD183" s="3"/>
      <c r="BE183" s="3"/>
      <c r="BF183" s="3"/>
      <c r="BG183" s="3"/>
    </row>
    <row r="184" spans="1:59" ht="15">
      <c r="A184" s="66" t="s">
        <v>503</v>
      </c>
      <c r="B184" s="67"/>
      <c r="C184" s="67"/>
      <c r="D184" s="68">
        <v>86.15036472886906</v>
      </c>
      <c r="E184" s="70"/>
      <c r="F184" s="96" t="str">
        <f>HYPERLINK("https://i.ytimg.com/vi/53jabSgqXM4/default.jpg")</f>
        <v>https://i.ytimg.com/vi/53jabSgqXM4/default.jpg</v>
      </c>
      <c r="G184" s="67"/>
      <c r="H184" s="71" t="s">
        <v>845</v>
      </c>
      <c r="I184" s="72"/>
      <c r="J184" s="72" t="s">
        <v>75</v>
      </c>
      <c r="K184" s="71" t="s">
        <v>845</v>
      </c>
      <c r="L184" s="75">
        <v>2500.5</v>
      </c>
      <c r="M184" s="76">
        <v>9581.498046875</v>
      </c>
      <c r="N184" s="76">
        <v>2366.6494140625</v>
      </c>
      <c r="O184" s="77"/>
      <c r="P184" s="78"/>
      <c r="Q184" s="78"/>
      <c r="R184" s="82"/>
      <c r="S184" s="48">
        <v>2</v>
      </c>
      <c r="T184" s="48">
        <v>0</v>
      </c>
      <c r="U184" s="49">
        <v>0</v>
      </c>
      <c r="V184" s="49">
        <v>0.000962</v>
      </c>
      <c r="W184" s="49">
        <v>0.004807</v>
      </c>
      <c r="X184" s="49">
        <v>0.652515</v>
      </c>
      <c r="Y184" s="49">
        <v>0.5</v>
      </c>
      <c r="Z184" s="49">
        <v>0</v>
      </c>
      <c r="AA184" s="73">
        <v>184</v>
      </c>
      <c r="AB184" s="73"/>
      <c r="AC184" s="74"/>
      <c r="AD184" s="80" t="s">
        <v>845</v>
      </c>
      <c r="AE184" s="80" t="s">
        <v>1174</v>
      </c>
      <c r="AF184" s="80" t="s">
        <v>1487</v>
      </c>
      <c r="AG184" s="80" t="s">
        <v>1686</v>
      </c>
      <c r="AH184" s="80" t="s">
        <v>1897</v>
      </c>
      <c r="AI184" s="80">
        <v>75913</v>
      </c>
      <c r="AJ184" s="80">
        <v>0</v>
      </c>
      <c r="AK184" s="80">
        <v>807</v>
      </c>
      <c r="AL184" s="80">
        <v>133</v>
      </c>
      <c r="AM184" s="80" t="s">
        <v>2047</v>
      </c>
      <c r="AN184" s="98" t="str">
        <f>HYPERLINK("https://www.youtube.com/watch?v=53jabSgqXM4")</f>
        <v>https://www.youtube.com/watch?v=53jabSgqXM4</v>
      </c>
      <c r="AO184" s="80" t="str">
        <f>REPLACE(INDEX(GroupVertices[Group],MATCH(Vertices[[#This Row],[Vertex]],GroupVertices[Vertex],0)),1,1,"")</f>
        <v>8</v>
      </c>
      <c r="AP184" s="48">
        <v>0</v>
      </c>
      <c r="AQ184" s="49">
        <v>0</v>
      </c>
      <c r="AR184" s="48">
        <v>3</v>
      </c>
      <c r="AS184" s="49">
        <v>8.333333333333334</v>
      </c>
      <c r="AT184" s="48">
        <v>0</v>
      </c>
      <c r="AU184" s="49">
        <v>0</v>
      </c>
      <c r="AV184" s="48">
        <v>33</v>
      </c>
      <c r="AW184" s="49">
        <v>91.66666666666667</v>
      </c>
      <c r="AX184" s="48">
        <v>36</v>
      </c>
      <c r="AY184" s="48"/>
      <c r="AZ184" s="48"/>
      <c r="BA184" s="48"/>
      <c r="BB184" s="48"/>
      <c r="BC184" s="2"/>
      <c r="BD184" s="3"/>
      <c r="BE184" s="3"/>
      <c r="BF184" s="3"/>
      <c r="BG184" s="3"/>
    </row>
    <row r="185" spans="1:59" ht="15">
      <c r="A185" s="66" t="s">
        <v>504</v>
      </c>
      <c r="B185" s="67"/>
      <c r="C185" s="67"/>
      <c r="D185" s="68">
        <v>176.99451018665366</v>
      </c>
      <c r="E185" s="70"/>
      <c r="F185" s="96" t="str">
        <f>HYPERLINK("https://i.ytimg.com/vi/PBGdr_RSSO0/default.jpg")</f>
        <v>https://i.ytimg.com/vi/PBGdr_RSSO0/default.jpg</v>
      </c>
      <c r="G185" s="67"/>
      <c r="H185" s="71" t="s">
        <v>846</v>
      </c>
      <c r="I185" s="72"/>
      <c r="J185" s="72" t="s">
        <v>159</v>
      </c>
      <c r="K185" s="71" t="s">
        <v>846</v>
      </c>
      <c r="L185" s="75">
        <v>1250.75</v>
      </c>
      <c r="M185" s="76">
        <v>9233.4716796875</v>
      </c>
      <c r="N185" s="76">
        <v>322.2677917480469</v>
      </c>
      <c r="O185" s="77"/>
      <c r="P185" s="78"/>
      <c r="Q185" s="78"/>
      <c r="R185" s="82"/>
      <c r="S185" s="48">
        <v>1</v>
      </c>
      <c r="T185" s="48">
        <v>0</v>
      </c>
      <c r="U185" s="49">
        <v>0</v>
      </c>
      <c r="V185" s="49">
        <v>0.000934</v>
      </c>
      <c r="W185" s="49">
        <v>0.002477</v>
      </c>
      <c r="X185" s="49">
        <v>0.396941</v>
      </c>
      <c r="Y185" s="49">
        <v>0</v>
      </c>
      <c r="Z185" s="49">
        <v>0</v>
      </c>
      <c r="AA185" s="73">
        <v>185</v>
      </c>
      <c r="AB185" s="73"/>
      <c r="AC185" s="74"/>
      <c r="AD185" s="80" t="s">
        <v>846</v>
      </c>
      <c r="AE185" s="80" t="s">
        <v>1175</v>
      </c>
      <c r="AF185" s="80" t="s">
        <v>1488</v>
      </c>
      <c r="AG185" s="80" t="s">
        <v>1687</v>
      </c>
      <c r="AH185" s="80" t="s">
        <v>1898</v>
      </c>
      <c r="AI185" s="80">
        <v>1095759</v>
      </c>
      <c r="AJ185" s="80">
        <v>4315</v>
      </c>
      <c r="AK185" s="80">
        <v>22294</v>
      </c>
      <c r="AL185" s="80">
        <v>2661</v>
      </c>
      <c r="AM185" s="80" t="s">
        <v>2047</v>
      </c>
      <c r="AN185" s="98" t="str">
        <f>HYPERLINK("https://www.youtube.com/watch?v=PBGdr_RSSO0")</f>
        <v>https://www.youtube.com/watch?v=PBGdr_RSSO0</v>
      </c>
      <c r="AO185" s="80" t="str">
        <f>REPLACE(INDEX(GroupVertices[Group],MATCH(Vertices[[#This Row],[Vertex]],GroupVertices[Vertex],0)),1,1,"")</f>
        <v>8</v>
      </c>
      <c r="AP185" s="48">
        <v>0</v>
      </c>
      <c r="AQ185" s="49">
        <v>0</v>
      </c>
      <c r="AR185" s="48">
        <v>0</v>
      </c>
      <c r="AS185" s="49">
        <v>0</v>
      </c>
      <c r="AT185" s="48">
        <v>0</v>
      </c>
      <c r="AU185" s="49">
        <v>0</v>
      </c>
      <c r="AV185" s="48">
        <v>12</v>
      </c>
      <c r="AW185" s="49">
        <v>100</v>
      </c>
      <c r="AX185" s="48">
        <v>12</v>
      </c>
      <c r="AY185" s="48"/>
      <c r="AZ185" s="48"/>
      <c r="BA185" s="48"/>
      <c r="BB185" s="48"/>
      <c r="BC185" s="2"/>
      <c r="BD185" s="3"/>
      <c r="BE185" s="3"/>
      <c r="BF185" s="3"/>
      <c r="BG185" s="3"/>
    </row>
    <row r="186" spans="1:59" ht="15">
      <c r="A186" s="66" t="s">
        <v>505</v>
      </c>
      <c r="B186" s="67"/>
      <c r="C186" s="67"/>
      <c r="D186" s="68">
        <v>80.6992492413988</v>
      </c>
      <c r="E186" s="70"/>
      <c r="F186" s="96" t="str">
        <f>HYPERLINK("https://i.ytimg.com/vi/fnmxS3sO5RA/default.jpg")</f>
        <v>https://i.ytimg.com/vi/fnmxS3sO5RA/default.jpg</v>
      </c>
      <c r="G186" s="67"/>
      <c r="H186" s="71" t="s">
        <v>847</v>
      </c>
      <c r="I186" s="72"/>
      <c r="J186" s="72" t="s">
        <v>159</v>
      </c>
      <c r="K186" s="71" t="s">
        <v>847</v>
      </c>
      <c r="L186" s="75">
        <v>1250.75</v>
      </c>
      <c r="M186" s="76">
        <v>7329.56982421875</v>
      </c>
      <c r="N186" s="76">
        <v>932.4569091796875</v>
      </c>
      <c r="O186" s="77"/>
      <c r="P186" s="78"/>
      <c r="Q186" s="78"/>
      <c r="R186" s="82"/>
      <c r="S186" s="48">
        <v>1</v>
      </c>
      <c r="T186" s="48">
        <v>0</v>
      </c>
      <c r="U186" s="49">
        <v>0</v>
      </c>
      <c r="V186" s="49">
        <v>0.000934</v>
      </c>
      <c r="W186" s="49">
        <v>0.002477</v>
      </c>
      <c r="X186" s="49">
        <v>0.396941</v>
      </c>
      <c r="Y186" s="49">
        <v>0</v>
      </c>
      <c r="Z186" s="49">
        <v>0</v>
      </c>
      <c r="AA186" s="73">
        <v>186</v>
      </c>
      <c r="AB186" s="73"/>
      <c r="AC186" s="74"/>
      <c r="AD186" s="80" t="s">
        <v>847</v>
      </c>
      <c r="AE186" s="80" t="s">
        <v>1176</v>
      </c>
      <c r="AF186" s="80" t="s">
        <v>1489</v>
      </c>
      <c r="AG186" s="80" t="s">
        <v>1678</v>
      </c>
      <c r="AH186" s="80" t="s">
        <v>1899</v>
      </c>
      <c r="AI186" s="80">
        <v>14717</v>
      </c>
      <c r="AJ186" s="80">
        <v>428</v>
      </c>
      <c r="AK186" s="80">
        <v>312</v>
      </c>
      <c r="AL186" s="80">
        <v>41</v>
      </c>
      <c r="AM186" s="80" t="s">
        <v>2047</v>
      </c>
      <c r="AN186" s="98" t="str">
        <f>HYPERLINK("https://www.youtube.com/watch?v=fnmxS3sO5RA")</f>
        <v>https://www.youtube.com/watch?v=fnmxS3sO5RA</v>
      </c>
      <c r="AO186" s="80" t="str">
        <f>REPLACE(INDEX(GroupVertices[Group],MATCH(Vertices[[#This Row],[Vertex]],GroupVertices[Vertex],0)),1,1,"")</f>
        <v>8</v>
      </c>
      <c r="AP186" s="48">
        <v>0</v>
      </c>
      <c r="AQ186" s="49">
        <v>0</v>
      </c>
      <c r="AR186" s="48">
        <v>1</v>
      </c>
      <c r="AS186" s="49">
        <v>2</v>
      </c>
      <c r="AT186" s="48">
        <v>0</v>
      </c>
      <c r="AU186" s="49">
        <v>0</v>
      </c>
      <c r="AV186" s="48">
        <v>49</v>
      </c>
      <c r="AW186" s="49">
        <v>98</v>
      </c>
      <c r="AX186" s="48">
        <v>50</v>
      </c>
      <c r="AY186" s="48"/>
      <c r="AZ186" s="48"/>
      <c r="BA186" s="48"/>
      <c r="BB186" s="48"/>
      <c r="BC186" s="2"/>
      <c r="BD186" s="3"/>
      <c r="BE186" s="3"/>
      <c r="BF186" s="3"/>
      <c r="BG186" s="3"/>
    </row>
    <row r="187" spans="1:59" ht="15">
      <c r="A187" s="66" t="s">
        <v>506</v>
      </c>
      <c r="B187" s="67"/>
      <c r="C187" s="67"/>
      <c r="D187" s="68">
        <v>942.2378260726437</v>
      </c>
      <c r="E187" s="70"/>
      <c r="F187" s="96" t="str">
        <f>HYPERLINK("https://i.ytimg.com/vi/iCAm3WVH8bE/default.jpg")</f>
        <v>https://i.ytimg.com/vi/iCAm3WVH8bE/default.jpg</v>
      </c>
      <c r="G187" s="67"/>
      <c r="H187" s="71" t="s">
        <v>848</v>
      </c>
      <c r="I187" s="72"/>
      <c r="J187" s="72" t="s">
        <v>159</v>
      </c>
      <c r="K187" s="71" t="s">
        <v>848</v>
      </c>
      <c r="L187" s="75">
        <v>1250.75</v>
      </c>
      <c r="M187" s="76">
        <v>7933.9501953125</v>
      </c>
      <c r="N187" s="76">
        <v>1682.79150390625</v>
      </c>
      <c r="O187" s="77"/>
      <c r="P187" s="78"/>
      <c r="Q187" s="78"/>
      <c r="R187" s="82"/>
      <c r="S187" s="48">
        <v>1</v>
      </c>
      <c r="T187" s="48">
        <v>0</v>
      </c>
      <c r="U187" s="49">
        <v>0</v>
      </c>
      <c r="V187" s="49">
        <v>0.000934</v>
      </c>
      <c r="W187" s="49">
        <v>0.002477</v>
      </c>
      <c r="X187" s="49">
        <v>0.396941</v>
      </c>
      <c r="Y187" s="49">
        <v>0</v>
      </c>
      <c r="Z187" s="49">
        <v>0</v>
      </c>
      <c r="AA187" s="73">
        <v>187</v>
      </c>
      <c r="AB187" s="73"/>
      <c r="AC187" s="74"/>
      <c r="AD187" s="80" t="s">
        <v>848</v>
      </c>
      <c r="AE187" s="80" t="s">
        <v>1177</v>
      </c>
      <c r="AF187" s="80" t="s">
        <v>1490</v>
      </c>
      <c r="AG187" s="80" t="s">
        <v>1688</v>
      </c>
      <c r="AH187" s="80" t="s">
        <v>1900</v>
      </c>
      <c r="AI187" s="80">
        <v>9686630</v>
      </c>
      <c r="AJ187" s="80">
        <v>48745</v>
      </c>
      <c r="AK187" s="80">
        <v>633569</v>
      </c>
      <c r="AL187" s="80">
        <v>7724</v>
      </c>
      <c r="AM187" s="80" t="s">
        <v>2047</v>
      </c>
      <c r="AN187" s="98" t="str">
        <f>HYPERLINK("https://www.youtube.com/watch?v=iCAm3WVH8bE")</f>
        <v>https://www.youtube.com/watch?v=iCAm3WVH8bE</v>
      </c>
      <c r="AO187" s="80" t="str">
        <f>REPLACE(INDEX(GroupVertices[Group],MATCH(Vertices[[#This Row],[Vertex]],GroupVertices[Vertex],0)),1,1,"")</f>
        <v>8</v>
      </c>
      <c r="AP187" s="48">
        <v>0</v>
      </c>
      <c r="AQ187" s="49">
        <v>0</v>
      </c>
      <c r="AR187" s="48">
        <v>0</v>
      </c>
      <c r="AS187" s="49">
        <v>0</v>
      </c>
      <c r="AT187" s="48">
        <v>0</v>
      </c>
      <c r="AU187" s="49">
        <v>0</v>
      </c>
      <c r="AV187" s="48">
        <v>16</v>
      </c>
      <c r="AW187" s="49">
        <v>100</v>
      </c>
      <c r="AX187" s="48">
        <v>16</v>
      </c>
      <c r="AY187" s="48"/>
      <c r="AZ187" s="48"/>
      <c r="BA187" s="48"/>
      <c r="BB187" s="48"/>
      <c r="BC187" s="2"/>
      <c r="BD187" s="3"/>
      <c r="BE187" s="3"/>
      <c r="BF187" s="3"/>
      <c r="BG187" s="3"/>
    </row>
    <row r="188" spans="1:59" ht="15">
      <c r="A188" s="66" t="s">
        <v>507</v>
      </c>
      <c r="B188" s="67"/>
      <c r="C188" s="67"/>
      <c r="D188" s="68">
        <v>92.71012430021824</v>
      </c>
      <c r="E188" s="70"/>
      <c r="F188" s="96" t="str">
        <f>HYPERLINK("https://i.ytimg.com/vi/T9Zn0SUbSSI/default.jpg")</f>
        <v>https://i.ytimg.com/vi/T9Zn0SUbSSI/default.jpg</v>
      </c>
      <c r="G188" s="67"/>
      <c r="H188" s="71" t="s">
        <v>849</v>
      </c>
      <c r="I188" s="72"/>
      <c r="J188" s="72" t="s">
        <v>159</v>
      </c>
      <c r="K188" s="71" t="s">
        <v>849</v>
      </c>
      <c r="L188" s="75">
        <v>1250.75</v>
      </c>
      <c r="M188" s="76">
        <v>7638.21337890625</v>
      </c>
      <c r="N188" s="76">
        <v>576.0595703125</v>
      </c>
      <c r="O188" s="77"/>
      <c r="P188" s="78"/>
      <c r="Q188" s="78"/>
      <c r="R188" s="82"/>
      <c r="S188" s="48">
        <v>1</v>
      </c>
      <c r="T188" s="48">
        <v>0</v>
      </c>
      <c r="U188" s="49">
        <v>0</v>
      </c>
      <c r="V188" s="49">
        <v>0.000934</v>
      </c>
      <c r="W188" s="49">
        <v>0.002477</v>
      </c>
      <c r="X188" s="49">
        <v>0.396941</v>
      </c>
      <c r="Y188" s="49">
        <v>0</v>
      </c>
      <c r="Z188" s="49">
        <v>0</v>
      </c>
      <c r="AA188" s="73">
        <v>188</v>
      </c>
      <c r="AB188" s="73"/>
      <c r="AC188" s="74"/>
      <c r="AD188" s="80" t="s">
        <v>849</v>
      </c>
      <c r="AE188" s="80" t="s">
        <v>1178</v>
      </c>
      <c r="AF188" s="80" t="s">
        <v>1491</v>
      </c>
      <c r="AG188" s="80" t="s">
        <v>1653</v>
      </c>
      <c r="AH188" s="80" t="s">
        <v>1901</v>
      </c>
      <c r="AI188" s="80">
        <v>149555</v>
      </c>
      <c r="AJ188" s="80">
        <v>1384</v>
      </c>
      <c r="AK188" s="80">
        <v>1840</v>
      </c>
      <c r="AL188" s="80">
        <v>340</v>
      </c>
      <c r="AM188" s="80" t="s">
        <v>2047</v>
      </c>
      <c r="AN188" s="98" t="str">
        <f>HYPERLINK("https://www.youtube.com/watch?v=T9Zn0SUbSSI")</f>
        <v>https://www.youtube.com/watch?v=T9Zn0SUbSSI</v>
      </c>
      <c r="AO188" s="80" t="str">
        <f>REPLACE(INDEX(GroupVertices[Group],MATCH(Vertices[[#This Row],[Vertex]],GroupVertices[Vertex],0)),1,1,"")</f>
        <v>8</v>
      </c>
      <c r="AP188" s="48">
        <v>0</v>
      </c>
      <c r="AQ188" s="49">
        <v>0</v>
      </c>
      <c r="AR188" s="48">
        <v>9</v>
      </c>
      <c r="AS188" s="49">
        <v>16.071428571428573</v>
      </c>
      <c r="AT188" s="48">
        <v>0</v>
      </c>
      <c r="AU188" s="49">
        <v>0</v>
      </c>
      <c r="AV188" s="48">
        <v>47</v>
      </c>
      <c r="AW188" s="49">
        <v>83.92857142857143</v>
      </c>
      <c r="AX188" s="48">
        <v>56</v>
      </c>
      <c r="AY188" s="48"/>
      <c r="AZ188" s="48"/>
      <c r="BA188" s="48"/>
      <c r="BB188" s="48"/>
      <c r="BC188" s="2"/>
      <c r="BD188" s="3"/>
      <c r="BE188" s="3"/>
      <c r="BF188" s="3"/>
      <c r="BG188" s="3"/>
    </row>
    <row r="189" spans="1:59" ht="15">
      <c r="A189" s="66" t="s">
        <v>508</v>
      </c>
      <c r="B189" s="67"/>
      <c r="C189" s="67"/>
      <c r="D189" s="68">
        <v>80.75189335626081</v>
      </c>
      <c r="E189" s="70"/>
      <c r="F189" s="96" t="str">
        <f>HYPERLINK("https://i.ytimg.com/vi/d9_2qcpe85w/default.jpg")</f>
        <v>https://i.ytimg.com/vi/d9_2qcpe85w/default.jpg</v>
      </c>
      <c r="G189" s="67"/>
      <c r="H189" s="71" t="s">
        <v>850</v>
      </c>
      <c r="I189" s="72"/>
      <c r="J189" s="72" t="s">
        <v>159</v>
      </c>
      <c r="K189" s="71" t="s">
        <v>850</v>
      </c>
      <c r="L189" s="75">
        <v>1250.75</v>
      </c>
      <c r="M189" s="76">
        <v>8461.267578125</v>
      </c>
      <c r="N189" s="76">
        <v>2875.43505859375</v>
      </c>
      <c r="O189" s="77"/>
      <c r="P189" s="78"/>
      <c r="Q189" s="78"/>
      <c r="R189" s="82"/>
      <c r="S189" s="48">
        <v>1</v>
      </c>
      <c r="T189" s="48">
        <v>0</v>
      </c>
      <c r="U189" s="49">
        <v>0</v>
      </c>
      <c r="V189" s="49">
        <v>0.000934</v>
      </c>
      <c r="W189" s="49">
        <v>0.002477</v>
      </c>
      <c r="X189" s="49">
        <v>0.396941</v>
      </c>
      <c r="Y189" s="49">
        <v>0</v>
      </c>
      <c r="Z189" s="49">
        <v>0</v>
      </c>
      <c r="AA189" s="73">
        <v>189</v>
      </c>
      <c r="AB189" s="73"/>
      <c r="AC189" s="74"/>
      <c r="AD189" s="80" t="s">
        <v>850</v>
      </c>
      <c r="AE189" s="80" t="s">
        <v>1179</v>
      </c>
      <c r="AF189" s="80" t="s">
        <v>1492</v>
      </c>
      <c r="AG189" s="80" t="s">
        <v>1689</v>
      </c>
      <c r="AH189" s="80" t="s">
        <v>1902</v>
      </c>
      <c r="AI189" s="80">
        <v>15308</v>
      </c>
      <c r="AJ189" s="80">
        <v>0</v>
      </c>
      <c r="AK189" s="80">
        <v>505</v>
      </c>
      <c r="AL189" s="80">
        <v>61</v>
      </c>
      <c r="AM189" s="80" t="s">
        <v>2047</v>
      </c>
      <c r="AN189" s="98" t="str">
        <f>HYPERLINK("https://www.youtube.com/watch?v=d9_2qcpe85w")</f>
        <v>https://www.youtube.com/watch?v=d9_2qcpe85w</v>
      </c>
      <c r="AO189" s="80" t="str">
        <f>REPLACE(INDEX(GroupVertices[Group],MATCH(Vertices[[#This Row],[Vertex]],GroupVertices[Vertex],0)),1,1,"")</f>
        <v>8</v>
      </c>
      <c r="AP189" s="48">
        <v>0</v>
      </c>
      <c r="AQ189" s="49">
        <v>0</v>
      </c>
      <c r="AR189" s="48">
        <v>2</v>
      </c>
      <c r="AS189" s="49">
        <v>3.8461538461538463</v>
      </c>
      <c r="AT189" s="48">
        <v>0</v>
      </c>
      <c r="AU189" s="49">
        <v>0</v>
      </c>
      <c r="AV189" s="48">
        <v>50</v>
      </c>
      <c r="AW189" s="49">
        <v>96.15384615384616</v>
      </c>
      <c r="AX189" s="48">
        <v>52</v>
      </c>
      <c r="AY189" s="48"/>
      <c r="AZ189" s="48"/>
      <c r="BA189" s="48"/>
      <c r="BB189" s="48"/>
      <c r="BC189" s="2"/>
      <c r="BD189" s="3"/>
      <c r="BE189" s="3"/>
      <c r="BF189" s="3"/>
      <c r="BG189" s="3"/>
    </row>
    <row r="190" spans="1:59" ht="15">
      <c r="A190" s="66" t="s">
        <v>509</v>
      </c>
      <c r="B190" s="67"/>
      <c r="C190" s="67"/>
      <c r="D190" s="68">
        <v>81.81929509634767</v>
      </c>
      <c r="E190" s="70"/>
      <c r="F190" s="96" t="str">
        <f>HYPERLINK("https://i.ytimg.com/vi/OqenQc09k-E/default.jpg")</f>
        <v>https://i.ytimg.com/vi/OqenQc09k-E/default.jpg</v>
      </c>
      <c r="G190" s="67"/>
      <c r="H190" s="71" t="s">
        <v>851</v>
      </c>
      <c r="I190" s="72"/>
      <c r="J190" s="72" t="s">
        <v>75</v>
      </c>
      <c r="K190" s="71" t="s">
        <v>851</v>
      </c>
      <c r="L190" s="75">
        <v>2500.5</v>
      </c>
      <c r="M190" s="76">
        <v>9285.1015625</v>
      </c>
      <c r="N190" s="76">
        <v>1099.239990234375</v>
      </c>
      <c r="O190" s="77"/>
      <c r="P190" s="78"/>
      <c r="Q190" s="78"/>
      <c r="R190" s="82"/>
      <c r="S190" s="48">
        <v>2</v>
      </c>
      <c r="T190" s="48">
        <v>0</v>
      </c>
      <c r="U190" s="49">
        <v>0</v>
      </c>
      <c r="V190" s="49">
        <v>0.000962</v>
      </c>
      <c r="W190" s="49">
        <v>0.004807</v>
      </c>
      <c r="X190" s="49">
        <v>0.652515</v>
      </c>
      <c r="Y190" s="49">
        <v>0.5</v>
      </c>
      <c r="Z190" s="49">
        <v>0</v>
      </c>
      <c r="AA190" s="73">
        <v>190</v>
      </c>
      <c r="AB190" s="73"/>
      <c r="AC190" s="74"/>
      <c r="AD190" s="80" t="s">
        <v>851</v>
      </c>
      <c r="AE190" s="80" t="s">
        <v>1180</v>
      </c>
      <c r="AF190" s="80" t="s">
        <v>1493</v>
      </c>
      <c r="AG190" s="80" t="s">
        <v>1690</v>
      </c>
      <c r="AH190" s="80" t="s">
        <v>1903</v>
      </c>
      <c r="AI190" s="80">
        <v>27291</v>
      </c>
      <c r="AJ190" s="80">
        <v>1342</v>
      </c>
      <c r="AK190" s="80">
        <v>1030</v>
      </c>
      <c r="AL190" s="80">
        <v>94</v>
      </c>
      <c r="AM190" s="80" t="s">
        <v>2047</v>
      </c>
      <c r="AN190" s="98" t="str">
        <f>HYPERLINK("https://www.youtube.com/watch?v=OqenQc09k-E")</f>
        <v>https://www.youtube.com/watch?v=OqenQc09k-E</v>
      </c>
      <c r="AO190" s="80" t="str">
        <f>REPLACE(INDEX(GroupVertices[Group],MATCH(Vertices[[#This Row],[Vertex]],GroupVertices[Vertex],0)),1,1,"")</f>
        <v>8</v>
      </c>
      <c r="AP190" s="48">
        <v>0</v>
      </c>
      <c r="AQ190" s="49">
        <v>0</v>
      </c>
      <c r="AR190" s="48">
        <v>0</v>
      </c>
      <c r="AS190" s="49">
        <v>0</v>
      </c>
      <c r="AT190" s="48">
        <v>0</v>
      </c>
      <c r="AU190" s="49">
        <v>0</v>
      </c>
      <c r="AV190" s="48">
        <v>72</v>
      </c>
      <c r="AW190" s="49">
        <v>100</v>
      </c>
      <c r="AX190" s="48">
        <v>72</v>
      </c>
      <c r="AY190" s="48"/>
      <c r="AZ190" s="48"/>
      <c r="BA190" s="48"/>
      <c r="BB190" s="48"/>
      <c r="BC190" s="2"/>
      <c r="BD190" s="3"/>
      <c r="BE190" s="3"/>
      <c r="BF190" s="3"/>
      <c r="BG190" s="3"/>
    </row>
    <row r="191" spans="1:59" ht="15">
      <c r="A191" s="66" t="s">
        <v>510</v>
      </c>
      <c r="B191" s="67"/>
      <c r="C191" s="67"/>
      <c r="D191" s="68">
        <v>169.00534264374693</v>
      </c>
      <c r="E191" s="70"/>
      <c r="F191" s="96" t="str">
        <f>HYPERLINK("https://i.ytimg.com/vi/Z2swde6Z97w/default.jpg")</f>
        <v>https://i.ytimg.com/vi/Z2swde6Z97w/default.jpg</v>
      </c>
      <c r="G191" s="67"/>
      <c r="H191" s="71" t="s">
        <v>852</v>
      </c>
      <c r="I191" s="72"/>
      <c r="J191" s="72" t="s">
        <v>159</v>
      </c>
      <c r="K191" s="71" t="s">
        <v>852</v>
      </c>
      <c r="L191" s="75">
        <v>1250.75</v>
      </c>
      <c r="M191" s="76">
        <v>8888.4677734375</v>
      </c>
      <c r="N191" s="76">
        <v>2852.5703125</v>
      </c>
      <c r="O191" s="77"/>
      <c r="P191" s="78"/>
      <c r="Q191" s="78"/>
      <c r="R191" s="82"/>
      <c r="S191" s="48">
        <v>1</v>
      </c>
      <c r="T191" s="48">
        <v>0</v>
      </c>
      <c r="U191" s="49">
        <v>0</v>
      </c>
      <c r="V191" s="49">
        <v>0.000934</v>
      </c>
      <c r="W191" s="49">
        <v>0.002477</v>
      </c>
      <c r="X191" s="49">
        <v>0.396941</v>
      </c>
      <c r="Y191" s="49">
        <v>0</v>
      </c>
      <c r="Z191" s="49">
        <v>0</v>
      </c>
      <c r="AA191" s="73">
        <v>191</v>
      </c>
      <c r="AB191" s="73"/>
      <c r="AC191" s="74"/>
      <c r="AD191" s="80" t="s">
        <v>852</v>
      </c>
      <c r="AE191" s="80" t="s">
        <v>1181</v>
      </c>
      <c r="AF191" s="80" t="s">
        <v>1494</v>
      </c>
      <c r="AG191" s="80" t="s">
        <v>1691</v>
      </c>
      <c r="AH191" s="80" t="s">
        <v>1904</v>
      </c>
      <c r="AI191" s="80">
        <v>1006070</v>
      </c>
      <c r="AJ191" s="80">
        <v>5301</v>
      </c>
      <c r="AK191" s="80">
        <v>26996</v>
      </c>
      <c r="AL191" s="80">
        <v>1162</v>
      </c>
      <c r="AM191" s="80" t="s">
        <v>2047</v>
      </c>
      <c r="AN191" s="98" t="str">
        <f>HYPERLINK("https://www.youtube.com/watch?v=Z2swde6Z97w")</f>
        <v>https://www.youtube.com/watch?v=Z2swde6Z97w</v>
      </c>
      <c r="AO191" s="80" t="str">
        <f>REPLACE(INDEX(GroupVertices[Group],MATCH(Vertices[[#This Row],[Vertex]],GroupVertices[Vertex],0)),1,1,"")</f>
        <v>8</v>
      </c>
      <c r="AP191" s="48">
        <v>0</v>
      </c>
      <c r="AQ191" s="49">
        <v>0</v>
      </c>
      <c r="AR191" s="48">
        <v>2</v>
      </c>
      <c r="AS191" s="49">
        <v>5</v>
      </c>
      <c r="AT191" s="48">
        <v>0</v>
      </c>
      <c r="AU191" s="49">
        <v>0</v>
      </c>
      <c r="AV191" s="48">
        <v>38</v>
      </c>
      <c r="AW191" s="49">
        <v>95</v>
      </c>
      <c r="AX191" s="48">
        <v>40</v>
      </c>
      <c r="AY191" s="48"/>
      <c r="AZ191" s="48"/>
      <c r="BA191" s="48"/>
      <c r="BB191" s="48"/>
      <c r="BC191" s="2"/>
      <c r="BD191" s="3"/>
      <c r="BE191" s="3"/>
      <c r="BF191" s="3"/>
      <c r="BG191" s="3"/>
    </row>
    <row r="192" spans="1:59" ht="15">
      <c r="A192" s="66" t="s">
        <v>327</v>
      </c>
      <c r="B192" s="67"/>
      <c r="C192" s="67"/>
      <c r="D192" s="68">
        <v>87.60649560137178</v>
      </c>
      <c r="E192" s="70"/>
      <c r="F192" s="96" t="str">
        <f>HYPERLINK("https://i.ytimg.com/vi/2h55LrgNVZ4/default.jpg")</f>
        <v>https://i.ytimg.com/vi/2h55LrgNVZ4/default.jpg</v>
      </c>
      <c r="G192" s="67"/>
      <c r="H192" s="71" t="s">
        <v>853</v>
      </c>
      <c r="I192" s="72"/>
      <c r="J192" s="72" t="s">
        <v>159</v>
      </c>
      <c r="K192" s="71" t="s">
        <v>853</v>
      </c>
      <c r="L192" s="75">
        <v>1250.75</v>
      </c>
      <c r="M192" s="76">
        <v>8529.1337890625</v>
      </c>
      <c r="N192" s="76">
        <v>4495.08349609375</v>
      </c>
      <c r="O192" s="77"/>
      <c r="P192" s="78"/>
      <c r="Q192" s="78"/>
      <c r="R192" s="82"/>
      <c r="S192" s="48">
        <v>1</v>
      </c>
      <c r="T192" s="48">
        <v>50</v>
      </c>
      <c r="U192" s="49">
        <v>15651.671679</v>
      </c>
      <c r="V192" s="49">
        <v>0.001348</v>
      </c>
      <c r="W192" s="49">
        <v>0.032694</v>
      </c>
      <c r="X192" s="49">
        <v>14.891345</v>
      </c>
      <c r="Y192" s="49">
        <v>0.03346938775510204</v>
      </c>
      <c r="Z192" s="49">
        <v>0.02</v>
      </c>
      <c r="AA192" s="73">
        <v>192</v>
      </c>
      <c r="AB192" s="73"/>
      <c r="AC192" s="74"/>
      <c r="AD192" s="80" t="s">
        <v>853</v>
      </c>
      <c r="AE192" s="80" t="s">
        <v>1182</v>
      </c>
      <c r="AF192" s="80" t="s">
        <v>1495</v>
      </c>
      <c r="AG192" s="80" t="s">
        <v>1692</v>
      </c>
      <c r="AH192" s="80" t="s">
        <v>1905</v>
      </c>
      <c r="AI192" s="80">
        <v>92260</v>
      </c>
      <c r="AJ192" s="80">
        <v>5629</v>
      </c>
      <c r="AK192" s="80">
        <v>1190</v>
      </c>
      <c r="AL192" s="80">
        <v>1027</v>
      </c>
      <c r="AM192" s="80" t="s">
        <v>2047</v>
      </c>
      <c r="AN192" s="98" t="str">
        <f>HYPERLINK("https://www.youtube.com/watch?v=2h55LrgNVZ4")</f>
        <v>https://www.youtube.com/watch?v=2h55LrgNVZ4</v>
      </c>
      <c r="AO192" s="80" t="str">
        <f>REPLACE(INDEX(GroupVertices[Group],MATCH(Vertices[[#This Row],[Vertex]],GroupVertices[Vertex],0)),1,1,"")</f>
        <v>7</v>
      </c>
      <c r="AP192" s="48">
        <v>0</v>
      </c>
      <c r="AQ192" s="49">
        <v>0</v>
      </c>
      <c r="AR192" s="48">
        <v>0</v>
      </c>
      <c r="AS192" s="49">
        <v>0</v>
      </c>
      <c r="AT192" s="48">
        <v>0</v>
      </c>
      <c r="AU192" s="49">
        <v>0</v>
      </c>
      <c r="AV192" s="48">
        <v>4</v>
      </c>
      <c r="AW192" s="49">
        <v>100</v>
      </c>
      <c r="AX192" s="48">
        <v>4</v>
      </c>
      <c r="AY192" s="119" t="s">
        <v>3491</v>
      </c>
      <c r="AZ192" s="119" t="s">
        <v>3491</v>
      </c>
      <c r="BA192" s="119" t="s">
        <v>3491</v>
      </c>
      <c r="BB192" s="119" t="s">
        <v>3491</v>
      </c>
      <c r="BC192" s="2"/>
      <c r="BD192" s="3"/>
      <c r="BE192" s="3"/>
      <c r="BF192" s="3"/>
      <c r="BG192" s="3"/>
    </row>
    <row r="193" spans="1:59" ht="15">
      <c r="A193" s="66" t="s">
        <v>511</v>
      </c>
      <c r="B193" s="67"/>
      <c r="C193" s="67"/>
      <c r="D193" s="68">
        <v>419.45611150808173</v>
      </c>
      <c r="E193" s="70"/>
      <c r="F193" s="96" t="str">
        <f>HYPERLINK("https://i.ytimg.com/vi/hVu844ZcCdU/default.jpg")</f>
        <v>https://i.ytimg.com/vi/hVu844ZcCdU/default.jpg</v>
      </c>
      <c r="G193" s="67"/>
      <c r="H193" s="71" t="s">
        <v>854</v>
      </c>
      <c r="I193" s="72"/>
      <c r="J193" s="72" t="s">
        <v>159</v>
      </c>
      <c r="K193" s="71" t="s">
        <v>854</v>
      </c>
      <c r="L193" s="75">
        <v>1250.75</v>
      </c>
      <c r="M193" s="76">
        <v>9734.9013671875</v>
      </c>
      <c r="N193" s="76">
        <v>5118.2548828125</v>
      </c>
      <c r="O193" s="77"/>
      <c r="P193" s="78"/>
      <c r="Q193" s="78"/>
      <c r="R193" s="82"/>
      <c r="S193" s="48">
        <v>1</v>
      </c>
      <c r="T193" s="48">
        <v>0</v>
      </c>
      <c r="U193" s="49">
        <v>0</v>
      </c>
      <c r="V193" s="49">
        <v>0.000934</v>
      </c>
      <c r="W193" s="49">
        <v>0.002415</v>
      </c>
      <c r="X193" s="49">
        <v>0.403153</v>
      </c>
      <c r="Y193" s="49">
        <v>0</v>
      </c>
      <c r="Z193" s="49">
        <v>0</v>
      </c>
      <c r="AA193" s="73">
        <v>193</v>
      </c>
      <c r="AB193" s="73"/>
      <c r="AC193" s="74"/>
      <c r="AD193" s="80" t="s">
        <v>854</v>
      </c>
      <c r="AE193" s="80"/>
      <c r="AF193" s="80"/>
      <c r="AG193" s="80" t="s">
        <v>1693</v>
      </c>
      <c r="AH193" s="80" t="s">
        <v>1906</v>
      </c>
      <c r="AI193" s="80">
        <v>3817712</v>
      </c>
      <c r="AJ193" s="80">
        <v>2177</v>
      </c>
      <c r="AK193" s="80">
        <v>16052</v>
      </c>
      <c r="AL193" s="80">
        <v>4399</v>
      </c>
      <c r="AM193" s="80" t="s">
        <v>2047</v>
      </c>
      <c r="AN193" s="98" t="str">
        <f>HYPERLINK("https://www.youtube.com/watch?v=hVu844ZcCdU")</f>
        <v>https://www.youtube.com/watch?v=hVu844ZcCdU</v>
      </c>
      <c r="AO193" s="80" t="str">
        <f>REPLACE(INDEX(GroupVertices[Group],MATCH(Vertices[[#This Row],[Vertex]],GroupVertices[Vertex],0)),1,1,"")</f>
        <v>7</v>
      </c>
      <c r="AP193" s="48"/>
      <c r="AQ193" s="49"/>
      <c r="AR193" s="48"/>
      <c r="AS193" s="49"/>
      <c r="AT193" s="48"/>
      <c r="AU193" s="49"/>
      <c r="AV193" s="48"/>
      <c r="AW193" s="49"/>
      <c r="AX193" s="48"/>
      <c r="AY193" s="48"/>
      <c r="AZ193" s="48"/>
      <c r="BA193" s="48"/>
      <c r="BB193" s="48"/>
      <c r="BC193" s="2"/>
      <c r="BD193" s="3"/>
      <c r="BE193" s="3"/>
      <c r="BF193" s="3"/>
      <c r="BG193" s="3"/>
    </row>
    <row r="194" spans="1:59" ht="15">
      <c r="A194" s="66" t="s">
        <v>512</v>
      </c>
      <c r="B194" s="67"/>
      <c r="C194" s="67"/>
      <c r="D194" s="68">
        <v>83.86279533162539</v>
      </c>
      <c r="E194" s="70"/>
      <c r="F194" s="96" t="str">
        <f>HYPERLINK("https://i.ytimg.com/vi/93PUuemIvl0/default.jpg")</f>
        <v>https://i.ytimg.com/vi/93PUuemIvl0/default.jpg</v>
      </c>
      <c r="G194" s="67"/>
      <c r="H194" s="71" t="s">
        <v>855</v>
      </c>
      <c r="I194" s="72"/>
      <c r="J194" s="72" t="s">
        <v>159</v>
      </c>
      <c r="K194" s="71" t="s">
        <v>855</v>
      </c>
      <c r="L194" s="75">
        <v>1250.75</v>
      </c>
      <c r="M194" s="76">
        <v>8367.0869140625</v>
      </c>
      <c r="N194" s="76">
        <v>3021.92041015625</v>
      </c>
      <c r="O194" s="77"/>
      <c r="P194" s="78"/>
      <c r="Q194" s="78"/>
      <c r="R194" s="82"/>
      <c r="S194" s="48">
        <v>1</v>
      </c>
      <c r="T194" s="48">
        <v>0</v>
      </c>
      <c r="U194" s="49">
        <v>0</v>
      </c>
      <c r="V194" s="49">
        <v>0.000934</v>
      </c>
      <c r="W194" s="49">
        <v>0.002415</v>
      </c>
      <c r="X194" s="49">
        <v>0.403153</v>
      </c>
      <c r="Y194" s="49">
        <v>0</v>
      </c>
      <c r="Z194" s="49">
        <v>0</v>
      </c>
      <c r="AA194" s="73">
        <v>194</v>
      </c>
      <c r="AB194" s="73"/>
      <c r="AC194" s="74"/>
      <c r="AD194" s="80" t="s">
        <v>855</v>
      </c>
      <c r="AE194" s="80" t="s">
        <v>1183</v>
      </c>
      <c r="AF194" s="80" t="s">
        <v>1496</v>
      </c>
      <c r="AG194" s="80" t="s">
        <v>1675</v>
      </c>
      <c r="AH194" s="80" t="s">
        <v>1907</v>
      </c>
      <c r="AI194" s="80">
        <v>50232</v>
      </c>
      <c r="AJ194" s="80">
        <v>913</v>
      </c>
      <c r="AK194" s="80">
        <v>527</v>
      </c>
      <c r="AL194" s="80">
        <v>282</v>
      </c>
      <c r="AM194" s="80" t="s">
        <v>2047</v>
      </c>
      <c r="AN194" s="98" t="str">
        <f>HYPERLINK("https://www.youtube.com/watch?v=93PUuemIvl0")</f>
        <v>https://www.youtube.com/watch?v=93PUuemIvl0</v>
      </c>
      <c r="AO194" s="80" t="str">
        <f>REPLACE(INDEX(GroupVertices[Group],MATCH(Vertices[[#This Row],[Vertex]],GroupVertices[Vertex],0)),1,1,"")</f>
        <v>7</v>
      </c>
      <c r="AP194" s="48">
        <v>0</v>
      </c>
      <c r="AQ194" s="49">
        <v>0</v>
      </c>
      <c r="AR194" s="48">
        <v>1</v>
      </c>
      <c r="AS194" s="49">
        <v>2</v>
      </c>
      <c r="AT194" s="48">
        <v>0</v>
      </c>
      <c r="AU194" s="49">
        <v>0</v>
      </c>
      <c r="AV194" s="48">
        <v>49</v>
      </c>
      <c r="AW194" s="49">
        <v>98</v>
      </c>
      <c r="AX194" s="48">
        <v>50</v>
      </c>
      <c r="AY194" s="48"/>
      <c r="AZ194" s="48"/>
      <c r="BA194" s="48"/>
      <c r="BB194" s="48"/>
      <c r="BC194" s="2"/>
      <c r="BD194" s="3"/>
      <c r="BE194" s="3"/>
      <c r="BF194" s="3"/>
      <c r="BG194" s="3"/>
    </row>
    <row r="195" spans="1:59" ht="15">
      <c r="A195" s="66" t="s">
        <v>513</v>
      </c>
      <c r="B195" s="67"/>
      <c r="C195" s="67"/>
      <c r="D195" s="68">
        <v>84.00879144712255</v>
      </c>
      <c r="E195" s="70"/>
      <c r="F195" s="96" t="str">
        <f>HYPERLINK("https://i.ytimg.com/vi/yQG07nq8ia0/default.jpg")</f>
        <v>https://i.ytimg.com/vi/yQG07nq8ia0/default.jpg</v>
      </c>
      <c r="G195" s="67"/>
      <c r="H195" s="71" t="s">
        <v>856</v>
      </c>
      <c r="I195" s="72"/>
      <c r="J195" s="72" t="s">
        <v>159</v>
      </c>
      <c r="K195" s="71" t="s">
        <v>856</v>
      </c>
      <c r="L195" s="75">
        <v>1250.75</v>
      </c>
      <c r="M195" s="76">
        <v>9075.1083984375</v>
      </c>
      <c r="N195" s="76">
        <v>4055.447509765625</v>
      </c>
      <c r="O195" s="77"/>
      <c r="P195" s="78"/>
      <c r="Q195" s="78"/>
      <c r="R195" s="82"/>
      <c r="S195" s="48">
        <v>1</v>
      </c>
      <c r="T195" s="48">
        <v>0</v>
      </c>
      <c r="U195" s="49">
        <v>0</v>
      </c>
      <c r="V195" s="49">
        <v>0.000934</v>
      </c>
      <c r="W195" s="49">
        <v>0.002415</v>
      </c>
      <c r="X195" s="49">
        <v>0.403153</v>
      </c>
      <c r="Y195" s="49">
        <v>0</v>
      </c>
      <c r="Z195" s="49">
        <v>0</v>
      </c>
      <c r="AA195" s="73">
        <v>195</v>
      </c>
      <c r="AB195" s="73"/>
      <c r="AC195" s="74"/>
      <c r="AD195" s="80" t="s">
        <v>856</v>
      </c>
      <c r="AE195" s="80" t="s">
        <v>1184</v>
      </c>
      <c r="AF195" s="80" t="s">
        <v>1497</v>
      </c>
      <c r="AG195" s="80" t="s">
        <v>1694</v>
      </c>
      <c r="AH195" s="80" t="s">
        <v>1908</v>
      </c>
      <c r="AI195" s="80">
        <v>51871</v>
      </c>
      <c r="AJ195" s="80">
        <v>564</v>
      </c>
      <c r="AK195" s="80">
        <v>136</v>
      </c>
      <c r="AL195" s="80">
        <v>58</v>
      </c>
      <c r="AM195" s="80" t="s">
        <v>2047</v>
      </c>
      <c r="AN195" s="98" t="str">
        <f>HYPERLINK("https://www.youtube.com/watch?v=yQG07nq8ia0")</f>
        <v>https://www.youtube.com/watch?v=yQG07nq8ia0</v>
      </c>
      <c r="AO195" s="80" t="str">
        <f>REPLACE(INDEX(GroupVertices[Group],MATCH(Vertices[[#This Row],[Vertex]],GroupVertices[Vertex],0)),1,1,"")</f>
        <v>7</v>
      </c>
      <c r="AP195" s="48">
        <v>0</v>
      </c>
      <c r="AQ195" s="49">
        <v>0</v>
      </c>
      <c r="AR195" s="48">
        <v>3</v>
      </c>
      <c r="AS195" s="49">
        <v>6.122448979591836</v>
      </c>
      <c r="AT195" s="48">
        <v>0</v>
      </c>
      <c r="AU195" s="49">
        <v>0</v>
      </c>
      <c r="AV195" s="48">
        <v>46</v>
      </c>
      <c r="AW195" s="49">
        <v>93.87755102040816</v>
      </c>
      <c r="AX195" s="48">
        <v>49</v>
      </c>
      <c r="AY195" s="48"/>
      <c r="AZ195" s="48"/>
      <c r="BA195" s="48"/>
      <c r="BB195" s="48"/>
      <c r="BC195" s="2"/>
      <c r="BD195" s="3"/>
      <c r="BE195" s="3"/>
      <c r="BF195" s="3"/>
      <c r="BG195" s="3"/>
    </row>
    <row r="196" spans="1:59" ht="15">
      <c r="A196" s="66" t="s">
        <v>514</v>
      </c>
      <c r="B196" s="67"/>
      <c r="C196" s="67"/>
      <c r="D196" s="68">
        <v>80</v>
      </c>
      <c r="E196" s="70"/>
      <c r="F196" s="96" t="str">
        <f>HYPERLINK("https://i.ytimg.com/vi/YWxwRlyjm9U/default.jpg")</f>
        <v>https://i.ytimg.com/vi/YWxwRlyjm9U/default.jpg</v>
      </c>
      <c r="G196" s="67"/>
      <c r="H196" s="71" t="s">
        <v>857</v>
      </c>
      <c r="I196" s="72"/>
      <c r="J196" s="72" t="s">
        <v>159</v>
      </c>
      <c r="K196" s="71" t="s">
        <v>857</v>
      </c>
      <c r="L196" s="75">
        <v>1250.75</v>
      </c>
      <c r="M196" s="76">
        <v>7944.71875</v>
      </c>
      <c r="N196" s="76">
        <v>3173.3349609375</v>
      </c>
      <c r="O196" s="77"/>
      <c r="P196" s="78"/>
      <c r="Q196" s="78"/>
      <c r="R196" s="82"/>
      <c r="S196" s="48">
        <v>1</v>
      </c>
      <c r="T196" s="48">
        <v>0</v>
      </c>
      <c r="U196" s="49">
        <v>0</v>
      </c>
      <c r="V196" s="49">
        <v>0.000934</v>
      </c>
      <c r="W196" s="49">
        <v>0.002415</v>
      </c>
      <c r="X196" s="49">
        <v>0.403153</v>
      </c>
      <c r="Y196" s="49">
        <v>0</v>
      </c>
      <c r="Z196" s="49">
        <v>0</v>
      </c>
      <c r="AA196" s="73">
        <v>196</v>
      </c>
      <c r="AB196" s="73"/>
      <c r="AC196" s="74"/>
      <c r="AD196" s="80" t="s">
        <v>857</v>
      </c>
      <c r="AE196" s="80" t="s">
        <v>1185</v>
      </c>
      <c r="AF196" s="80" t="s">
        <v>1498</v>
      </c>
      <c r="AG196" s="80" t="s">
        <v>1695</v>
      </c>
      <c r="AH196" s="80" t="s">
        <v>1909</v>
      </c>
      <c r="AI196" s="80">
        <v>6867</v>
      </c>
      <c r="AJ196" s="80">
        <v>242</v>
      </c>
      <c r="AK196" s="80">
        <v>98</v>
      </c>
      <c r="AL196" s="80">
        <v>38</v>
      </c>
      <c r="AM196" s="80" t="s">
        <v>2047</v>
      </c>
      <c r="AN196" s="98" t="str">
        <f>HYPERLINK("https://www.youtube.com/watch?v=YWxwRlyjm9U")</f>
        <v>https://www.youtube.com/watch?v=YWxwRlyjm9U</v>
      </c>
      <c r="AO196" s="80" t="str">
        <f>REPLACE(INDEX(GroupVertices[Group],MATCH(Vertices[[#This Row],[Vertex]],GroupVertices[Vertex],0)),1,1,"")</f>
        <v>7</v>
      </c>
      <c r="AP196" s="48">
        <v>1</v>
      </c>
      <c r="AQ196" s="49">
        <v>1.8181818181818181</v>
      </c>
      <c r="AR196" s="48">
        <v>1</v>
      </c>
      <c r="AS196" s="49">
        <v>1.8181818181818181</v>
      </c>
      <c r="AT196" s="48">
        <v>0</v>
      </c>
      <c r="AU196" s="49">
        <v>0</v>
      </c>
      <c r="AV196" s="48">
        <v>53</v>
      </c>
      <c r="AW196" s="49">
        <v>96.36363636363636</v>
      </c>
      <c r="AX196" s="48">
        <v>55</v>
      </c>
      <c r="AY196" s="48"/>
      <c r="AZ196" s="48"/>
      <c r="BA196" s="48"/>
      <c r="BB196" s="48"/>
      <c r="BC196" s="2"/>
      <c r="BD196" s="3"/>
      <c r="BE196" s="3"/>
      <c r="BF196" s="3"/>
      <c r="BG196" s="3"/>
    </row>
    <row r="197" spans="1:59" ht="15">
      <c r="A197" s="66" t="s">
        <v>515</v>
      </c>
      <c r="B197" s="67"/>
      <c r="C197" s="67"/>
      <c r="D197" s="68">
        <v>263.9342616636749</v>
      </c>
      <c r="E197" s="70"/>
      <c r="F197" s="96" t="str">
        <f>HYPERLINK("https://i.ytimg.com/vi/TWpjc1QZg84/default.jpg")</f>
        <v>https://i.ytimg.com/vi/TWpjc1QZg84/default.jpg</v>
      </c>
      <c r="G197" s="67"/>
      <c r="H197" s="71" t="s">
        <v>858</v>
      </c>
      <c r="I197" s="72"/>
      <c r="J197" s="72" t="s">
        <v>75</v>
      </c>
      <c r="K197" s="71" t="s">
        <v>858</v>
      </c>
      <c r="L197" s="75">
        <v>2500.5</v>
      </c>
      <c r="M197" s="76">
        <v>7315.31396484375</v>
      </c>
      <c r="N197" s="76">
        <v>3877.59716796875</v>
      </c>
      <c r="O197" s="77"/>
      <c r="P197" s="78"/>
      <c r="Q197" s="78"/>
      <c r="R197" s="82"/>
      <c r="S197" s="48">
        <v>2</v>
      </c>
      <c r="T197" s="48">
        <v>0</v>
      </c>
      <c r="U197" s="49">
        <v>0</v>
      </c>
      <c r="V197" s="49">
        <v>0.000977</v>
      </c>
      <c r="W197" s="49">
        <v>0.003788</v>
      </c>
      <c r="X197" s="49">
        <v>0.737264</v>
      </c>
      <c r="Y197" s="49">
        <v>0.5</v>
      </c>
      <c r="Z197" s="49">
        <v>0</v>
      </c>
      <c r="AA197" s="73">
        <v>197</v>
      </c>
      <c r="AB197" s="73"/>
      <c r="AC197" s="74"/>
      <c r="AD197" s="80" t="s">
        <v>858</v>
      </c>
      <c r="AE197" s="80" t="s">
        <v>1186</v>
      </c>
      <c r="AF197" s="80" t="s">
        <v>1499</v>
      </c>
      <c r="AG197" s="80" t="s">
        <v>1635</v>
      </c>
      <c r="AH197" s="80" t="s">
        <v>1910</v>
      </c>
      <c r="AI197" s="80">
        <v>2071773</v>
      </c>
      <c r="AJ197" s="80">
        <v>39371</v>
      </c>
      <c r="AK197" s="80">
        <v>82069</v>
      </c>
      <c r="AL197" s="80">
        <v>22201</v>
      </c>
      <c r="AM197" s="80" t="s">
        <v>2047</v>
      </c>
      <c r="AN197" s="98" t="str">
        <f>HYPERLINK("https://www.youtube.com/watch?v=TWpjc1QZg84")</f>
        <v>https://www.youtube.com/watch?v=TWpjc1QZg84</v>
      </c>
      <c r="AO197" s="80" t="str">
        <f>REPLACE(INDEX(GroupVertices[Group],MATCH(Vertices[[#This Row],[Vertex]],GroupVertices[Vertex],0)),1,1,"")</f>
        <v>7</v>
      </c>
      <c r="AP197" s="48">
        <v>1</v>
      </c>
      <c r="AQ197" s="49">
        <v>2.1739130434782608</v>
      </c>
      <c r="AR197" s="48">
        <v>3</v>
      </c>
      <c r="AS197" s="49">
        <v>6.521739130434782</v>
      </c>
      <c r="AT197" s="48">
        <v>0</v>
      </c>
      <c r="AU197" s="49">
        <v>0</v>
      </c>
      <c r="AV197" s="48">
        <v>42</v>
      </c>
      <c r="AW197" s="49">
        <v>91.30434782608695</v>
      </c>
      <c r="AX197" s="48">
        <v>46</v>
      </c>
      <c r="AY197" s="48"/>
      <c r="AZ197" s="48"/>
      <c r="BA197" s="48"/>
      <c r="BB197" s="48"/>
      <c r="BC197" s="2"/>
      <c r="BD197" s="3"/>
      <c r="BE197" s="3"/>
      <c r="BF197" s="3"/>
      <c r="BG197" s="3"/>
    </row>
    <row r="198" spans="1:59" ht="15">
      <c r="A198" s="66" t="s">
        <v>516</v>
      </c>
      <c r="B198" s="67"/>
      <c r="C198" s="67"/>
      <c r="D198" s="68">
        <v>82.7357124460943</v>
      </c>
      <c r="E198" s="70"/>
      <c r="F198" s="96" t="str">
        <f>HYPERLINK("https://i.ytimg.com/vi/qO5QOIIL_ZE/default.jpg")</f>
        <v>https://i.ytimg.com/vi/qO5QOIIL_ZE/default.jpg</v>
      </c>
      <c r="G198" s="67"/>
      <c r="H198" s="71" t="s">
        <v>859</v>
      </c>
      <c r="I198" s="72"/>
      <c r="J198" s="72" t="s">
        <v>159</v>
      </c>
      <c r="K198" s="71" t="s">
        <v>859</v>
      </c>
      <c r="L198" s="75">
        <v>1250.75</v>
      </c>
      <c r="M198" s="76">
        <v>8756.5087890625</v>
      </c>
      <c r="N198" s="76">
        <v>5909.43212890625</v>
      </c>
      <c r="O198" s="77"/>
      <c r="P198" s="78"/>
      <c r="Q198" s="78"/>
      <c r="R198" s="82"/>
      <c r="S198" s="48">
        <v>1</v>
      </c>
      <c r="T198" s="48">
        <v>0</v>
      </c>
      <c r="U198" s="49">
        <v>0</v>
      </c>
      <c r="V198" s="49">
        <v>0.000934</v>
      </c>
      <c r="W198" s="49">
        <v>0.002415</v>
      </c>
      <c r="X198" s="49">
        <v>0.403153</v>
      </c>
      <c r="Y198" s="49">
        <v>0</v>
      </c>
      <c r="Z198" s="49">
        <v>0</v>
      </c>
      <c r="AA198" s="73">
        <v>198</v>
      </c>
      <c r="AB198" s="73"/>
      <c r="AC198" s="74"/>
      <c r="AD198" s="80" t="s">
        <v>859</v>
      </c>
      <c r="AE198" s="80" t="s">
        <v>1187</v>
      </c>
      <c r="AF198" s="80" t="s">
        <v>1500</v>
      </c>
      <c r="AG198" s="80" t="s">
        <v>1684</v>
      </c>
      <c r="AH198" s="80" t="s">
        <v>1911</v>
      </c>
      <c r="AI198" s="80">
        <v>37579</v>
      </c>
      <c r="AJ198" s="80">
        <v>1187</v>
      </c>
      <c r="AK198" s="80">
        <v>393</v>
      </c>
      <c r="AL198" s="80">
        <v>72</v>
      </c>
      <c r="AM198" s="80" t="s">
        <v>2047</v>
      </c>
      <c r="AN198" s="98" t="str">
        <f>HYPERLINK("https://www.youtube.com/watch?v=qO5QOIIL_ZE")</f>
        <v>https://www.youtube.com/watch?v=qO5QOIIL_ZE</v>
      </c>
      <c r="AO198" s="80" t="str">
        <f>REPLACE(INDEX(GroupVertices[Group],MATCH(Vertices[[#This Row],[Vertex]],GroupVertices[Vertex],0)),1,1,"")</f>
        <v>7</v>
      </c>
      <c r="AP198" s="48">
        <v>1</v>
      </c>
      <c r="AQ198" s="49">
        <v>4.3478260869565215</v>
      </c>
      <c r="AR198" s="48">
        <v>4</v>
      </c>
      <c r="AS198" s="49">
        <v>17.391304347826086</v>
      </c>
      <c r="AT198" s="48">
        <v>0</v>
      </c>
      <c r="AU198" s="49">
        <v>0</v>
      </c>
      <c r="AV198" s="48">
        <v>18</v>
      </c>
      <c r="AW198" s="49">
        <v>78.26086956521739</v>
      </c>
      <c r="AX198" s="48">
        <v>23</v>
      </c>
      <c r="AY198" s="48"/>
      <c r="AZ198" s="48"/>
      <c r="BA198" s="48"/>
      <c r="BB198" s="48"/>
      <c r="BC198" s="2"/>
      <c r="BD198" s="3"/>
      <c r="BE198" s="3"/>
      <c r="BF198" s="3"/>
      <c r="BG198" s="3"/>
    </row>
    <row r="199" spans="1:59" ht="15">
      <c r="A199" s="66" t="s">
        <v>517</v>
      </c>
      <c r="B199" s="67"/>
      <c r="C199" s="67"/>
      <c r="D199" s="68">
        <v>92.9397630956738</v>
      </c>
      <c r="E199" s="70"/>
      <c r="F199" s="96" t="str">
        <f>HYPERLINK("https://i.ytimg.com/vi/mLHnUjhzv9E/default.jpg")</f>
        <v>https://i.ytimg.com/vi/mLHnUjhzv9E/default.jpg</v>
      </c>
      <c r="G199" s="67"/>
      <c r="H199" s="71" t="s">
        <v>860</v>
      </c>
      <c r="I199" s="72"/>
      <c r="J199" s="72" t="s">
        <v>159</v>
      </c>
      <c r="K199" s="71" t="s">
        <v>860</v>
      </c>
      <c r="L199" s="75">
        <v>1250.75</v>
      </c>
      <c r="M199" s="76">
        <v>8847.341796875</v>
      </c>
      <c r="N199" s="76">
        <v>3019.92919921875</v>
      </c>
      <c r="O199" s="77"/>
      <c r="P199" s="78"/>
      <c r="Q199" s="78"/>
      <c r="R199" s="82"/>
      <c r="S199" s="48">
        <v>1</v>
      </c>
      <c r="T199" s="48">
        <v>0</v>
      </c>
      <c r="U199" s="49">
        <v>0</v>
      </c>
      <c r="V199" s="49">
        <v>0.000934</v>
      </c>
      <c r="W199" s="49">
        <v>0.002415</v>
      </c>
      <c r="X199" s="49">
        <v>0.403153</v>
      </c>
      <c r="Y199" s="49">
        <v>0</v>
      </c>
      <c r="Z199" s="49">
        <v>0</v>
      </c>
      <c r="AA199" s="73">
        <v>199</v>
      </c>
      <c r="AB199" s="73"/>
      <c r="AC199" s="74"/>
      <c r="AD199" s="80" t="s">
        <v>860</v>
      </c>
      <c r="AE199" s="80" t="s">
        <v>1188</v>
      </c>
      <c r="AF199" s="80" t="s">
        <v>1501</v>
      </c>
      <c r="AG199" s="80" t="s">
        <v>1691</v>
      </c>
      <c r="AH199" s="80" t="s">
        <v>1912</v>
      </c>
      <c r="AI199" s="80">
        <v>152133</v>
      </c>
      <c r="AJ199" s="80">
        <v>1534</v>
      </c>
      <c r="AK199" s="80">
        <v>2144</v>
      </c>
      <c r="AL199" s="80">
        <v>351</v>
      </c>
      <c r="AM199" s="80" t="s">
        <v>2047</v>
      </c>
      <c r="AN199" s="98" t="str">
        <f>HYPERLINK("https://www.youtube.com/watch?v=mLHnUjhzv9E")</f>
        <v>https://www.youtube.com/watch?v=mLHnUjhzv9E</v>
      </c>
      <c r="AO199" s="80" t="str">
        <f>REPLACE(INDEX(GroupVertices[Group],MATCH(Vertices[[#This Row],[Vertex]],GroupVertices[Vertex],0)),1,1,"")</f>
        <v>7</v>
      </c>
      <c r="AP199" s="48">
        <v>0</v>
      </c>
      <c r="AQ199" s="49">
        <v>0</v>
      </c>
      <c r="AR199" s="48">
        <v>4</v>
      </c>
      <c r="AS199" s="49">
        <v>6.896551724137931</v>
      </c>
      <c r="AT199" s="48">
        <v>0</v>
      </c>
      <c r="AU199" s="49">
        <v>0</v>
      </c>
      <c r="AV199" s="48">
        <v>54</v>
      </c>
      <c r="AW199" s="49">
        <v>93.10344827586206</v>
      </c>
      <c r="AX199" s="48">
        <v>58</v>
      </c>
      <c r="AY199" s="48"/>
      <c r="AZ199" s="48"/>
      <c r="BA199" s="48"/>
      <c r="BB199" s="48"/>
      <c r="BC199" s="2"/>
      <c r="BD199" s="3"/>
      <c r="BE199" s="3"/>
      <c r="BF199" s="3"/>
      <c r="BG199" s="3"/>
    </row>
    <row r="200" spans="1:59" ht="15">
      <c r="A200" s="66" t="s">
        <v>518</v>
      </c>
      <c r="B200" s="67"/>
      <c r="C200" s="67"/>
      <c r="D200" s="68">
        <v>80.20095621510774</v>
      </c>
      <c r="E200" s="70"/>
      <c r="F200" s="96" t="str">
        <f>HYPERLINK("https://i.ytimg.com/vi/ffwVNyrTSUQ/default.jpg")</f>
        <v>https://i.ytimg.com/vi/ffwVNyrTSUQ/default.jpg</v>
      </c>
      <c r="G200" s="67"/>
      <c r="H200" s="71" t="s">
        <v>861</v>
      </c>
      <c r="I200" s="72"/>
      <c r="J200" s="72" t="s">
        <v>159</v>
      </c>
      <c r="K200" s="71" t="s">
        <v>861</v>
      </c>
      <c r="L200" s="75">
        <v>1250.75</v>
      </c>
      <c r="M200" s="76">
        <v>8616.326171875</v>
      </c>
      <c r="N200" s="76">
        <v>5252.609375</v>
      </c>
      <c r="O200" s="77"/>
      <c r="P200" s="78"/>
      <c r="Q200" s="78"/>
      <c r="R200" s="82"/>
      <c r="S200" s="48">
        <v>1</v>
      </c>
      <c r="T200" s="48">
        <v>0</v>
      </c>
      <c r="U200" s="49">
        <v>0</v>
      </c>
      <c r="V200" s="49">
        <v>0.000934</v>
      </c>
      <c r="W200" s="49">
        <v>0.002415</v>
      </c>
      <c r="X200" s="49">
        <v>0.403153</v>
      </c>
      <c r="Y200" s="49">
        <v>0</v>
      </c>
      <c r="Z200" s="49">
        <v>0</v>
      </c>
      <c r="AA200" s="73">
        <v>200</v>
      </c>
      <c r="AB200" s="73"/>
      <c r="AC200" s="74"/>
      <c r="AD200" s="80" t="s">
        <v>861</v>
      </c>
      <c r="AE200" s="80" t="s">
        <v>1189</v>
      </c>
      <c r="AF200" s="80" t="s">
        <v>1502</v>
      </c>
      <c r="AG200" s="80" t="s">
        <v>1696</v>
      </c>
      <c r="AH200" s="80" t="s">
        <v>1913</v>
      </c>
      <c r="AI200" s="80">
        <v>9123</v>
      </c>
      <c r="AJ200" s="80">
        <v>205</v>
      </c>
      <c r="AK200" s="80">
        <v>176</v>
      </c>
      <c r="AL200" s="80">
        <v>26</v>
      </c>
      <c r="AM200" s="80" t="s">
        <v>2047</v>
      </c>
      <c r="AN200" s="98" t="str">
        <f>HYPERLINK("https://www.youtube.com/watch?v=ffwVNyrTSUQ")</f>
        <v>https://www.youtube.com/watch?v=ffwVNyrTSUQ</v>
      </c>
      <c r="AO200" s="80" t="str">
        <f>REPLACE(INDEX(GroupVertices[Group],MATCH(Vertices[[#This Row],[Vertex]],GroupVertices[Vertex],0)),1,1,"")</f>
        <v>7</v>
      </c>
      <c r="AP200" s="48">
        <v>0</v>
      </c>
      <c r="AQ200" s="49">
        <v>0</v>
      </c>
      <c r="AR200" s="48">
        <v>0</v>
      </c>
      <c r="AS200" s="49">
        <v>0</v>
      </c>
      <c r="AT200" s="48">
        <v>0</v>
      </c>
      <c r="AU200" s="49">
        <v>0</v>
      </c>
      <c r="AV200" s="48">
        <v>3</v>
      </c>
      <c r="AW200" s="49">
        <v>100</v>
      </c>
      <c r="AX200" s="48">
        <v>3</v>
      </c>
      <c r="AY200" s="48"/>
      <c r="AZ200" s="48"/>
      <c r="BA200" s="48"/>
      <c r="BB200" s="48"/>
      <c r="BC200" s="2"/>
      <c r="BD200" s="3"/>
      <c r="BE200" s="3"/>
      <c r="BF200" s="3"/>
      <c r="BG200" s="3"/>
    </row>
    <row r="201" spans="1:59" ht="15">
      <c r="A201" s="66" t="s">
        <v>519</v>
      </c>
      <c r="B201" s="67"/>
      <c r="C201" s="67"/>
      <c r="D201" s="68">
        <v>191.6306430343273</v>
      </c>
      <c r="E201" s="70"/>
      <c r="F201" s="96" t="str">
        <f>HYPERLINK("https://i.ytimg.com/vi/NaGndICPT8I/default.jpg")</f>
        <v>https://i.ytimg.com/vi/NaGndICPT8I/default.jpg</v>
      </c>
      <c r="G201" s="67"/>
      <c r="H201" s="71" t="s">
        <v>862</v>
      </c>
      <c r="I201" s="72"/>
      <c r="J201" s="72" t="s">
        <v>159</v>
      </c>
      <c r="K201" s="71" t="s">
        <v>862</v>
      </c>
      <c r="L201" s="75">
        <v>1250.75</v>
      </c>
      <c r="M201" s="76">
        <v>8041.3681640625</v>
      </c>
      <c r="N201" s="76">
        <v>5177.43310546875</v>
      </c>
      <c r="O201" s="77"/>
      <c r="P201" s="78"/>
      <c r="Q201" s="78"/>
      <c r="R201" s="82"/>
      <c r="S201" s="48">
        <v>1</v>
      </c>
      <c r="T201" s="48">
        <v>0</v>
      </c>
      <c r="U201" s="49">
        <v>0</v>
      </c>
      <c r="V201" s="49">
        <v>0.000934</v>
      </c>
      <c r="W201" s="49">
        <v>0.002415</v>
      </c>
      <c r="X201" s="49">
        <v>0.403153</v>
      </c>
      <c r="Y201" s="49">
        <v>0</v>
      </c>
      <c r="Z201" s="49">
        <v>0</v>
      </c>
      <c r="AA201" s="73">
        <v>201</v>
      </c>
      <c r="AB201" s="73"/>
      <c r="AC201" s="74"/>
      <c r="AD201" s="80" t="s">
        <v>862</v>
      </c>
      <c r="AE201" s="80" t="s">
        <v>1190</v>
      </c>
      <c r="AF201" s="80" t="s">
        <v>1503</v>
      </c>
      <c r="AG201" s="80" t="s">
        <v>1697</v>
      </c>
      <c r="AH201" s="80" t="s">
        <v>1914</v>
      </c>
      <c r="AI201" s="80">
        <v>1260069</v>
      </c>
      <c r="AJ201" s="80">
        <v>10117</v>
      </c>
      <c r="AK201" s="80">
        <v>25371</v>
      </c>
      <c r="AL201" s="80">
        <v>2303</v>
      </c>
      <c r="AM201" s="80" t="s">
        <v>2047</v>
      </c>
      <c r="AN201" s="98" t="str">
        <f>HYPERLINK("https://www.youtube.com/watch?v=NaGndICPT8I")</f>
        <v>https://www.youtube.com/watch?v=NaGndICPT8I</v>
      </c>
      <c r="AO201" s="80" t="str">
        <f>REPLACE(INDEX(GroupVertices[Group],MATCH(Vertices[[#This Row],[Vertex]],GroupVertices[Vertex],0)),1,1,"")</f>
        <v>7</v>
      </c>
      <c r="AP201" s="48">
        <v>0</v>
      </c>
      <c r="AQ201" s="49">
        <v>0</v>
      </c>
      <c r="AR201" s="48">
        <v>3</v>
      </c>
      <c r="AS201" s="49">
        <v>8.108108108108109</v>
      </c>
      <c r="AT201" s="48">
        <v>0</v>
      </c>
      <c r="AU201" s="49">
        <v>0</v>
      </c>
      <c r="AV201" s="48">
        <v>34</v>
      </c>
      <c r="AW201" s="49">
        <v>91.89189189189189</v>
      </c>
      <c r="AX201" s="48">
        <v>37</v>
      </c>
      <c r="AY201" s="48"/>
      <c r="AZ201" s="48"/>
      <c r="BA201" s="48"/>
      <c r="BB201" s="48"/>
      <c r="BC201" s="2"/>
      <c r="BD201" s="3"/>
      <c r="BE201" s="3"/>
      <c r="BF201" s="3"/>
      <c r="BG201" s="3"/>
    </row>
    <row r="202" spans="1:59" ht="15">
      <c r="A202" s="66" t="s">
        <v>520</v>
      </c>
      <c r="B202" s="67"/>
      <c r="C202" s="67"/>
      <c r="D202" s="68">
        <v>139.50477429799133</v>
      </c>
      <c r="E202" s="70"/>
      <c r="F202" s="96" t="str">
        <f>HYPERLINK("https://i.ytimg.com/vi/eMrFV2rnHlo/default.jpg")</f>
        <v>https://i.ytimg.com/vi/eMrFV2rnHlo/default.jpg</v>
      </c>
      <c r="G202" s="67"/>
      <c r="H202" s="71" t="s">
        <v>863</v>
      </c>
      <c r="I202" s="72"/>
      <c r="J202" s="72" t="s">
        <v>159</v>
      </c>
      <c r="K202" s="71" t="s">
        <v>863</v>
      </c>
      <c r="L202" s="75">
        <v>1250.75</v>
      </c>
      <c r="M202" s="76">
        <v>7987.54248046875</v>
      </c>
      <c r="N202" s="76">
        <v>5821.10400390625</v>
      </c>
      <c r="O202" s="77"/>
      <c r="P202" s="78"/>
      <c r="Q202" s="78"/>
      <c r="R202" s="82"/>
      <c r="S202" s="48">
        <v>1</v>
      </c>
      <c r="T202" s="48">
        <v>0</v>
      </c>
      <c r="U202" s="49">
        <v>0</v>
      </c>
      <c r="V202" s="49">
        <v>0.000934</v>
      </c>
      <c r="W202" s="49">
        <v>0.002415</v>
      </c>
      <c r="X202" s="49">
        <v>0.403153</v>
      </c>
      <c r="Y202" s="49">
        <v>0</v>
      </c>
      <c r="Z202" s="49">
        <v>0</v>
      </c>
      <c r="AA202" s="73">
        <v>202</v>
      </c>
      <c r="AB202" s="73"/>
      <c r="AC202" s="74"/>
      <c r="AD202" s="80" t="s">
        <v>863</v>
      </c>
      <c r="AE202" s="80" t="s">
        <v>1191</v>
      </c>
      <c r="AF202" s="80" t="s">
        <v>1504</v>
      </c>
      <c r="AG202" s="80" t="s">
        <v>1698</v>
      </c>
      <c r="AH202" s="80" t="s">
        <v>1915</v>
      </c>
      <c r="AI202" s="80">
        <v>674887</v>
      </c>
      <c r="AJ202" s="80">
        <v>9882</v>
      </c>
      <c r="AK202" s="80">
        <v>3893</v>
      </c>
      <c r="AL202" s="80">
        <v>1587</v>
      </c>
      <c r="AM202" s="80" t="s">
        <v>2047</v>
      </c>
      <c r="AN202" s="98" t="str">
        <f>HYPERLINK("https://www.youtube.com/watch?v=eMrFV2rnHlo")</f>
        <v>https://www.youtube.com/watch?v=eMrFV2rnHlo</v>
      </c>
      <c r="AO202" s="80" t="str">
        <f>REPLACE(INDEX(GroupVertices[Group],MATCH(Vertices[[#This Row],[Vertex]],GroupVertices[Vertex],0)),1,1,"")</f>
        <v>7</v>
      </c>
      <c r="AP202" s="48">
        <v>1</v>
      </c>
      <c r="AQ202" s="49">
        <v>1.7543859649122806</v>
      </c>
      <c r="AR202" s="48">
        <v>1</v>
      </c>
      <c r="AS202" s="49">
        <v>1.7543859649122806</v>
      </c>
      <c r="AT202" s="48">
        <v>0</v>
      </c>
      <c r="AU202" s="49">
        <v>0</v>
      </c>
      <c r="AV202" s="48">
        <v>55</v>
      </c>
      <c r="AW202" s="49">
        <v>96.49122807017544</v>
      </c>
      <c r="AX202" s="48">
        <v>57</v>
      </c>
      <c r="AY202" s="48"/>
      <c r="AZ202" s="48"/>
      <c r="BA202" s="48"/>
      <c r="BB202" s="48"/>
      <c r="BC202" s="2"/>
      <c r="BD202" s="3"/>
      <c r="BE202" s="3"/>
      <c r="BF202" s="3"/>
      <c r="BG202" s="3"/>
    </row>
    <row r="203" spans="1:59" ht="15">
      <c r="A203" s="66" t="s">
        <v>521</v>
      </c>
      <c r="B203" s="67"/>
      <c r="C203" s="67"/>
      <c r="D203" s="68">
        <v>84.05047917259702</v>
      </c>
      <c r="E203" s="70"/>
      <c r="F203" s="96" t="str">
        <f>HYPERLINK("https://i.ytimg.com/vi/XbCqMTZcJek/default.jpg")</f>
        <v>https://i.ytimg.com/vi/XbCqMTZcJek/default.jpg</v>
      </c>
      <c r="G203" s="67"/>
      <c r="H203" s="71" t="s">
        <v>864</v>
      </c>
      <c r="I203" s="72"/>
      <c r="J203" s="72" t="s">
        <v>159</v>
      </c>
      <c r="K203" s="71" t="s">
        <v>864</v>
      </c>
      <c r="L203" s="75">
        <v>1250.75</v>
      </c>
      <c r="M203" s="76">
        <v>9476.8466796875</v>
      </c>
      <c r="N203" s="76">
        <v>5529.45703125</v>
      </c>
      <c r="O203" s="77"/>
      <c r="P203" s="78"/>
      <c r="Q203" s="78"/>
      <c r="R203" s="82"/>
      <c r="S203" s="48">
        <v>1</v>
      </c>
      <c r="T203" s="48">
        <v>0</v>
      </c>
      <c r="U203" s="49">
        <v>0</v>
      </c>
      <c r="V203" s="49">
        <v>0.000934</v>
      </c>
      <c r="W203" s="49">
        <v>0.002415</v>
      </c>
      <c r="X203" s="49">
        <v>0.403153</v>
      </c>
      <c r="Y203" s="49">
        <v>0</v>
      </c>
      <c r="Z203" s="49">
        <v>0</v>
      </c>
      <c r="AA203" s="73">
        <v>203</v>
      </c>
      <c r="AB203" s="73"/>
      <c r="AC203" s="74"/>
      <c r="AD203" s="80" t="s">
        <v>864</v>
      </c>
      <c r="AE203" s="80" t="s">
        <v>1192</v>
      </c>
      <c r="AF203" s="80" t="s">
        <v>1505</v>
      </c>
      <c r="AG203" s="80" t="s">
        <v>1699</v>
      </c>
      <c r="AH203" s="80" t="s">
        <v>1916</v>
      </c>
      <c r="AI203" s="80">
        <v>52339</v>
      </c>
      <c r="AJ203" s="80">
        <v>413</v>
      </c>
      <c r="AK203" s="80">
        <v>2195</v>
      </c>
      <c r="AL203" s="80">
        <v>126</v>
      </c>
      <c r="AM203" s="80" t="s">
        <v>2047</v>
      </c>
      <c r="AN203" s="98" t="str">
        <f>HYPERLINK("https://www.youtube.com/watch?v=XbCqMTZcJek")</f>
        <v>https://www.youtube.com/watch?v=XbCqMTZcJek</v>
      </c>
      <c r="AO203" s="80" t="str">
        <f>REPLACE(INDEX(GroupVertices[Group],MATCH(Vertices[[#This Row],[Vertex]],GroupVertices[Vertex],0)),1,1,"")</f>
        <v>7</v>
      </c>
      <c r="AP203" s="48">
        <v>0</v>
      </c>
      <c r="AQ203" s="49">
        <v>0</v>
      </c>
      <c r="AR203" s="48">
        <v>5</v>
      </c>
      <c r="AS203" s="49">
        <v>11.627906976744185</v>
      </c>
      <c r="AT203" s="48">
        <v>0</v>
      </c>
      <c r="AU203" s="49">
        <v>0</v>
      </c>
      <c r="AV203" s="48">
        <v>38</v>
      </c>
      <c r="AW203" s="49">
        <v>88.37209302325581</v>
      </c>
      <c r="AX203" s="48">
        <v>43</v>
      </c>
      <c r="AY203" s="48"/>
      <c r="AZ203" s="48"/>
      <c r="BA203" s="48"/>
      <c r="BB203" s="48"/>
      <c r="BC203" s="2"/>
      <c r="BD203" s="3"/>
      <c r="BE203" s="3"/>
      <c r="BF203" s="3"/>
      <c r="BG203" s="3"/>
    </row>
    <row r="204" spans="1:59" ht="15">
      <c r="A204" s="66" t="s">
        <v>522</v>
      </c>
      <c r="B204" s="67"/>
      <c r="C204" s="67"/>
      <c r="D204" s="68">
        <v>83.02405254729275</v>
      </c>
      <c r="E204" s="70"/>
      <c r="F204" s="96" t="str">
        <f>HYPERLINK("https://i.ytimg.com/vi/Qqc_ExxEcEY/default.jpg")</f>
        <v>https://i.ytimg.com/vi/Qqc_ExxEcEY/default.jpg</v>
      </c>
      <c r="G204" s="67"/>
      <c r="H204" s="71" t="s">
        <v>865</v>
      </c>
      <c r="I204" s="72"/>
      <c r="J204" s="72" t="s">
        <v>159</v>
      </c>
      <c r="K204" s="71" t="s">
        <v>865</v>
      </c>
      <c r="L204" s="75">
        <v>1250.75</v>
      </c>
      <c r="M204" s="76">
        <v>9607.49609375</v>
      </c>
      <c r="N204" s="76">
        <v>3653.3330078125</v>
      </c>
      <c r="O204" s="77"/>
      <c r="P204" s="78"/>
      <c r="Q204" s="78"/>
      <c r="R204" s="82"/>
      <c r="S204" s="48">
        <v>1</v>
      </c>
      <c r="T204" s="48">
        <v>0</v>
      </c>
      <c r="U204" s="49">
        <v>0</v>
      </c>
      <c r="V204" s="49">
        <v>0.000934</v>
      </c>
      <c r="W204" s="49">
        <v>0.002415</v>
      </c>
      <c r="X204" s="49">
        <v>0.403153</v>
      </c>
      <c r="Y204" s="49">
        <v>0</v>
      </c>
      <c r="Z204" s="49">
        <v>0</v>
      </c>
      <c r="AA204" s="73">
        <v>204</v>
      </c>
      <c r="AB204" s="73"/>
      <c r="AC204" s="74"/>
      <c r="AD204" s="80" t="s">
        <v>865</v>
      </c>
      <c r="AE204" s="80" t="s">
        <v>1193</v>
      </c>
      <c r="AF204" s="80" t="s">
        <v>1506</v>
      </c>
      <c r="AG204" s="80" t="s">
        <v>1682</v>
      </c>
      <c r="AH204" s="80" t="s">
        <v>1917</v>
      </c>
      <c r="AI204" s="80">
        <v>40816</v>
      </c>
      <c r="AJ204" s="80">
        <v>0</v>
      </c>
      <c r="AK204" s="80">
        <v>145</v>
      </c>
      <c r="AL204" s="80">
        <v>112</v>
      </c>
      <c r="AM204" s="80" t="s">
        <v>2047</v>
      </c>
      <c r="AN204" s="98" t="str">
        <f>HYPERLINK("https://www.youtube.com/watch?v=Qqc_ExxEcEY")</f>
        <v>https://www.youtube.com/watch?v=Qqc_ExxEcEY</v>
      </c>
      <c r="AO204" s="80" t="str">
        <f>REPLACE(INDEX(GroupVertices[Group],MATCH(Vertices[[#This Row],[Vertex]],GroupVertices[Vertex],0)),1,1,"")</f>
        <v>7</v>
      </c>
      <c r="AP204" s="48">
        <v>0</v>
      </c>
      <c r="AQ204" s="49">
        <v>0</v>
      </c>
      <c r="AR204" s="48">
        <v>1</v>
      </c>
      <c r="AS204" s="49">
        <v>5.2631578947368425</v>
      </c>
      <c r="AT204" s="48">
        <v>0</v>
      </c>
      <c r="AU204" s="49">
        <v>0</v>
      </c>
      <c r="AV204" s="48">
        <v>18</v>
      </c>
      <c r="AW204" s="49">
        <v>94.73684210526316</v>
      </c>
      <c r="AX204" s="48">
        <v>19</v>
      </c>
      <c r="AY204" s="48"/>
      <c r="AZ204" s="48"/>
      <c r="BA204" s="48"/>
      <c r="BB204" s="48"/>
      <c r="BC204" s="2"/>
      <c r="BD204" s="3"/>
      <c r="BE204" s="3"/>
      <c r="BF204" s="3"/>
      <c r="BG204" s="3"/>
    </row>
    <row r="205" spans="1:59" ht="15">
      <c r="A205" s="66" t="s">
        <v>523</v>
      </c>
      <c r="B205" s="67"/>
      <c r="C205" s="67"/>
      <c r="D205" s="68">
        <v>209.00658583957352</v>
      </c>
      <c r="E205" s="70"/>
      <c r="F205" s="96" t="str">
        <f>HYPERLINK("https://i.ytimg.com/vi/xNS6XpLhX2c/default.jpg")</f>
        <v>https://i.ytimg.com/vi/xNS6XpLhX2c/default.jpg</v>
      </c>
      <c r="G205" s="67"/>
      <c r="H205" s="71" t="s">
        <v>866</v>
      </c>
      <c r="I205" s="72"/>
      <c r="J205" s="72" t="s">
        <v>159</v>
      </c>
      <c r="K205" s="71" t="s">
        <v>866</v>
      </c>
      <c r="L205" s="75">
        <v>1250.75</v>
      </c>
      <c r="M205" s="76">
        <v>7230.04638671875</v>
      </c>
      <c r="N205" s="76">
        <v>4340.86328125</v>
      </c>
      <c r="O205" s="77"/>
      <c r="P205" s="78"/>
      <c r="Q205" s="78"/>
      <c r="R205" s="82"/>
      <c r="S205" s="48">
        <v>1</v>
      </c>
      <c r="T205" s="48">
        <v>0</v>
      </c>
      <c r="U205" s="49">
        <v>0</v>
      </c>
      <c r="V205" s="49">
        <v>0.000934</v>
      </c>
      <c r="W205" s="49">
        <v>0.002415</v>
      </c>
      <c r="X205" s="49">
        <v>0.403153</v>
      </c>
      <c r="Y205" s="49">
        <v>0</v>
      </c>
      <c r="Z205" s="49">
        <v>0</v>
      </c>
      <c r="AA205" s="73">
        <v>205</v>
      </c>
      <c r="AB205" s="73"/>
      <c r="AC205" s="74"/>
      <c r="AD205" s="80" t="s">
        <v>866</v>
      </c>
      <c r="AE205" s="80" t="s">
        <v>1194</v>
      </c>
      <c r="AF205" s="80" t="s">
        <v>1507</v>
      </c>
      <c r="AG205" s="80" t="s">
        <v>1700</v>
      </c>
      <c r="AH205" s="80" t="s">
        <v>1918</v>
      </c>
      <c r="AI205" s="80">
        <v>1455137</v>
      </c>
      <c r="AJ205" s="80">
        <v>721</v>
      </c>
      <c r="AK205" s="80">
        <v>6294</v>
      </c>
      <c r="AL205" s="80">
        <v>436</v>
      </c>
      <c r="AM205" s="80" t="s">
        <v>2047</v>
      </c>
      <c r="AN205" s="98" t="str">
        <f>HYPERLINK("https://www.youtube.com/watch?v=xNS6XpLhX2c")</f>
        <v>https://www.youtube.com/watch?v=xNS6XpLhX2c</v>
      </c>
      <c r="AO205" s="80" t="str">
        <f>REPLACE(INDEX(GroupVertices[Group],MATCH(Vertices[[#This Row],[Vertex]],GroupVertices[Vertex],0)),1,1,"")</f>
        <v>7</v>
      </c>
      <c r="AP205" s="48">
        <v>0</v>
      </c>
      <c r="AQ205" s="49">
        <v>0</v>
      </c>
      <c r="AR205" s="48">
        <v>0</v>
      </c>
      <c r="AS205" s="49">
        <v>0</v>
      </c>
      <c r="AT205" s="48">
        <v>0</v>
      </c>
      <c r="AU205" s="49">
        <v>0</v>
      </c>
      <c r="AV205" s="48">
        <v>17</v>
      </c>
      <c r="AW205" s="49">
        <v>100</v>
      </c>
      <c r="AX205" s="48">
        <v>17</v>
      </c>
      <c r="AY205" s="48"/>
      <c r="AZ205" s="48"/>
      <c r="BA205" s="48"/>
      <c r="BB205" s="48"/>
      <c r="BC205" s="2"/>
      <c r="BD205" s="3"/>
      <c r="BE205" s="3"/>
      <c r="BF205" s="3"/>
      <c r="BG205" s="3"/>
    </row>
    <row r="206" spans="1:59" ht="15">
      <c r="A206" s="66" t="s">
        <v>524</v>
      </c>
      <c r="B206" s="67"/>
      <c r="C206" s="67"/>
      <c r="D206" s="68">
        <v>83.47887632137967</v>
      </c>
      <c r="E206" s="70"/>
      <c r="F206" s="96" t="str">
        <f>HYPERLINK("https://i.ytimg.com/vi/tCyvptNFzHQ/default.jpg")</f>
        <v>https://i.ytimg.com/vi/tCyvptNFzHQ/default.jpg</v>
      </c>
      <c r="G206" s="67"/>
      <c r="H206" s="71" t="s">
        <v>867</v>
      </c>
      <c r="I206" s="72"/>
      <c r="J206" s="72" t="s">
        <v>75</v>
      </c>
      <c r="K206" s="71" t="s">
        <v>867</v>
      </c>
      <c r="L206" s="75">
        <v>2500.5</v>
      </c>
      <c r="M206" s="76">
        <v>9436.03515625</v>
      </c>
      <c r="N206" s="76">
        <v>4500.78515625</v>
      </c>
      <c r="O206" s="77"/>
      <c r="P206" s="78"/>
      <c r="Q206" s="78"/>
      <c r="R206" s="82"/>
      <c r="S206" s="48">
        <v>2</v>
      </c>
      <c r="T206" s="48">
        <v>0</v>
      </c>
      <c r="U206" s="49">
        <v>0</v>
      </c>
      <c r="V206" s="49">
        <v>0.000957</v>
      </c>
      <c r="W206" s="49">
        <v>0.004892</v>
      </c>
      <c r="X206" s="49">
        <v>0.650094</v>
      </c>
      <c r="Y206" s="49">
        <v>1</v>
      </c>
      <c r="Z206" s="49">
        <v>0</v>
      </c>
      <c r="AA206" s="73">
        <v>206</v>
      </c>
      <c r="AB206" s="73"/>
      <c r="AC206" s="74"/>
      <c r="AD206" s="80" t="s">
        <v>867</v>
      </c>
      <c r="AE206" s="80" t="s">
        <v>1195</v>
      </c>
      <c r="AF206" s="80" t="s">
        <v>1508</v>
      </c>
      <c r="AG206" s="80" t="s">
        <v>1701</v>
      </c>
      <c r="AH206" s="80" t="s">
        <v>1919</v>
      </c>
      <c r="AI206" s="80">
        <v>45922</v>
      </c>
      <c r="AJ206" s="80">
        <v>2296</v>
      </c>
      <c r="AK206" s="80">
        <v>1101</v>
      </c>
      <c r="AL206" s="80">
        <v>288</v>
      </c>
      <c r="AM206" s="80" t="s">
        <v>2047</v>
      </c>
      <c r="AN206" s="98" t="str">
        <f>HYPERLINK("https://www.youtube.com/watch?v=tCyvptNFzHQ")</f>
        <v>https://www.youtube.com/watch?v=tCyvptNFzHQ</v>
      </c>
      <c r="AO206" s="80" t="str">
        <f>REPLACE(INDEX(GroupVertices[Group],MATCH(Vertices[[#This Row],[Vertex]],GroupVertices[Vertex],0)),1,1,"")</f>
        <v>7</v>
      </c>
      <c r="AP206" s="48">
        <v>0</v>
      </c>
      <c r="AQ206" s="49">
        <v>0</v>
      </c>
      <c r="AR206" s="48">
        <v>0</v>
      </c>
      <c r="AS206" s="49">
        <v>0</v>
      </c>
      <c r="AT206" s="48">
        <v>0</v>
      </c>
      <c r="AU206" s="49">
        <v>0</v>
      </c>
      <c r="AV206" s="48">
        <v>8</v>
      </c>
      <c r="AW206" s="49">
        <v>100</v>
      </c>
      <c r="AX206" s="48">
        <v>8</v>
      </c>
      <c r="AY206" s="48"/>
      <c r="AZ206" s="48"/>
      <c r="BA206" s="48"/>
      <c r="BB206" s="48"/>
      <c r="BC206" s="2"/>
      <c r="BD206" s="3"/>
      <c r="BE206" s="3"/>
      <c r="BF206" s="3"/>
      <c r="BG206" s="3"/>
    </row>
    <row r="207" spans="1:59" ht="15">
      <c r="A207" s="66" t="s">
        <v>525</v>
      </c>
      <c r="B207" s="67"/>
      <c r="C207" s="67"/>
      <c r="D207" s="68">
        <v>112.62759313802378</v>
      </c>
      <c r="E207" s="70"/>
      <c r="F207" s="96" t="str">
        <f>HYPERLINK("https://i.ytimg.com/vi/CTj_xoCuhPU/default.jpg")</f>
        <v>https://i.ytimg.com/vi/CTj_xoCuhPU/default.jpg</v>
      </c>
      <c r="G207" s="67"/>
      <c r="H207" s="71" t="s">
        <v>868</v>
      </c>
      <c r="I207" s="72"/>
      <c r="J207" s="72" t="s">
        <v>75</v>
      </c>
      <c r="K207" s="71" t="s">
        <v>868</v>
      </c>
      <c r="L207" s="75">
        <v>5000</v>
      </c>
      <c r="M207" s="76">
        <v>9880.6689453125</v>
      </c>
      <c r="N207" s="76">
        <v>1517.627685546875</v>
      </c>
      <c r="O207" s="77"/>
      <c r="P207" s="78"/>
      <c r="Q207" s="78"/>
      <c r="R207" s="82"/>
      <c r="S207" s="48">
        <v>4</v>
      </c>
      <c r="T207" s="48">
        <v>0</v>
      </c>
      <c r="U207" s="49">
        <v>0</v>
      </c>
      <c r="V207" s="49">
        <v>0.00112</v>
      </c>
      <c r="W207" s="49">
        <v>0.009432</v>
      </c>
      <c r="X207" s="49">
        <v>1.194935</v>
      </c>
      <c r="Y207" s="49">
        <v>0.6666666666666666</v>
      </c>
      <c r="Z207" s="49">
        <v>0</v>
      </c>
      <c r="AA207" s="73">
        <v>207</v>
      </c>
      <c r="AB207" s="73"/>
      <c r="AC207" s="74"/>
      <c r="AD207" s="80" t="s">
        <v>868</v>
      </c>
      <c r="AE207" s="80" t="s">
        <v>1196</v>
      </c>
      <c r="AF207" s="80" t="s">
        <v>1509</v>
      </c>
      <c r="AG207" s="80" t="s">
        <v>1637</v>
      </c>
      <c r="AH207" s="80" t="s">
        <v>1920</v>
      </c>
      <c r="AI207" s="80">
        <v>373155</v>
      </c>
      <c r="AJ207" s="80">
        <v>4619</v>
      </c>
      <c r="AK207" s="80">
        <v>7748</v>
      </c>
      <c r="AL207" s="80">
        <v>3003</v>
      </c>
      <c r="AM207" s="80" t="s">
        <v>2047</v>
      </c>
      <c r="AN207" s="98" t="str">
        <f>HYPERLINK("https://www.youtube.com/watch?v=CTj_xoCuhPU")</f>
        <v>https://www.youtube.com/watch?v=CTj_xoCuhPU</v>
      </c>
      <c r="AO207" s="80" t="str">
        <f>REPLACE(INDEX(GroupVertices[Group],MATCH(Vertices[[#This Row],[Vertex]],GroupVertices[Vertex],0)),1,1,"")</f>
        <v>8</v>
      </c>
      <c r="AP207" s="48">
        <v>0</v>
      </c>
      <c r="AQ207" s="49">
        <v>0</v>
      </c>
      <c r="AR207" s="48">
        <v>0</v>
      </c>
      <c r="AS207" s="49">
        <v>0</v>
      </c>
      <c r="AT207" s="48">
        <v>0</v>
      </c>
      <c r="AU207" s="49">
        <v>0</v>
      </c>
      <c r="AV207" s="48">
        <v>11</v>
      </c>
      <c r="AW207" s="49">
        <v>100</v>
      </c>
      <c r="AX207" s="48">
        <v>11</v>
      </c>
      <c r="AY207" s="48"/>
      <c r="AZ207" s="48"/>
      <c r="BA207" s="48"/>
      <c r="BB207" s="48"/>
      <c r="BC207" s="2"/>
      <c r="BD207" s="3"/>
      <c r="BE207" s="3"/>
      <c r="BF207" s="3"/>
      <c r="BG207" s="3"/>
    </row>
    <row r="208" spans="1:59" ht="15">
      <c r="A208" s="66" t="s">
        <v>526</v>
      </c>
      <c r="B208" s="67"/>
      <c r="C208" s="67"/>
      <c r="D208" s="68">
        <v>151.48643231844403</v>
      </c>
      <c r="E208" s="70"/>
      <c r="F208" s="96" t="str">
        <f>HYPERLINK("https://i.ytimg.com/vi/FJ7iPn39i08/default.jpg")</f>
        <v>https://i.ytimg.com/vi/FJ7iPn39i08/default.jpg</v>
      </c>
      <c r="G208" s="67"/>
      <c r="H208" s="71" t="s">
        <v>869</v>
      </c>
      <c r="I208" s="72"/>
      <c r="J208" s="72" t="s">
        <v>75</v>
      </c>
      <c r="K208" s="71" t="s">
        <v>869</v>
      </c>
      <c r="L208" s="75">
        <v>5000</v>
      </c>
      <c r="M208" s="76">
        <v>2054.685546875</v>
      </c>
      <c r="N208" s="76">
        <v>8288.787109375</v>
      </c>
      <c r="O208" s="77"/>
      <c r="P208" s="78"/>
      <c r="Q208" s="78"/>
      <c r="R208" s="82"/>
      <c r="S208" s="48">
        <v>4</v>
      </c>
      <c r="T208" s="48">
        <v>0</v>
      </c>
      <c r="U208" s="49">
        <v>0</v>
      </c>
      <c r="V208" s="49">
        <v>0.001099</v>
      </c>
      <c r="W208" s="49">
        <v>0.009769</v>
      </c>
      <c r="X208" s="49">
        <v>1.156771</v>
      </c>
      <c r="Y208" s="49">
        <v>0.6666666666666666</v>
      </c>
      <c r="Z208" s="49">
        <v>0</v>
      </c>
      <c r="AA208" s="73">
        <v>208</v>
      </c>
      <c r="AB208" s="73"/>
      <c r="AC208" s="74"/>
      <c r="AD208" s="80" t="s">
        <v>869</v>
      </c>
      <c r="AE208" s="80" t="s">
        <v>1197</v>
      </c>
      <c r="AF208" s="80" t="s">
        <v>1510</v>
      </c>
      <c r="AG208" s="80" t="s">
        <v>1702</v>
      </c>
      <c r="AH208" s="80" t="s">
        <v>1921</v>
      </c>
      <c r="AI208" s="80">
        <v>809397</v>
      </c>
      <c r="AJ208" s="80">
        <v>4995</v>
      </c>
      <c r="AK208" s="80">
        <v>8661</v>
      </c>
      <c r="AL208" s="80">
        <v>1100</v>
      </c>
      <c r="AM208" s="80" t="s">
        <v>2047</v>
      </c>
      <c r="AN208" s="98" t="str">
        <f>HYPERLINK("https://www.youtube.com/watch?v=FJ7iPn39i08")</f>
        <v>https://www.youtube.com/watch?v=FJ7iPn39i08</v>
      </c>
      <c r="AO208" s="80" t="str">
        <f>REPLACE(INDEX(GroupVertices[Group],MATCH(Vertices[[#This Row],[Vertex]],GroupVertices[Vertex],0)),1,1,"")</f>
        <v>1</v>
      </c>
      <c r="AP208" s="48">
        <v>0</v>
      </c>
      <c r="AQ208" s="49">
        <v>0</v>
      </c>
      <c r="AR208" s="48">
        <v>1</v>
      </c>
      <c r="AS208" s="49">
        <v>1.9607843137254901</v>
      </c>
      <c r="AT208" s="48">
        <v>0</v>
      </c>
      <c r="AU208" s="49">
        <v>0</v>
      </c>
      <c r="AV208" s="48">
        <v>50</v>
      </c>
      <c r="AW208" s="49">
        <v>98.03921568627452</v>
      </c>
      <c r="AX208" s="48">
        <v>51</v>
      </c>
      <c r="AY208" s="48"/>
      <c r="AZ208" s="48"/>
      <c r="BA208" s="48"/>
      <c r="BB208" s="48"/>
      <c r="BC208" s="2"/>
      <c r="BD208" s="3"/>
      <c r="BE208" s="3"/>
      <c r="BF208" s="3"/>
      <c r="BG208" s="3"/>
    </row>
    <row r="209" spans="1:59" ht="15">
      <c r="A209" s="66" t="s">
        <v>527</v>
      </c>
      <c r="B209" s="67"/>
      <c r="C209" s="67"/>
      <c r="D209" s="68">
        <v>226.77793850247187</v>
      </c>
      <c r="E209" s="70"/>
      <c r="F209" s="96" t="str">
        <f>HYPERLINK("https://i.ytimg.com/vi/rb7TVW77ZCs/default.jpg")</f>
        <v>https://i.ytimg.com/vi/rb7TVW77ZCs/default.jpg</v>
      </c>
      <c r="G209" s="67"/>
      <c r="H209" s="71" t="s">
        <v>870</v>
      </c>
      <c r="I209" s="72"/>
      <c r="J209" s="72" t="s">
        <v>75</v>
      </c>
      <c r="K209" s="71" t="s">
        <v>870</v>
      </c>
      <c r="L209" s="75">
        <v>3750.25</v>
      </c>
      <c r="M209" s="76">
        <v>9321.244140625</v>
      </c>
      <c r="N209" s="76">
        <v>3296.22216796875</v>
      </c>
      <c r="O209" s="77"/>
      <c r="P209" s="78"/>
      <c r="Q209" s="78"/>
      <c r="R209" s="82"/>
      <c r="S209" s="48">
        <v>3</v>
      </c>
      <c r="T209" s="48">
        <v>0</v>
      </c>
      <c r="U209" s="49">
        <v>0</v>
      </c>
      <c r="V209" s="49">
        <v>0.001029</v>
      </c>
      <c r="W209" s="49">
        <v>0.006885</v>
      </c>
      <c r="X209" s="49">
        <v>0.943832</v>
      </c>
      <c r="Y209" s="49">
        <v>0.6666666666666666</v>
      </c>
      <c r="Z209" s="49">
        <v>0</v>
      </c>
      <c r="AA209" s="73">
        <v>209</v>
      </c>
      <c r="AB209" s="73"/>
      <c r="AC209" s="74"/>
      <c r="AD209" s="80" t="s">
        <v>870</v>
      </c>
      <c r="AE209" s="80" t="s">
        <v>1198</v>
      </c>
      <c r="AF209" s="80" t="s">
        <v>1511</v>
      </c>
      <c r="AG209" s="80" t="s">
        <v>1659</v>
      </c>
      <c r="AH209" s="80" t="s">
        <v>1922</v>
      </c>
      <c r="AI209" s="80">
        <v>1654644</v>
      </c>
      <c r="AJ209" s="80">
        <v>3538</v>
      </c>
      <c r="AK209" s="80">
        <v>21402</v>
      </c>
      <c r="AL209" s="80">
        <v>843</v>
      </c>
      <c r="AM209" s="80" t="s">
        <v>2047</v>
      </c>
      <c r="AN209" s="98" t="str">
        <f>HYPERLINK("https://www.youtube.com/watch?v=rb7TVW77ZCs")</f>
        <v>https://www.youtube.com/watch?v=rb7TVW77ZCs</v>
      </c>
      <c r="AO209" s="80" t="str">
        <f>REPLACE(INDEX(GroupVertices[Group],MATCH(Vertices[[#This Row],[Vertex]],GroupVertices[Vertex],0)),1,1,"")</f>
        <v>7</v>
      </c>
      <c r="AP209" s="48">
        <v>1</v>
      </c>
      <c r="AQ209" s="49">
        <v>2.857142857142857</v>
      </c>
      <c r="AR209" s="48">
        <v>1</v>
      </c>
      <c r="AS209" s="49">
        <v>2.857142857142857</v>
      </c>
      <c r="AT209" s="48">
        <v>0</v>
      </c>
      <c r="AU209" s="49">
        <v>0</v>
      </c>
      <c r="AV209" s="48">
        <v>33</v>
      </c>
      <c r="AW209" s="49">
        <v>94.28571428571429</v>
      </c>
      <c r="AX209" s="48">
        <v>35</v>
      </c>
      <c r="AY209" s="48"/>
      <c r="AZ209" s="48"/>
      <c r="BA209" s="48"/>
      <c r="BB209" s="48"/>
      <c r="BC209" s="2"/>
      <c r="BD209" s="3"/>
      <c r="BE209" s="3"/>
      <c r="BF209" s="3"/>
      <c r="BG209" s="3"/>
    </row>
    <row r="210" spans="1:59" ht="15">
      <c r="A210" s="66" t="s">
        <v>528</v>
      </c>
      <c r="B210" s="67"/>
      <c r="C210" s="67"/>
      <c r="D210" s="68">
        <v>84.48570615265747</v>
      </c>
      <c r="E210" s="70"/>
      <c r="F210" s="96" t="str">
        <f>HYPERLINK("https://i.ytimg.com/vi/sMuo_pox7p0/default.jpg")</f>
        <v>https://i.ytimg.com/vi/sMuo_pox7p0/default.jpg</v>
      </c>
      <c r="G210" s="67"/>
      <c r="H210" s="71" t="s">
        <v>871</v>
      </c>
      <c r="I210" s="72"/>
      <c r="J210" s="72" t="s">
        <v>75</v>
      </c>
      <c r="K210" s="71" t="s">
        <v>871</v>
      </c>
      <c r="L210" s="75">
        <v>2500.5</v>
      </c>
      <c r="M210" s="76">
        <v>7230.04638671875</v>
      </c>
      <c r="N210" s="76">
        <v>1651.94189453125</v>
      </c>
      <c r="O210" s="77"/>
      <c r="P210" s="78"/>
      <c r="Q210" s="78"/>
      <c r="R210" s="82"/>
      <c r="S210" s="48">
        <v>2</v>
      </c>
      <c r="T210" s="48">
        <v>0</v>
      </c>
      <c r="U210" s="49">
        <v>0</v>
      </c>
      <c r="V210" s="49">
        <v>0.001045</v>
      </c>
      <c r="W210" s="49">
        <v>0.005025</v>
      </c>
      <c r="X210" s="49">
        <v>0.648044</v>
      </c>
      <c r="Y210" s="49">
        <v>0.5</v>
      </c>
      <c r="Z210" s="49">
        <v>0</v>
      </c>
      <c r="AA210" s="73">
        <v>210</v>
      </c>
      <c r="AB210" s="73"/>
      <c r="AC210" s="74"/>
      <c r="AD210" s="80" t="s">
        <v>871</v>
      </c>
      <c r="AE210" s="80" t="s">
        <v>1199</v>
      </c>
      <c r="AF210" s="80" t="s">
        <v>1512</v>
      </c>
      <c r="AG210" s="80" t="s">
        <v>1636</v>
      </c>
      <c r="AH210" s="80" t="s">
        <v>1923</v>
      </c>
      <c r="AI210" s="80">
        <v>57225</v>
      </c>
      <c r="AJ210" s="80">
        <v>1723</v>
      </c>
      <c r="AK210" s="80">
        <v>1339</v>
      </c>
      <c r="AL210" s="80">
        <v>74</v>
      </c>
      <c r="AM210" s="80" t="s">
        <v>2047</v>
      </c>
      <c r="AN210" s="98" t="str">
        <f>HYPERLINK("https://www.youtube.com/watch?v=sMuo_pox7p0")</f>
        <v>https://www.youtube.com/watch?v=sMuo_pox7p0</v>
      </c>
      <c r="AO210" s="80" t="str">
        <f>REPLACE(INDEX(GroupVertices[Group],MATCH(Vertices[[#This Row],[Vertex]],GroupVertices[Vertex],0)),1,1,"")</f>
        <v>8</v>
      </c>
      <c r="AP210" s="48">
        <v>0</v>
      </c>
      <c r="AQ210" s="49">
        <v>0</v>
      </c>
      <c r="AR210" s="48">
        <v>1</v>
      </c>
      <c r="AS210" s="49">
        <v>6.25</v>
      </c>
      <c r="AT210" s="48">
        <v>0</v>
      </c>
      <c r="AU210" s="49">
        <v>0</v>
      </c>
      <c r="AV210" s="48">
        <v>15</v>
      </c>
      <c r="AW210" s="49">
        <v>93.75</v>
      </c>
      <c r="AX210" s="48">
        <v>16</v>
      </c>
      <c r="AY210" s="48"/>
      <c r="AZ210" s="48"/>
      <c r="BA210" s="48"/>
      <c r="BB210" s="48"/>
      <c r="BC210" s="2"/>
      <c r="BD210" s="3"/>
      <c r="BE210" s="3"/>
      <c r="BF210" s="3"/>
      <c r="BG210" s="3"/>
    </row>
    <row r="211" spans="1:59" ht="15">
      <c r="A211" s="66" t="s">
        <v>529</v>
      </c>
      <c r="B211" s="67"/>
      <c r="C211" s="67"/>
      <c r="D211" s="68">
        <v>375.65522810319686</v>
      </c>
      <c r="E211" s="70"/>
      <c r="F211" s="96" t="str">
        <f>HYPERLINK("https://i.ytimg.com/vi/n9Xn6WCj0K8/default.jpg")</f>
        <v>https://i.ytimg.com/vi/n9Xn6WCj0K8/default.jpg</v>
      </c>
      <c r="G211" s="67"/>
      <c r="H211" s="71" t="s">
        <v>872</v>
      </c>
      <c r="I211" s="72"/>
      <c r="J211" s="72" t="s">
        <v>75</v>
      </c>
      <c r="K211" s="71" t="s">
        <v>872</v>
      </c>
      <c r="L211" s="75">
        <v>3750.25</v>
      </c>
      <c r="M211" s="76">
        <v>1808.39404296875</v>
      </c>
      <c r="N211" s="76">
        <v>5272.90625</v>
      </c>
      <c r="O211" s="77"/>
      <c r="P211" s="78"/>
      <c r="Q211" s="78"/>
      <c r="R211" s="82"/>
      <c r="S211" s="48">
        <v>3</v>
      </c>
      <c r="T211" s="48">
        <v>0</v>
      </c>
      <c r="U211" s="49">
        <v>0</v>
      </c>
      <c r="V211" s="49">
        <v>0.00107</v>
      </c>
      <c r="W211" s="49">
        <v>0.007354</v>
      </c>
      <c r="X211" s="49">
        <v>0.903618</v>
      </c>
      <c r="Y211" s="49">
        <v>0.6666666666666666</v>
      </c>
      <c r="Z211" s="49">
        <v>0</v>
      </c>
      <c r="AA211" s="73">
        <v>211</v>
      </c>
      <c r="AB211" s="73"/>
      <c r="AC211" s="74"/>
      <c r="AD211" s="80" t="s">
        <v>872</v>
      </c>
      <c r="AE211" s="80" t="s">
        <v>1200</v>
      </c>
      <c r="AF211" s="80" t="s">
        <v>1513</v>
      </c>
      <c r="AG211" s="80" t="s">
        <v>1690</v>
      </c>
      <c r="AH211" s="80" t="s">
        <v>1924</v>
      </c>
      <c r="AI211" s="80">
        <v>3325989</v>
      </c>
      <c r="AJ211" s="80">
        <v>13398</v>
      </c>
      <c r="AK211" s="80">
        <v>114941</v>
      </c>
      <c r="AL211" s="80">
        <v>2553</v>
      </c>
      <c r="AM211" s="80" t="s">
        <v>2047</v>
      </c>
      <c r="AN211" s="98" t="str">
        <f>HYPERLINK("https://www.youtube.com/watch?v=n9Xn6WCj0K8")</f>
        <v>https://www.youtube.com/watch?v=n9Xn6WCj0K8</v>
      </c>
      <c r="AO211" s="80" t="str">
        <f>REPLACE(INDEX(GroupVertices[Group],MATCH(Vertices[[#This Row],[Vertex]],GroupVertices[Vertex],0)),1,1,"")</f>
        <v>1</v>
      </c>
      <c r="AP211" s="48">
        <v>2</v>
      </c>
      <c r="AQ211" s="49">
        <v>3.225806451612903</v>
      </c>
      <c r="AR211" s="48">
        <v>0</v>
      </c>
      <c r="AS211" s="49">
        <v>0</v>
      </c>
      <c r="AT211" s="48">
        <v>0</v>
      </c>
      <c r="AU211" s="49">
        <v>0</v>
      </c>
      <c r="AV211" s="48">
        <v>60</v>
      </c>
      <c r="AW211" s="49">
        <v>96.7741935483871</v>
      </c>
      <c r="AX211" s="48">
        <v>62</v>
      </c>
      <c r="AY211" s="48"/>
      <c r="AZ211" s="48"/>
      <c r="BA211" s="48"/>
      <c r="BB211" s="48"/>
      <c r="BC211" s="2"/>
      <c r="BD211" s="3"/>
      <c r="BE211" s="3"/>
      <c r="BF211" s="3"/>
      <c r="BG211" s="3"/>
    </row>
    <row r="212" spans="1:59" ht="15">
      <c r="A212" s="66" t="s">
        <v>530</v>
      </c>
      <c r="B212" s="67"/>
      <c r="C212" s="67"/>
      <c r="D212" s="68">
        <v>139.03462939402917</v>
      </c>
      <c r="E212" s="70"/>
      <c r="F212" s="96" t="str">
        <f>HYPERLINK("https://i.ytimg.com/vi/GzvfpyyZO9o/default.jpg")</f>
        <v>https://i.ytimg.com/vi/GzvfpyyZO9o/default.jpg</v>
      </c>
      <c r="G212" s="67"/>
      <c r="H212" s="71" t="s">
        <v>873</v>
      </c>
      <c r="I212" s="72"/>
      <c r="J212" s="72" t="s">
        <v>75</v>
      </c>
      <c r="K212" s="71" t="s">
        <v>873</v>
      </c>
      <c r="L212" s="75">
        <v>3750.25</v>
      </c>
      <c r="M212" s="76">
        <v>7971.2314453125</v>
      </c>
      <c r="N212" s="76">
        <v>282.9984130859375</v>
      </c>
      <c r="O212" s="77"/>
      <c r="P212" s="78"/>
      <c r="Q212" s="78"/>
      <c r="R212" s="82"/>
      <c r="S212" s="48">
        <v>3</v>
      </c>
      <c r="T212" s="48">
        <v>0</v>
      </c>
      <c r="U212" s="49">
        <v>0</v>
      </c>
      <c r="V212" s="49">
        <v>0.001073</v>
      </c>
      <c r="W212" s="49">
        <v>0.00744</v>
      </c>
      <c r="X212" s="49">
        <v>0.901197</v>
      </c>
      <c r="Y212" s="49">
        <v>0.6666666666666666</v>
      </c>
      <c r="Z212" s="49">
        <v>0</v>
      </c>
      <c r="AA212" s="73">
        <v>212</v>
      </c>
      <c r="AB212" s="73"/>
      <c r="AC212" s="74"/>
      <c r="AD212" s="80" t="s">
        <v>873</v>
      </c>
      <c r="AE212" s="80" t="s">
        <v>1201</v>
      </c>
      <c r="AF212" s="80" t="s">
        <v>1514</v>
      </c>
      <c r="AG212" s="80" t="s">
        <v>1691</v>
      </c>
      <c r="AH212" s="80" t="s">
        <v>1925</v>
      </c>
      <c r="AI212" s="80">
        <v>669609</v>
      </c>
      <c r="AJ212" s="80">
        <v>2189</v>
      </c>
      <c r="AK212" s="80">
        <v>11261</v>
      </c>
      <c r="AL212" s="80">
        <v>449</v>
      </c>
      <c r="AM212" s="80" t="s">
        <v>2047</v>
      </c>
      <c r="AN212" s="98" t="str">
        <f>HYPERLINK("https://www.youtube.com/watch?v=GzvfpyyZO9o")</f>
        <v>https://www.youtube.com/watch?v=GzvfpyyZO9o</v>
      </c>
      <c r="AO212" s="80" t="str">
        <f>REPLACE(INDEX(GroupVertices[Group],MATCH(Vertices[[#This Row],[Vertex]],GroupVertices[Vertex],0)),1,1,"")</f>
        <v>8</v>
      </c>
      <c r="AP212" s="48">
        <v>0</v>
      </c>
      <c r="AQ212" s="49">
        <v>0</v>
      </c>
      <c r="AR212" s="48">
        <v>2</v>
      </c>
      <c r="AS212" s="49">
        <v>5.128205128205129</v>
      </c>
      <c r="AT212" s="48">
        <v>0</v>
      </c>
      <c r="AU212" s="49">
        <v>0</v>
      </c>
      <c r="AV212" s="48">
        <v>37</v>
      </c>
      <c r="AW212" s="49">
        <v>94.87179487179488</v>
      </c>
      <c r="AX212" s="48">
        <v>39</v>
      </c>
      <c r="AY212" s="48"/>
      <c r="AZ212" s="48"/>
      <c r="BA212" s="48"/>
      <c r="BB212" s="48"/>
      <c r="BC212" s="2"/>
      <c r="BD212" s="3"/>
      <c r="BE212" s="3"/>
      <c r="BF212" s="3"/>
      <c r="BG212" s="3"/>
    </row>
    <row r="213" spans="1:59" ht="15">
      <c r="A213" s="66" t="s">
        <v>531</v>
      </c>
      <c r="B213" s="67"/>
      <c r="C213" s="67"/>
      <c r="D213" s="68">
        <v>84.00549562267264</v>
      </c>
      <c r="E213" s="70"/>
      <c r="F213" s="96" t="str">
        <f>HYPERLINK("https://i.ytimg.com/vi/Z5MjKrqbLGQ/default.jpg")</f>
        <v>https://i.ytimg.com/vi/Z5MjKrqbLGQ/default.jpg</v>
      </c>
      <c r="G213" s="67"/>
      <c r="H213" s="71" t="s">
        <v>874</v>
      </c>
      <c r="I213" s="72"/>
      <c r="J213" s="72" t="s">
        <v>75</v>
      </c>
      <c r="K213" s="71" t="s">
        <v>874</v>
      </c>
      <c r="L213" s="75">
        <v>2500.5</v>
      </c>
      <c r="M213" s="76">
        <v>7616.72412109375</v>
      </c>
      <c r="N213" s="76">
        <v>5581.611328125</v>
      </c>
      <c r="O213" s="77"/>
      <c r="P213" s="78"/>
      <c r="Q213" s="78"/>
      <c r="R213" s="82"/>
      <c r="S213" s="48">
        <v>2</v>
      </c>
      <c r="T213" s="48">
        <v>0</v>
      </c>
      <c r="U213" s="49">
        <v>0</v>
      </c>
      <c r="V213" s="49">
        <v>0.000957</v>
      </c>
      <c r="W213" s="49">
        <v>0.004892</v>
      </c>
      <c r="X213" s="49">
        <v>0.650094</v>
      </c>
      <c r="Y213" s="49">
        <v>1</v>
      </c>
      <c r="Z213" s="49">
        <v>0</v>
      </c>
      <c r="AA213" s="73">
        <v>213</v>
      </c>
      <c r="AB213" s="73"/>
      <c r="AC213" s="74"/>
      <c r="AD213" s="80" t="s">
        <v>874</v>
      </c>
      <c r="AE213" s="80" t="s">
        <v>1202</v>
      </c>
      <c r="AF213" s="80" t="s">
        <v>1515</v>
      </c>
      <c r="AG213" s="80" t="s">
        <v>1685</v>
      </c>
      <c r="AH213" s="80" t="s">
        <v>1926</v>
      </c>
      <c r="AI213" s="80">
        <v>51834</v>
      </c>
      <c r="AJ213" s="80">
        <v>514</v>
      </c>
      <c r="AK213" s="80">
        <v>2315</v>
      </c>
      <c r="AL213" s="80">
        <v>76</v>
      </c>
      <c r="AM213" s="80" t="s">
        <v>2047</v>
      </c>
      <c r="AN213" s="98" t="str">
        <f>HYPERLINK("https://www.youtube.com/watch?v=Z5MjKrqbLGQ")</f>
        <v>https://www.youtube.com/watch?v=Z5MjKrqbLGQ</v>
      </c>
      <c r="AO213" s="80" t="str">
        <f>REPLACE(INDEX(GroupVertices[Group],MATCH(Vertices[[#This Row],[Vertex]],GroupVertices[Vertex],0)),1,1,"")</f>
        <v>7</v>
      </c>
      <c r="AP213" s="48">
        <v>2</v>
      </c>
      <c r="AQ213" s="49">
        <v>3.508771929824561</v>
      </c>
      <c r="AR213" s="48">
        <v>4</v>
      </c>
      <c r="AS213" s="49">
        <v>7.017543859649122</v>
      </c>
      <c r="AT213" s="48">
        <v>0</v>
      </c>
      <c r="AU213" s="49">
        <v>0</v>
      </c>
      <c r="AV213" s="48">
        <v>51</v>
      </c>
      <c r="AW213" s="49">
        <v>89.47368421052632</v>
      </c>
      <c r="AX213" s="48">
        <v>57</v>
      </c>
      <c r="AY213" s="48"/>
      <c r="AZ213" s="48"/>
      <c r="BA213" s="48"/>
      <c r="BB213" s="48"/>
      <c r="BC213" s="2"/>
      <c r="BD213" s="3"/>
      <c r="BE213" s="3"/>
      <c r="BF213" s="3"/>
      <c r="BG213" s="3"/>
    </row>
    <row r="214" spans="1:59" ht="15">
      <c r="A214" s="66" t="s">
        <v>532</v>
      </c>
      <c r="B214" s="67"/>
      <c r="C214" s="67"/>
      <c r="D214" s="68">
        <v>86.09095081243429</v>
      </c>
      <c r="E214" s="70"/>
      <c r="F214" s="96" t="str">
        <f>HYPERLINK("https://i.ytimg.com/vi/iHQ2pGqaI3o/default.jpg")</f>
        <v>https://i.ytimg.com/vi/iHQ2pGqaI3o/default.jpg</v>
      </c>
      <c r="G214" s="67"/>
      <c r="H214" s="71" t="s">
        <v>875</v>
      </c>
      <c r="I214" s="72"/>
      <c r="J214" s="72" t="s">
        <v>75</v>
      </c>
      <c r="K214" s="71" t="s">
        <v>875</v>
      </c>
      <c r="L214" s="75">
        <v>3750.25</v>
      </c>
      <c r="M214" s="76">
        <v>8009.4609375</v>
      </c>
      <c r="N214" s="76">
        <v>2782.215576171875</v>
      </c>
      <c r="O214" s="77"/>
      <c r="P214" s="78"/>
      <c r="Q214" s="78"/>
      <c r="R214" s="82"/>
      <c r="S214" s="48">
        <v>3</v>
      </c>
      <c r="T214" s="48">
        <v>0</v>
      </c>
      <c r="U214" s="49">
        <v>0</v>
      </c>
      <c r="V214" s="49">
        <v>0.000986</v>
      </c>
      <c r="W214" s="49">
        <v>0.007221</v>
      </c>
      <c r="X214" s="49">
        <v>0.905668</v>
      </c>
      <c r="Y214" s="49">
        <v>0.6666666666666666</v>
      </c>
      <c r="Z214" s="49">
        <v>0</v>
      </c>
      <c r="AA214" s="73">
        <v>214</v>
      </c>
      <c r="AB214" s="73"/>
      <c r="AC214" s="74"/>
      <c r="AD214" s="80" t="s">
        <v>875</v>
      </c>
      <c r="AE214" s="80" t="s">
        <v>1203</v>
      </c>
      <c r="AF214" s="80" t="s">
        <v>1516</v>
      </c>
      <c r="AG214" s="80" t="s">
        <v>1682</v>
      </c>
      <c r="AH214" s="80" t="s">
        <v>1927</v>
      </c>
      <c r="AI214" s="80">
        <v>75246</v>
      </c>
      <c r="AJ214" s="80">
        <v>0</v>
      </c>
      <c r="AK214" s="80">
        <v>2203</v>
      </c>
      <c r="AL214" s="80">
        <v>291</v>
      </c>
      <c r="AM214" s="80" t="s">
        <v>2047</v>
      </c>
      <c r="AN214" s="98" t="str">
        <f>HYPERLINK("https://www.youtube.com/watch?v=iHQ2pGqaI3o")</f>
        <v>https://www.youtube.com/watch?v=iHQ2pGqaI3o</v>
      </c>
      <c r="AO214" s="80" t="str">
        <f>REPLACE(INDEX(GroupVertices[Group],MATCH(Vertices[[#This Row],[Vertex]],GroupVertices[Vertex],0)),1,1,"")</f>
        <v>8</v>
      </c>
      <c r="AP214" s="48">
        <v>0</v>
      </c>
      <c r="AQ214" s="49">
        <v>0</v>
      </c>
      <c r="AR214" s="48">
        <v>0</v>
      </c>
      <c r="AS214" s="49">
        <v>0</v>
      </c>
      <c r="AT214" s="48">
        <v>0</v>
      </c>
      <c r="AU214" s="49">
        <v>0</v>
      </c>
      <c r="AV214" s="48">
        <v>5</v>
      </c>
      <c r="AW214" s="49">
        <v>100</v>
      </c>
      <c r="AX214" s="48">
        <v>5</v>
      </c>
      <c r="AY214" s="48"/>
      <c r="AZ214" s="48"/>
      <c r="BA214" s="48"/>
      <c r="BB214" s="48"/>
      <c r="BC214" s="2"/>
      <c r="BD214" s="3"/>
      <c r="BE214" s="3"/>
      <c r="BF214" s="3"/>
      <c r="BG214" s="3"/>
    </row>
    <row r="215" spans="1:59" ht="15">
      <c r="A215" s="66" t="s">
        <v>533</v>
      </c>
      <c r="B215" s="67"/>
      <c r="C215" s="67"/>
      <c r="D215" s="68">
        <v>217.3522368810889</v>
      </c>
      <c r="E215" s="70"/>
      <c r="F215" s="96" t="str">
        <f>HYPERLINK("https://i.ytimg.com/vi/YqJ7KoygkC4/default.jpg")</f>
        <v>https://i.ytimg.com/vi/YqJ7KoygkC4/default.jpg</v>
      </c>
      <c r="G215" s="67"/>
      <c r="H215" s="71" t="s">
        <v>876</v>
      </c>
      <c r="I215" s="72"/>
      <c r="J215" s="72" t="s">
        <v>75</v>
      </c>
      <c r="K215" s="71" t="s">
        <v>876</v>
      </c>
      <c r="L215" s="75">
        <v>2500.5</v>
      </c>
      <c r="M215" s="76">
        <v>9280.845703125</v>
      </c>
      <c r="N215" s="76">
        <v>1745.4705810546875</v>
      </c>
      <c r="O215" s="77"/>
      <c r="P215" s="78"/>
      <c r="Q215" s="78"/>
      <c r="R215" s="82"/>
      <c r="S215" s="48">
        <v>2</v>
      </c>
      <c r="T215" s="48">
        <v>0</v>
      </c>
      <c r="U215" s="49">
        <v>0</v>
      </c>
      <c r="V215" s="49">
        <v>0.001045</v>
      </c>
      <c r="W215" s="49">
        <v>0.005025</v>
      </c>
      <c r="X215" s="49">
        <v>0.648044</v>
      </c>
      <c r="Y215" s="49">
        <v>0.5</v>
      </c>
      <c r="Z215" s="49">
        <v>0</v>
      </c>
      <c r="AA215" s="73">
        <v>215</v>
      </c>
      <c r="AB215" s="73"/>
      <c r="AC215" s="74"/>
      <c r="AD215" s="80" t="s">
        <v>876</v>
      </c>
      <c r="AE215" s="80" t="s">
        <v>1204</v>
      </c>
      <c r="AF215" s="80" t="s">
        <v>1517</v>
      </c>
      <c r="AG215" s="80" t="s">
        <v>1703</v>
      </c>
      <c r="AH215" s="80" t="s">
        <v>1928</v>
      </c>
      <c r="AI215" s="80">
        <v>1548828</v>
      </c>
      <c r="AJ215" s="80">
        <v>8037</v>
      </c>
      <c r="AK215" s="80">
        <v>53699</v>
      </c>
      <c r="AL215" s="80">
        <v>1362</v>
      </c>
      <c r="AM215" s="80" t="s">
        <v>2047</v>
      </c>
      <c r="AN215" s="98" t="str">
        <f>HYPERLINK("https://www.youtube.com/watch?v=YqJ7KoygkC4")</f>
        <v>https://www.youtube.com/watch?v=YqJ7KoygkC4</v>
      </c>
      <c r="AO215" s="80" t="str">
        <f>REPLACE(INDEX(GroupVertices[Group],MATCH(Vertices[[#This Row],[Vertex]],GroupVertices[Vertex],0)),1,1,"")</f>
        <v>8</v>
      </c>
      <c r="AP215" s="48">
        <v>2</v>
      </c>
      <c r="AQ215" s="49">
        <v>4.761904761904762</v>
      </c>
      <c r="AR215" s="48">
        <v>5</v>
      </c>
      <c r="AS215" s="49">
        <v>11.904761904761905</v>
      </c>
      <c r="AT215" s="48">
        <v>0</v>
      </c>
      <c r="AU215" s="49">
        <v>0</v>
      </c>
      <c r="AV215" s="48">
        <v>35</v>
      </c>
      <c r="AW215" s="49">
        <v>83.33333333333333</v>
      </c>
      <c r="AX215" s="48">
        <v>42</v>
      </c>
      <c r="AY215" s="48"/>
      <c r="AZ215" s="48"/>
      <c r="BA215" s="48"/>
      <c r="BB215" s="48"/>
      <c r="BC215" s="2"/>
      <c r="BD215" s="3"/>
      <c r="BE215" s="3"/>
      <c r="BF215" s="3"/>
      <c r="BG215" s="3"/>
    </row>
    <row r="216" spans="1:59" ht="15">
      <c r="A216" s="66" t="s">
        <v>534</v>
      </c>
      <c r="B216" s="67"/>
      <c r="C216" s="67"/>
      <c r="D216" s="68">
        <v>122.15359471428765</v>
      </c>
      <c r="E216" s="70"/>
      <c r="F216" s="96" t="str">
        <f>HYPERLINK("https://i.ytimg.com/vi/VPOrnU3ImxI/default.jpg")</f>
        <v>https://i.ytimg.com/vi/VPOrnU3ImxI/default.jpg</v>
      </c>
      <c r="G216" s="67"/>
      <c r="H216" s="71" t="s">
        <v>877</v>
      </c>
      <c r="I216" s="72"/>
      <c r="J216" s="72" t="s">
        <v>75</v>
      </c>
      <c r="K216" s="71" t="s">
        <v>877</v>
      </c>
      <c r="L216" s="75">
        <v>6249.75</v>
      </c>
      <c r="M216" s="76">
        <v>1458.7784423828125</v>
      </c>
      <c r="N216" s="76">
        <v>8171.263671875</v>
      </c>
      <c r="O216" s="77"/>
      <c r="P216" s="78"/>
      <c r="Q216" s="78"/>
      <c r="R216" s="82"/>
      <c r="S216" s="48">
        <v>5</v>
      </c>
      <c r="T216" s="48">
        <v>0</v>
      </c>
      <c r="U216" s="49">
        <v>0</v>
      </c>
      <c r="V216" s="49">
        <v>0.001148</v>
      </c>
      <c r="W216" s="49">
        <v>0.011761</v>
      </c>
      <c r="X216" s="49">
        <v>1.450508</v>
      </c>
      <c r="Y216" s="49">
        <v>0.65</v>
      </c>
      <c r="Z216" s="49">
        <v>0</v>
      </c>
      <c r="AA216" s="73">
        <v>216</v>
      </c>
      <c r="AB216" s="73"/>
      <c r="AC216" s="74"/>
      <c r="AD216" s="80" t="s">
        <v>877</v>
      </c>
      <c r="AE216" s="80" t="s">
        <v>1205</v>
      </c>
      <c r="AF216" s="80" t="s">
        <v>1518</v>
      </c>
      <c r="AG216" s="80" t="s">
        <v>1704</v>
      </c>
      <c r="AH216" s="80" t="s">
        <v>1929</v>
      </c>
      <c r="AI216" s="80">
        <v>480097</v>
      </c>
      <c r="AJ216" s="80">
        <v>4986</v>
      </c>
      <c r="AK216" s="80">
        <v>2841</v>
      </c>
      <c r="AL216" s="80">
        <v>1213</v>
      </c>
      <c r="AM216" s="80" t="s">
        <v>2047</v>
      </c>
      <c r="AN216" s="98" t="str">
        <f>HYPERLINK("https://www.youtube.com/watch?v=VPOrnU3ImxI")</f>
        <v>https://www.youtube.com/watch?v=VPOrnU3ImxI</v>
      </c>
      <c r="AO216" s="80" t="str">
        <f>REPLACE(INDEX(GroupVertices[Group],MATCH(Vertices[[#This Row],[Vertex]],GroupVertices[Vertex],0)),1,1,"")</f>
        <v>1</v>
      </c>
      <c r="AP216" s="48">
        <v>0</v>
      </c>
      <c r="AQ216" s="49">
        <v>0</v>
      </c>
      <c r="AR216" s="48">
        <v>2</v>
      </c>
      <c r="AS216" s="49">
        <v>4.878048780487805</v>
      </c>
      <c r="AT216" s="48">
        <v>0</v>
      </c>
      <c r="AU216" s="49">
        <v>0</v>
      </c>
      <c r="AV216" s="48">
        <v>39</v>
      </c>
      <c r="AW216" s="49">
        <v>95.1219512195122</v>
      </c>
      <c r="AX216" s="48">
        <v>41</v>
      </c>
      <c r="AY216" s="48"/>
      <c r="AZ216" s="48"/>
      <c r="BA216" s="48"/>
      <c r="BB216" s="48"/>
      <c r="BC216" s="2"/>
      <c r="BD216" s="3"/>
      <c r="BE216" s="3"/>
      <c r="BF216" s="3"/>
      <c r="BG216" s="3"/>
    </row>
    <row r="217" spans="1:59" ht="15">
      <c r="A217" s="66" t="s">
        <v>535</v>
      </c>
      <c r="B217" s="67"/>
      <c r="C217" s="67"/>
      <c r="D217" s="68">
        <v>82.08973085391287</v>
      </c>
      <c r="E217" s="70"/>
      <c r="F217" s="96" t="str">
        <f>HYPERLINK("https://i.ytimg.com/vi/9VV1TfK3mmE/default.jpg")</f>
        <v>https://i.ytimg.com/vi/9VV1TfK3mmE/default.jpg</v>
      </c>
      <c r="G217" s="67"/>
      <c r="H217" s="71" t="s">
        <v>847</v>
      </c>
      <c r="I217" s="72"/>
      <c r="J217" s="72" t="s">
        <v>75</v>
      </c>
      <c r="K217" s="71" t="s">
        <v>847</v>
      </c>
      <c r="L217" s="75">
        <v>3750.25</v>
      </c>
      <c r="M217" s="76">
        <v>1619.5821533203125</v>
      </c>
      <c r="N217" s="76">
        <v>5346.1533203125</v>
      </c>
      <c r="O217" s="77"/>
      <c r="P217" s="78"/>
      <c r="Q217" s="78"/>
      <c r="R217" s="82"/>
      <c r="S217" s="48">
        <v>3</v>
      </c>
      <c r="T217" s="48">
        <v>0</v>
      </c>
      <c r="U217" s="49">
        <v>0</v>
      </c>
      <c r="V217" s="49">
        <v>0.00107</v>
      </c>
      <c r="W217" s="49">
        <v>0.007354</v>
      </c>
      <c r="X217" s="49">
        <v>0.903618</v>
      </c>
      <c r="Y217" s="49">
        <v>0.6666666666666666</v>
      </c>
      <c r="Z217" s="49">
        <v>0</v>
      </c>
      <c r="AA217" s="73">
        <v>217</v>
      </c>
      <c r="AB217" s="73"/>
      <c r="AC217" s="74"/>
      <c r="AD217" s="80" t="s">
        <v>847</v>
      </c>
      <c r="AE217" s="80" t="s">
        <v>1176</v>
      </c>
      <c r="AF217" s="80" t="s">
        <v>1489</v>
      </c>
      <c r="AG217" s="80" t="s">
        <v>1678</v>
      </c>
      <c r="AH217" s="80" t="s">
        <v>1930</v>
      </c>
      <c r="AI217" s="80">
        <v>30327</v>
      </c>
      <c r="AJ217" s="80">
        <v>2123</v>
      </c>
      <c r="AK217" s="80">
        <v>642</v>
      </c>
      <c r="AL217" s="80">
        <v>84</v>
      </c>
      <c r="AM217" s="80" t="s">
        <v>2047</v>
      </c>
      <c r="AN217" s="98" t="str">
        <f>HYPERLINK("https://www.youtube.com/watch?v=9VV1TfK3mmE")</f>
        <v>https://www.youtube.com/watch?v=9VV1TfK3mmE</v>
      </c>
      <c r="AO217" s="80" t="str">
        <f>REPLACE(INDEX(GroupVertices[Group],MATCH(Vertices[[#This Row],[Vertex]],GroupVertices[Vertex],0)),1,1,"")</f>
        <v>1</v>
      </c>
      <c r="AP217" s="48">
        <v>0</v>
      </c>
      <c r="AQ217" s="49">
        <v>0</v>
      </c>
      <c r="AR217" s="48">
        <v>1</v>
      </c>
      <c r="AS217" s="49">
        <v>2</v>
      </c>
      <c r="AT217" s="48">
        <v>0</v>
      </c>
      <c r="AU217" s="49">
        <v>0</v>
      </c>
      <c r="AV217" s="48">
        <v>49</v>
      </c>
      <c r="AW217" s="49">
        <v>98</v>
      </c>
      <c r="AX217" s="48">
        <v>50</v>
      </c>
      <c r="AY217" s="48"/>
      <c r="AZ217" s="48"/>
      <c r="BA217" s="48"/>
      <c r="BB217" s="48"/>
      <c r="BC217" s="2"/>
      <c r="BD217" s="3"/>
      <c r="BE217" s="3"/>
      <c r="BF217" s="3"/>
      <c r="BG217" s="3"/>
    </row>
    <row r="218" spans="1:59" ht="15">
      <c r="A218" s="66" t="s">
        <v>536</v>
      </c>
      <c r="B218" s="67"/>
      <c r="C218" s="67"/>
      <c r="D218" s="68">
        <v>560.8911622719113</v>
      </c>
      <c r="E218" s="70"/>
      <c r="F218" s="96" t="str">
        <f>HYPERLINK("https://i.ytimg.com/vi/y0opgc1WoS4/default.jpg")</f>
        <v>https://i.ytimg.com/vi/y0opgc1WoS4/default.jpg</v>
      </c>
      <c r="G218" s="67"/>
      <c r="H218" s="71" t="s">
        <v>878</v>
      </c>
      <c r="I218" s="72"/>
      <c r="J218" s="72" t="s">
        <v>75</v>
      </c>
      <c r="K218" s="71" t="s">
        <v>878</v>
      </c>
      <c r="L218" s="75">
        <v>6249.75</v>
      </c>
      <c r="M218" s="76">
        <v>7488.29931640625</v>
      </c>
      <c r="N218" s="76">
        <v>7473.3330078125</v>
      </c>
      <c r="O218" s="77"/>
      <c r="P218" s="78"/>
      <c r="Q218" s="78"/>
      <c r="R218" s="82"/>
      <c r="S218" s="48">
        <v>5</v>
      </c>
      <c r="T218" s="48">
        <v>0</v>
      </c>
      <c r="U218" s="49">
        <v>0</v>
      </c>
      <c r="V218" s="49">
        <v>0.001171</v>
      </c>
      <c r="W218" s="49">
        <v>0.011533</v>
      </c>
      <c r="X218" s="49">
        <v>1.489503</v>
      </c>
      <c r="Y218" s="49">
        <v>0.65</v>
      </c>
      <c r="Z218" s="49">
        <v>0</v>
      </c>
      <c r="AA218" s="73">
        <v>218</v>
      </c>
      <c r="AB218" s="73"/>
      <c r="AC218" s="74"/>
      <c r="AD218" s="80" t="s">
        <v>878</v>
      </c>
      <c r="AE218" s="80" t="s">
        <v>1206</v>
      </c>
      <c r="AF218" s="80" t="s">
        <v>1519</v>
      </c>
      <c r="AG218" s="80" t="s">
        <v>1663</v>
      </c>
      <c r="AH218" s="80" t="s">
        <v>1931</v>
      </c>
      <c r="AI218" s="80">
        <v>5405508</v>
      </c>
      <c r="AJ218" s="80">
        <v>17481</v>
      </c>
      <c r="AK218" s="80">
        <v>102434</v>
      </c>
      <c r="AL218" s="80">
        <v>2162</v>
      </c>
      <c r="AM218" s="80" t="s">
        <v>2047</v>
      </c>
      <c r="AN218" s="98" t="str">
        <f>HYPERLINK("https://www.youtube.com/watch?v=y0opgc1WoS4")</f>
        <v>https://www.youtube.com/watch?v=y0opgc1WoS4</v>
      </c>
      <c r="AO218" s="80" t="str">
        <f>REPLACE(INDEX(GroupVertices[Group],MATCH(Vertices[[#This Row],[Vertex]],GroupVertices[Vertex],0)),1,1,"")</f>
        <v>5</v>
      </c>
      <c r="AP218" s="48">
        <v>1</v>
      </c>
      <c r="AQ218" s="49">
        <v>1.639344262295082</v>
      </c>
      <c r="AR218" s="48">
        <v>10</v>
      </c>
      <c r="AS218" s="49">
        <v>16.39344262295082</v>
      </c>
      <c r="AT218" s="48">
        <v>0</v>
      </c>
      <c r="AU218" s="49">
        <v>0</v>
      </c>
      <c r="AV218" s="48">
        <v>50</v>
      </c>
      <c r="AW218" s="49">
        <v>81.9672131147541</v>
      </c>
      <c r="AX218" s="48">
        <v>61</v>
      </c>
      <c r="AY218" s="48"/>
      <c r="AZ218" s="48"/>
      <c r="BA218" s="48"/>
      <c r="BB218" s="48"/>
      <c r="BC218" s="2"/>
      <c r="BD218" s="3"/>
      <c r="BE218" s="3"/>
      <c r="BF218" s="3"/>
      <c r="BG218" s="3"/>
    </row>
    <row r="219" spans="1:59" ht="15">
      <c r="A219" s="66" t="s">
        <v>537</v>
      </c>
      <c r="B219" s="67"/>
      <c r="C219" s="67"/>
      <c r="D219" s="68">
        <v>127.90863866184105</v>
      </c>
      <c r="E219" s="70"/>
      <c r="F219" s="96" t="str">
        <f>HYPERLINK("https://i.ytimg.com/vi/fMsa7o48XBE/default.jpg")</f>
        <v>https://i.ytimg.com/vi/fMsa7o48XBE/default.jpg</v>
      </c>
      <c r="G219" s="67"/>
      <c r="H219" s="71" t="s">
        <v>879</v>
      </c>
      <c r="I219" s="72"/>
      <c r="J219" s="72" t="s">
        <v>75</v>
      </c>
      <c r="K219" s="71" t="s">
        <v>879</v>
      </c>
      <c r="L219" s="75">
        <v>5000</v>
      </c>
      <c r="M219" s="76">
        <v>1955.5294189453125</v>
      </c>
      <c r="N219" s="76">
        <v>8803.33984375</v>
      </c>
      <c r="O219" s="77"/>
      <c r="P219" s="78"/>
      <c r="Q219" s="78"/>
      <c r="R219" s="82"/>
      <c r="S219" s="48">
        <v>4</v>
      </c>
      <c r="T219" s="48">
        <v>0</v>
      </c>
      <c r="U219" s="49">
        <v>0</v>
      </c>
      <c r="V219" s="49">
        <v>0.001099</v>
      </c>
      <c r="W219" s="49">
        <v>0.009769</v>
      </c>
      <c r="X219" s="49">
        <v>1.156771</v>
      </c>
      <c r="Y219" s="49">
        <v>0.6666666666666666</v>
      </c>
      <c r="Z219" s="49">
        <v>0</v>
      </c>
      <c r="AA219" s="73">
        <v>219</v>
      </c>
      <c r="AB219" s="73"/>
      <c r="AC219" s="74"/>
      <c r="AD219" s="80" t="s">
        <v>879</v>
      </c>
      <c r="AE219" s="80" t="s">
        <v>1207</v>
      </c>
      <c r="AF219" s="80" t="s">
        <v>1520</v>
      </c>
      <c r="AG219" s="80" t="s">
        <v>1685</v>
      </c>
      <c r="AH219" s="80" t="s">
        <v>1932</v>
      </c>
      <c r="AI219" s="80">
        <v>544705</v>
      </c>
      <c r="AJ219" s="80">
        <v>5427</v>
      </c>
      <c r="AK219" s="80">
        <v>9862</v>
      </c>
      <c r="AL219" s="80">
        <v>711</v>
      </c>
      <c r="AM219" s="80" t="s">
        <v>2047</v>
      </c>
      <c r="AN219" s="98" t="str">
        <f>HYPERLINK("https://www.youtube.com/watch?v=fMsa7o48XBE")</f>
        <v>https://www.youtube.com/watch?v=fMsa7o48XBE</v>
      </c>
      <c r="AO219" s="80" t="str">
        <f>REPLACE(INDEX(GroupVertices[Group],MATCH(Vertices[[#This Row],[Vertex]],GroupVertices[Vertex],0)),1,1,"")</f>
        <v>1</v>
      </c>
      <c r="AP219" s="48">
        <v>0</v>
      </c>
      <c r="AQ219" s="49">
        <v>0</v>
      </c>
      <c r="AR219" s="48">
        <v>2</v>
      </c>
      <c r="AS219" s="49">
        <v>3.225806451612903</v>
      </c>
      <c r="AT219" s="48">
        <v>0</v>
      </c>
      <c r="AU219" s="49">
        <v>0</v>
      </c>
      <c r="AV219" s="48">
        <v>60</v>
      </c>
      <c r="AW219" s="49">
        <v>96.7741935483871</v>
      </c>
      <c r="AX219" s="48">
        <v>62</v>
      </c>
      <c r="AY219" s="48"/>
      <c r="AZ219" s="48"/>
      <c r="BA219" s="48"/>
      <c r="BB219" s="48"/>
      <c r="BC219" s="2"/>
      <c r="BD219" s="3"/>
      <c r="BE219" s="3"/>
      <c r="BF219" s="3"/>
      <c r="BG219" s="3"/>
    </row>
    <row r="220" spans="1:59" ht="15">
      <c r="A220" s="66" t="s">
        <v>538</v>
      </c>
      <c r="B220" s="67"/>
      <c r="C220" s="67"/>
      <c r="D220" s="68">
        <v>1000</v>
      </c>
      <c r="E220" s="70"/>
      <c r="F220" s="96" t="str">
        <f>HYPERLINK("https://i.ytimg.com/vi/7VG_s2PCH_c/default.jpg")</f>
        <v>https://i.ytimg.com/vi/7VG_s2PCH_c/default.jpg</v>
      </c>
      <c r="G220" s="67"/>
      <c r="H220" s="71" t="s">
        <v>880</v>
      </c>
      <c r="I220" s="72"/>
      <c r="J220" s="72" t="s">
        <v>75</v>
      </c>
      <c r="K220" s="71" t="s">
        <v>880</v>
      </c>
      <c r="L220" s="75">
        <v>6249.75</v>
      </c>
      <c r="M220" s="76">
        <v>1911.541259765625</v>
      </c>
      <c r="N220" s="76">
        <v>5664.81884765625</v>
      </c>
      <c r="O220" s="77"/>
      <c r="P220" s="78"/>
      <c r="Q220" s="78"/>
      <c r="R220" s="82"/>
      <c r="S220" s="48">
        <v>5</v>
      </c>
      <c r="T220" s="48">
        <v>0</v>
      </c>
      <c r="U220" s="49">
        <v>0</v>
      </c>
      <c r="V220" s="49">
        <v>0.001172</v>
      </c>
      <c r="W220" s="49">
        <v>0.011448</v>
      </c>
      <c r="X220" s="49">
        <v>1.491924</v>
      </c>
      <c r="Y220" s="49">
        <v>0.65</v>
      </c>
      <c r="Z220" s="49">
        <v>0</v>
      </c>
      <c r="AA220" s="73">
        <v>220</v>
      </c>
      <c r="AB220" s="73"/>
      <c r="AC220" s="74"/>
      <c r="AD220" s="80" t="s">
        <v>880</v>
      </c>
      <c r="AE220" s="80" t="s">
        <v>1208</v>
      </c>
      <c r="AF220" s="80" t="s">
        <v>1521</v>
      </c>
      <c r="AG220" s="80" t="s">
        <v>1705</v>
      </c>
      <c r="AH220" s="80" t="s">
        <v>1933</v>
      </c>
      <c r="AI220" s="80">
        <v>18185381</v>
      </c>
      <c r="AJ220" s="80">
        <v>42272</v>
      </c>
      <c r="AK220" s="80">
        <v>219904</v>
      </c>
      <c r="AL220" s="80">
        <v>12844</v>
      </c>
      <c r="AM220" s="80" t="s">
        <v>2047</v>
      </c>
      <c r="AN220" s="98" t="str">
        <f>HYPERLINK("https://www.youtube.com/watch?v=7VG_s2PCH_c")</f>
        <v>https://www.youtube.com/watch?v=7VG_s2PCH_c</v>
      </c>
      <c r="AO220" s="80" t="str">
        <f>REPLACE(INDEX(GroupVertices[Group],MATCH(Vertices[[#This Row],[Vertex]],GroupVertices[Vertex],0)),1,1,"")</f>
        <v>1</v>
      </c>
      <c r="AP220" s="48">
        <v>0</v>
      </c>
      <c r="AQ220" s="49">
        <v>0</v>
      </c>
      <c r="AR220" s="48">
        <v>0</v>
      </c>
      <c r="AS220" s="49">
        <v>0</v>
      </c>
      <c r="AT220" s="48">
        <v>0</v>
      </c>
      <c r="AU220" s="49">
        <v>0</v>
      </c>
      <c r="AV220" s="48">
        <v>7</v>
      </c>
      <c r="AW220" s="49">
        <v>100</v>
      </c>
      <c r="AX220" s="48">
        <v>7</v>
      </c>
      <c r="AY220" s="48"/>
      <c r="AZ220" s="48"/>
      <c r="BA220" s="48"/>
      <c r="BB220" s="48"/>
      <c r="BC220" s="2"/>
      <c r="BD220" s="3"/>
      <c r="BE220" s="3"/>
      <c r="BF220" s="3"/>
      <c r="BG220" s="3"/>
    </row>
    <row r="221" spans="1:59" ht="15">
      <c r="A221" s="66" t="s">
        <v>539</v>
      </c>
      <c r="B221" s="67"/>
      <c r="C221" s="67"/>
      <c r="D221" s="68">
        <v>85.13925923344003</v>
      </c>
      <c r="E221" s="70"/>
      <c r="F221" s="96" t="str">
        <f>HYPERLINK("https://i.ytimg.com/vi/ZZus7cwhnIo/default.jpg")</f>
        <v>https://i.ytimg.com/vi/ZZus7cwhnIo/default.jpg</v>
      </c>
      <c r="G221" s="67"/>
      <c r="H221" s="71" t="s">
        <v>881</v>
      </c>
      <c r="I221" s="72"/>
      <c r="J221" s="72" t="s">
        <v>159</v>
      </c>
      <c r="K221" s="71" t="s">
        <v>881</v>
      </c>
      <c r="L221" s="75">
        <v>1250.75</v>
      </c>
      <c r="M221" s="76">
        <v>7840.640625</v>
      </c>
      <c r="N221" s="76">
        <v>3938.846923828125</v>
      </c>
      <c r="O221" s="77"/>
      <c r="P221" s="78"/>
      <c r="Q221" s="78"/>
      <c r="R221" s="82"/>
      <c r="S221" s="48">
        <v>1</v>
      </c>
      <c r="T221" s="48">
        <v>0</v>
      </c>
      <c r="U221" s="49">
        <v>0</v>
      </c>
      <c r="V221" s="49">
        <v>0.000934</v>
      </c>
      <c r="W221" s="49">
        <v>0.002415</v>
      </c>
      <c r="X221" s="49">
        <v>0.403153</v>
      </c>
      <c r="Y221" s="49">
        <v>0</v>
      </c>
      <c r="Z221" s="49">
        <v>0</v>
      </c>
      <c r="AA221" s="73">
        <v>221</v>
      </c>
      <c r="AB221" s="73"/>
      <c r="AC221" s="74"/>
      <c r="AD221" s="80" t="s">
        <v>881</v>
      </c>
      <c r="AE221" s="80" t="s">
        <v>1209</v>
      </c>
      <c r="AF221" s="80" t="s">
        <v>1522</v>
      </c>
      <c r="AG221" s="80" t="s">
        <v>1692</v>
      </c>
      <c r="AH221" s="80" t="s">
        <v>1934</v>
      </c>
      <c r="AI221" s="80">
        <v>64562</v>
      </c>
      <c r="AJ221" s="80">
        <v>830</v>
      </c>
      <c r="AK221" s="80">
        <v>259</v>
      </c>
      <c r="AL221" s="80">
        <v>80</v>
      </c>
      <c r="AM221" s="80" t="s">
        <v>2047</v>
      </c>
      <c r="AN221" s="98" t="str">
        <f>HYPERLINK("https://www.youtube.com/watch?v=ZZus7cwhnIo")</f>
        <v>https://www.youtube.com/watch?v=ZZus7cwhnIo</v>
      </c>
      <c r="AO221" s="80" t="str">
        <f>REPLACE(INDEX(GroupVertices[Group],MATCH(Vertices[[#This Row],[Vertex]],GroupVertices[Vertex],0)),1,1,"")</f>
        <v>7</v>
      </c>
      <c r="AP221" s="48">
        <v>0</v>
      </c>
      <c r="AQ221" s="49">
        <v>0</v>
      </c>
      <c r="AR221" s="48">
        <v>0</v>
      </c>
      <c r="AS221" s="49">
        <v>0</v>
      </c>
      <c r="AT221" s="48">
        <v>0</v>
      </c>
      <c r="AU221" s="49">
        <v>0</v>
      </c>
      <c r="AV221" s="48">
        <v>9</v>
      </c>
      <c r="AW221" s="49">
        <v>100</v>
      </c>
      <c r="AX221" s="48">
        <v>9</v>
      </c>
      <c r="AY221" s="48"/>
      <c r="AZ221" s="48"/>
      <c r="BA221" s="48"/>
      <c r="BB221" s="48"/>
      <c r="BC221" s="2"/>
      <c r="BD221" s="3"/>
      <c r="BE221" s="3"/>
      <c r="BF221" s="3"/>
      <c r="BG221" s="3"/>
    </row>
    <row r="222" spans="1:59" ht="15">
      <c r="A222" s="66" t="s">
        <v>540</v>
      </c>
      <c r="B222" s="67"/>
      <c r="C222" s="67"/>
      <c r="D222" s="68">
        <v>87.862946374109</v>
      </c>
      <c r="E222" s="70"/>
      <c r="F222" s="96" t="str">
        <f>HYPERLINK("https://i.ytimg.com/vi/ZqizB87kkhc/default.jpg")</f>
        <v>https://i.ytimg.com/vi/ZqizB87kkhc/default.jpg</v>
      </c>
      <c r="G222" s="67"/>
      <c r="H222" s="71" t="s">
        <v>882</v>
      </c>
      <c r="I222" s="72"/>
      <c r="J222" s="72" t="s">
        <v>159</v>
      </c>
      <c r="K222" s="71" t="s">
        <v>882</v>
      </c>
      <c r="L222" s="75">
        <v>1250.75</v>
      </c>
      <c r="M222" s="76">
        <v>9799.2578125</v>
      </c>
      <c r="N222" s="76">
        <v>4075.636474609375</v>
      </c>
      <c r="O222" s="77"/>
      <c r="P222" s="78"/>
      <c r="Q222" s="78"/>
      <c r="R222" s="82"/>
      <c r="S222" s="48">
        <v>1</v>
      </c>
      <c r="T222" s="48">
        <v>0</v>
      </c>
      <c r="U222" s="49">
        <v>0</v>
      </c>
      <c r="V222" s="49">
        <v>0.000934</v>
      </c>
      <c r="W222" s="49">
        <v>0.002415</v>
      </c>
      <c r="X222" s="49">
        <v>0.403153</v>
      </c>
      <c r="Y222" s="49">
        <v>0</v>
      </c>
      <c r="Z222" s="49">
        <v>0</v>
      </c>
      <c r="AA222" s="73">
        <v>222</v>
      </c>
      <c r="AB222" s="73"/>
      <c r="AC222" s="74"/>
      <c r="AD222" s="80" t="s">
        <v>882</v>
      </c>
      <c r="AE222" s="80" t="s">
        <v>1210</v>
      </c>
      <c r="AF222" s="80" t="s">
        <v>1523</v>
      </c>
      <c r="AG222" s="80" t="s">
        <v>1706</v>
      </c>
      <c r="AH222" s="80" t="s">
        <v>1935</v>
      </c>
      <c r="AI222" s="80">
        <v>95139</v>
      </c>
      <c r="AJ222" s="80">
        <v>0</v>
      </c>
      <c r="AK222" s="80">
        <v>1908</v>
      </c>
      <c r="AL222" s="80">
        <v>603</v>
      </c>
      <c r="AM222" s="80" t="s">
        <v>2047</v>
      </c>
      <c r="AN222" s="98" t="str">
        <f>HYPERLINK("https://www.youtube.com/watch?v=ZqizB87kkhc")</f>
        <v>https://www.youtube.com/watch?v=ZqizB87kkhc</v>
      </c>
      <c r="AO222" s="80" t="str">
        <f>REPLACE(INDEX(GroupVertices[Group],MATCH(Vertices[[#This Row],[Vertex]],GroupVertices[Vertex],0)),1,1,"")</f>
        <v>7</v>
      </c>
      <c r="AP222" s="48">
        <v>0</v>
      </c>
      <c r="AQ222" s="49">
        <v>0</v>
      </c>
      <c r="AR222" s="48">
        <v>0</v>
      </c>
      <c r="AS222" s="49">
        <v>0</v>
      </c>
      <c r="AT222" s="48">
        <v>0</v>
      </c>
      <c r="AU222" s="49">
        <v>0</v>
      </c>
      <c r="AV222" s="48">
        <v>61</v>
      </c>
      <c r="AW222" s="49">
        <v>100</v>
      </c>
      <c r="AX222" s="48">
        <v>61</v>
      </c>
      <c r="AY222" s="48"/>
      <c r="AZ222" s="48"/>
      <c r="BA222" s="48"/>
      <c r="BB222" s="48"/>
      <c r="BC222" s="2"/>
      <c r="BD222" s="3"/>
      <c r="BE222" s="3"/>
      <c r="BF222" s="3"/>
      <c r="BG222" s="3"/>
    </row>
    <row r="223" spans="1:59" ht="15">
      <c r="A223" s="66" t="s">
        <v>541</v>
      </c>
      <c r="B223" s="67"/>
      <c r="C223" s="67"/>
      <c r="D223" s="68">
        <v>91.35785643605578</v>
      </c>
      <c r="E223" s="70"/>
      <c r="F223" s="96" t="str">
        <f>HYPERLINK("https://i.ytimg.com/vi/ggtkzkoI3eM/default.jpg")</f>
        <v>https://i.ytimg.com/vi/ggtkzkoI3eM/default.jpg</v>
      </c>
      <c r="G223" s="67"/>
      <c r="H223" s="71" t="s">
        <v>883</v>
      </c>
      <c r="I223" s="72"/>
      <c r="J223" s="72" t="s">
        <v>159</v>
      </c>
      <c r="K223" s="71" t="s">
        <v>883</v>
      </c>
      <c r="L223" s="75">
        <v>1250.75</v>
      </c>
      <c r="M223" s="76">
        <v>8857.119140625</v>
      </c>
      <c r="N223" s="76">
        <v>3496.825439453125</v>
      </c>
      <c r="O223" s="77"/>
      <c r="P223" s="78"/>
      <c r="Q223" s="78"/>
      <c r="R223" s="82"/>
      <c r="S223" s="48">
        <v>1</v>
      </c>
      <c r="T223" s="48">
        <v>0</v>
      </c>
      <c r="U223" s="49">
        <v>0</v>
      </c>
      <c r="V223" s="49">
        <v>0.000934</v>
      </c>
      <c r="W223" s="49">
        <v>0.002415</v>
      </c>
      <c r="X223" s="49">
        <v>0.403153</v>
      </c>
      <c r="Y223" s="49">
        <v>0</v>
      </c>
      <c r="Z223" s="49">
        <v>0</v>
      </c>
      <c r="AA223" s="73">
        <v>223</v>
      </c>
      <c r="AB223" s="73"/>
      <c r="AC223" s="74"/>
      <c r="AD223" s="80" t="s">
        <v>883</v>
      </c>
      <c r="AE223" s="80" t="s">
        <v>1211</v>
      </c>
      <c r="AF223" s="80" t="s">
        <v>1524</v>
      </c>
      <c r="AG223" s="80" t="s">
        <v>1637</v>
      </c>
      <c r="AH223" s="80" t="s">
        <v>1936</v>
      </c>
      <c r="AI223" s="80">
        <v>134374</v>
      </c>
      <c r="AJ223" s="80">
        <v>2615</v>
      </c>
      <c r="AK223" s="80">
        <v>1526</v>
      </c>
      <c r="AL223" s="80">
        <v>1496</v>
      </c>
      <c r="AM223" s="80" t="s">
        <v>2047</v>
      </c>
      <c r="AN223" s="98" t="str">
        <f>HYPERLINK("https://www.youtube.com/watch?v=ggtkzkoI3eM")</f>
        <v>https://www.youtube.com/watch?v=ggtkzkoI3eM</v>
      </c>
      <c r="AO223" s="80" t="str">
        <f>REPLACE(INDEX(GroupVertices[Group],MATCH(Vertices[[#This Row],[Vertex]],GroupVertices[Vertex],0)),1,1,"")</f>
        <v>7</v>
      </c>
      <c r="AP223" s="48">
        <v>0</v>
      </c>
      <c r="AQ223" s="49">
        <v>0</v>
      </c>
      <c r="AR223" s="48">
        <v>0</v>
      </c>
      <c r="AS223" s="49">
        <v>0</v>
      </c>
      <c r="AT223" s="48">
        <v>0</v>
      </c>
      <c r="AU223" s="49">
        <v>0</v>
      </c>
      <c r="AV223" s="48">
        <v>6</v>
      </c>
      <c r="AW223" s="49">
        <v>100</v>
      </c>
      <c r="AX223" s="48">
        <v>6</v>
      </c>
      <c r="AY223" s="48"/>
      <c r="AZ223" s="48"/>
      <c r="BA223" s="48"/>
      <c r="BB223" s="48"/>
      <c r="BC223" s="2"/>
      <c r="BD223" s="3"/>
      <c r="BE223" s="3"/>
      <c r="BF223" s="3"/>
      <c r="BG223" s="3"/>
    </row>
    <row r="224" spans="1:59" ht="15">
      <c r="A224" s="66" t="s">
        <v>542</v>
      </c>
      <c r="B224" s="67"/>
      <c r="C224" s="67"/>
      <c r="D224" s="68">
        <v>86.8848881995155</v>
      </c>
      <c r="E224" s="70"/>
      <c r="F224" s="96" t="str">
        <f>HYPERLINK("https://i.ytimg.com/vi/_d8PNlXHJ48/default.jpg")</f>
        <v>https://i.ytimg.com/vi/_d8PNlXHJ48/default.jpg</v>
      </c>
      <c r="G224" s="67"/>
      <c r="H224" s="71" t="s">
        <v>884</v>
      </c>
      <c r="I224" s="72"/>
      <c r="J224" s="72" t="s">
        <v>159</v>
      </c>
      <c r="K224" s="71" t="s">
        <v>884</v>
      </c>
      <c r="L224" s="75">
        <v>1250.75</v>
      </c>
      <c r="M224" s="76">
        <v>9159.4169921875</v>
      </c>
      <c r="N224" s="76">
        <v>5050.40087890625</v>
      </c>
      <c r="O224" s="77"/>
      <c r="P224" s="78"/>
      <c r="Q224" s="78"/>
      <c r="R224" s="82"/>
      <c r="S224" s="48">
        <v>1</v>
      </c>
      <c r="T224" s="48">
        <v>0</v>
      </c>
      <c r="U224" s="49">
        <v>0</v>
      </c>
      <c r="V224" s="49">
        <v>0.000934</v>
      </c>
      <c r="W224" s="49">
        <v>0.002415</v>
      </c>
      <c r="X224" s="49">
        <v>0.403153</v>
      </c>
      <c r="Y224" s="49">
        <v>0</v>
      </c>
      <c r="Z224" s="49">
        <v>0</v>
      </c>
      <c r="AA224" s="73">
        <v>224</v>
      </c>
      <c r="AB224" s="73"/>
      <c r="AC224" s="74"/>
      <c r="AD224" s="80" t="s">
        <v>884</v>
      </c>
      <c r="AE224" s="80" t="s">
        <v>1212</v>
      </c>
      <c r="AF224" s="80" t="s">
        <v>1525</v>
      </c>
      <c r="AG224" s="80" t="s">
        <v>1637</v>
      </c>
      <c r="AH224" s="80" t="s">
        <v>1937</v>
      </c>
      <c r="AI224" s="80">
        <v>84159</v>
      </c>
      <c r="AJ224" s="80">
        <v>621</v>
      </c>
      <c r="AK224" s="80">
        <v>1374</v>
      </c>
      <c r="AL224" s="80">
        <v>432</v>
      </c>
      <c r="AM224" s="80" t="s">
        <v>2047</v>
      </c>
      <c r="AN224" s="98" t="str">
        <f>HYPERLINK("https://www.youtube.com/watch?v=_d8PNlXHJ48")</f>
        <v>https://www.youtube.com/watch?v=_d8PNlXHJ48</v>
      </c>
      <c r="AO224" s="80" t="str">
        <f>REPLACE(INDEX(GroupVertices[Group],MATCH(Vertices[[#This Row],[Vertex]],GroupVertices[Vertex],0)),1,1,"")</f>
        <v>7</v>
      </c>
      <c r="AP224" s="48">
        <v>0</v>
      </c>
      <c r="AQ224" s="49">
        <v>0</v>
      </c>
      <c r="AR224" s="48">
        <v>0</v>
      </c>
      <c r="AS224" s="49">
        <v>0</v>
      </c>
      <c r="AT224" s="48">
        <v>0</v>
      </c>
      <c r="AU224" s="49">
        <v>0</v>
      </c>
      <c r="AV224" s="48">
        <v>4</v>
      </c>
      <c r="AW224" s="49">
        <v>100</v>
      </c>
      <c r="AX224" s="48">
        <v>4</v>
      </c>
      <c r="AY224" s="48"/>
      <c r="AZ224" s="48"/>
      <c r="BA224" s="48"/>
      <c r="BB224" s="48"/>
      <c r="BC224" s="2"/>
      <c r="BD224" s="3"/>
      <c r="BE224" s="3"/>
      <c r="BF224" s="3"/>
      <c r="BG224" s="3"/>
    </row>
    <row r="225" spans="1:59" ht="15">
      <c r="A225" s="66" t="s">
        <v>543</v>
      </c>
      <c r="B225" s="67"/>
      <c r="C225" s="67"/>
      <c r="D225" s="68">
        <v>100.51419121591135</v>
      </c>
      <c r="E225" s="70"/>
      <c r="F225" s="96" t="str">
        <f>HYPERLINK("https://i.ytimg.com/vi/XIJzc0FiVHA/default.jpg")</f>
        <v>https://i.ytimg.com/vi/XIJzc0FiVHA/default.jpg</v>
      </c>
      <c r="G225" s="67"/>
      <c r="H225" s="71" t="s">
        <v>885</v>
      </c>
      <c r="I225" s="72"/>
      <c r="J225" s="72" t="s">
        <v>159</v>
      </c>
      <c r="K225" s="71" t="s">
        <v>885</v>
      </c>
      <c r="L225" s="75">
        <v>1250.75</v>
      </c>
      <c r="M225" s="76">
        <v>7574.9794921875</v>
      </c>
      <c r="N225" s="76">
        <v>3445.90576171875</v>
      </c>
      <c r="O225" s="77"/>
      <c r="P225" s="78"/>
      <c r="Q225" s="78"/>
      <c r="R225" s="82"/>
      <c r="S225" s="48">
        <v>1</v>
      </c>
      <c r="T225" s="48">
        <v>0</v>
      </c>
      <c r="U225" s="49">
        <v>0</v>
      </c>
      <c r="V225" s="49">
        <v>0.000934</v>
      </c>
      <c r="W225" s="49">
        <v>0.002415</v>
      </c>
      <c r="X225" s="49">
        <v>0.403153</v>
      </c>
      <c r="Y225" s="49">
        <v>0</v>
      </c>
      <c r="Z225" s="49">
        <v>0</v>
      </c>
      <c r="AA225" s="73">
        <v>225</v>
      </c>
      <c r="AB225" s="73"/>
      <c r="AC225" s="74"/>
      <c r="AD225" s="80" t="s">
        <v>885</v>
      </c>
      <c r="AE225" s="80" t="s">
        <v>1213</v>
      </c>
      <c r="AF225" s="80" t="s">
        <v>1526</v>
      </c>
      <c r="AG225" s="80" t="s">
        <v>1692</v>
      </c>
      <c r="AH225" s="80" t="s">
        <v>1938</v>
      </c>
      <c r="AI225" s="80">
        <v>237166</v>
      </c>
      <c r="AJ225" s="80">
        <v>2048</v>
      </c>
      <c r="AK225" s="80">
        <v>1290</v>
      </c>
      <c r="AL225" s="80">
        <v>171</v>
      </c>
      <c r="AM225" s="80" t="s">
        <v>2047</v>
      </c>
      <c r="AN225" s="98" t="str">
        <f>HYPERLINK("https://www.youtube.com/watch?v=XIJzc0FiVHA")</f>
        <v>https://www.youtube.com/watch?v=XIJzc0FiVHA</v>
      </c>
      <c r="AO225" s="80" t="str">
        <f>REPLACE(INDEX(GroupVertices[Group],MATCH(Vertices[[#This Row],[Vertex]],GroupVertices[Vertex],0)),1,1,"")</f>
        <v>7</v>
      </c>
      <c r="AP225" s="48">
        <v>0</v>
      </c>
      <c r="AQ225" s="49">
        <v>0</v>
      </c>
      <c r="AR225" s="48">
        <v>0</v>
      </c>
      <c r="AS225" s="49">
        <v>0</v>
      </c>
      <c r="AT225" s="48">
        <v>0</v>
      </c>
      <c r="AU225" s="49">
        <v>0</v>
      </c>
      <c r="AV225" s="48">
        <v>15</v>
      </c>
      <c r="AW225" s="49">
        <v>100</v>
      </c>
      <c r="AX225" s="48">
        <v>15</v>
      </c>
      <c r="AY225" s="48"/>
      <c r="AZ225" s="48"/>
      <c r="BA225" s="48"/>
      <c r="BB225" s="48"/>
      <c r="BC225" s="2"/>
      <c r="BD225" s="3"/>
      <c r="BE225" s="3"/>
      <c r="BF225" s="3"/>
      <c r="BG225" s="3"/>
    </row>
    <row r="226" spans="1:59" ht="15">
      <c r="A226" s="66" t="s">
        <v>544</v>
      </c>
      <c r="B226" s="67"/>
      <c r="C226" s="67"/>
      <c r="D226" s="68">
        <v>328.1966921696091</v>
      </c>
      <c r="E226" s="70"/>
      <c r="F226" s="96" t="str">
        <f>HYPERLINK("https://i.ytimg.com/vi/ULfqhCNHQPA/default.jpg")</f>
        <v>https://i.ytimg.com/vi/ULfqhCNHQPA/default.jpg</v>
      </c>
      <c r="G226" s="67"/>
      <c r="H226" s="71" t="s">
        <v>886</v>
      </c>
      <c r="I226" s="72"/>
      <c r="J226" s="72" t="s">
        <v>159</v>
      </c>
      <c r="K226" s="71" t="s">
        <v>886</v>
      </c>
      <c r="L226" s="75">
        <v>1250.75</v>
      </c>
      <c r="M226" s="76">
        <v>9880.6689453125</v>
      </c>
      <c r="N226" s="76">
        <v>4618.759765625</v>
      </c>
      <c r="O226" s="77"/>
      <c r="P226" s="78"/>
      <c r="Q226" s="78"/>
      <c r="R226" s="82"/>
      <c r="S226" s="48">
        <v>1</v>
      </c>
      <c r="T226" s="48">
        <v>0</v>
      </c>
      <c r="U226" s="49">
        <v>0</v>
      </c>
      <c r="V226" s="49">
        <v>0.000934</v>
      </c>
      <c r="W226" s="49">
        <v>0.002415</v>
      </c>
      <c r="X226" s="49">
        <v>0.403153</v>
      </c>
      <c r="Y226" s="49">
        <v>0</v>
      </c>
      <c r="Z226" s="49">
        <v>0</v>
      </c>
      <c r="AA226" s="73">
        <v>226</v>
      </c>
      <c r="AB226" s="73"/>
      <c r="AC226" s="74"/>
      <c r="AD226" s="80" t="s">
        <v>886</v>
      </c>
      <c r="AE226" s="80" t="s">
        <v>1214</v>
      </c>
      <c r="AF226" s="80" t="s">
        <v>1527</v>
      </c>
      <c r="AG226" s="80" t="s">
        <v>1692</v>
      </c>
      <c r="AH226" s="80" t="s">
        <v>1939</v>
      </c>
      <c r="AI226" s="80">
        <v>2793204</v>
      </c>
      <c r="AJ226" s="80">
        <v>16279</v>
      </c>
      <c r="AK226" s="80">
        <v>31762</v>
      </c>
      <c r="AL226" s="80">
        <v>3282</v>
      </c>
      <c r="AM226" s="80" t="s">
        <v>2047</v>
      </c>
      <c r="AN226" s="98" t="str">
        <f>HYPERLINK("https://www.youtube.com/watch?v=ULfqhCNHQPA")</f>
        <v>https://www.youtube.com/watch?v=ULfqhCNHQPA</v>
      </c>
      <c r="AO226" s="80" t="str">
        <f>REPLACE(INDEX(GroupVertices[Group],MATCH(Vertices[[#This Row],[Vertex]],GroupVertices[Vertex],0)),1,1,"")</f>
        <v>7</v>
      </c>
      <c r="AP226" s="48">
        <v>0</v>
      </c>
      <c r="AQ226" s="49">
        <v>0</v>
      </c>
      <c r="AR226" s="48">
        <v>0</v>
      </c>
      <c r="AS226" s="49">
        <v>0</v>
      </c>
      <c r="AT226" s="48">
        <v>0</v>
      </c>
      <c r="AU226" s="49">
        <v>0</v>
      </c>
      <c r="AV226" s="48">
        <v>21</v>
      </c>
      <c r="AW226" s="49">
        <v>100</v>
      </c>
      <c r="AX226" s="48">
        <v>21</v>
      </c>
      <c r="AY226" s="48"/>
      <c r="AZ226" s="48"/>
      <c r="BA226" s="48"/>
      <c r="BB226" s="48"/>
      <c r="BC226" s="2"/>
      <c r="BD226" s="3"/>
      <c r="BE226" s="3"/>
      <c r="BF226" s="3"/>
      <c r="BG226" s="3"/>
    </row>
    <row r="227" spans="1:59" ht="15">
      <c r="A227" s="66" t="s">
        <v>545</v>
      </c>
      <c r="B227" s="67"/>
      <c r="C227" s="67"/>
      <c r="D227" s="68">
        <v>85.02185662195421</v>
      </c>
      <c r="E227" s="70"/>
      <c r="F227" s="96" t="str">
        <f>HYPERLINK("https://i.ytimg.com/vi/MlnssseIo1k/default.jpg")</f>
        <v>https://i.ytimg.com/vi/MlnssseIo1k/default.jpg</v>
      </c>
      <c r="G227" s="67"/>
      <c r="H227" s="71" t="s">
        <v>887</v>
      </c>
      <c r="I227" s="72"/>
      <c r="J227" s="72" t="s">
        <v>159</v>
      </c>
      <c r="K227" s="71" t="s">
        <v>887</v>
      </c>
      <c r="L227" s="75">
        <v>1250.75</v>
      </c>
      <c r="M227" s="76">
        <v>7821.421875</v>
      </c>
      <c r="N227" s="76">
        <v>4571.42578125</v>
      </c>
      <c r="O227" s="77"/>
      <c r="P227" s="78"/>
      <c r="Q227" s="78"/>
      <c r="R227" s="82"/>
      <c r="S227" s="48">
        <v>1</v>
      </c>
      <c r="T227" s="48">
        <v>0</v>
      </c>
      <c r="U227" s="49">
        <v>0</v>
      </c>
      <c r="V227" s="49">
        <v>0.000934</v>
      </c>
      <c r="W227" s="49">
        <v>0.002415</v>
      </c>
      <c r="X227" s="49">
        <v>0.403153</v>
      </c>
      <c r="Y227" s="49">
        <v>0</v>
      </c>
      <c r="Z227" s="49">
        <v>0</v>
      </c>
      <c r="AA227" s="73">
        <v>227</v>
      </c>
      <c r="AB227" s="73"/>
      <c r="AC227" s="74"/>
      <c r="AD227" s="80" t="s">
        <v>887</v>
      </c>
      <c r="AE227" s="80" t="s">
        <v>1215</v>
      </c>
      <c r="AF227" s="80" t="s">
        <v>1528</v>
      </c>
      <c r="AG227" s="80" t="s">
        <v>1707</v>
      </c>
      <c r="AH227" s="80" t="s">
        <v>1940</v>
      </c>
      <c r="AI227" s="80">
        <v>63244</v>
      </c>
      <c r="AJ227" s="80">
        <v>742</v>
      </c>
      <c r="AK227" s="80">
        <v>2849</v>
      </c>
      <c r="AL227" s="80">
        <v>136</v>
      </c>
      <c r="AM227" s="80" t="s">
        <v>2047</v>
      </c>
      <c r="AN227" s="98" t="str">
        <f>HYPERLINK("https://www.youtube.com/watch?v=MlnssseIo1k")</f>
        <v>https://www.youtube.com/watch?v=MlnssseIo1k</v>
      </c>
      <c r="AO227" s="80" t="str">
        <f>REPLACE(INDEX(GroupVertices[Group],MATCH(Vertices[[#This Row],[Vertex]],GroupVertices[Vertex],0)),1,1,"")</f>
        <v>7</v>
      </c>
      <c r="AP227" s="48">
        <v>0</v>
      </c>
      <c r="AQ227" s="49">
        <v>0</v>
      </c>
      <c r="AR227" s="48">
        <v>0</v>
      </c>
      <c r="AS227" s="49">
        <v>0</v>
      </c>
      <c r="AT227" s="48">
        <v>0</v>
      </c>
      <c r="AU227" s="49">
        <v>0</v>
      </c>
      <c r="AV227" s="48">
        <v>35</v>
      </c>
      <c r="AW227" s="49">
        <v>100</v>
      </c>
      <c r="AX227" s="48">
        <v>35</v>
      </c>
      <c r="AY227" s="48"/>
      <c r="AZ227" s="48"/>
      <c r="BA227" s="48"/>
      <c r="BB227" s="48"/>
      <c r="BC227" s="2"/>
      <c r="BD227" s="3"/>
      <c r="BE227" s="3"/>
      <c r="BF227" s="3"/>
      <c r="BG227" s="3"/>
    </row>
    <row r="228" spans="1:59" ht="15">
      <c r="A228" s="66" t="s">
        <v>546</v>
      </c>
      <c r="B228" s="67"/>
      <c r="C228" s="67"/>
      <c r="D228" s="68">
        <v>161.5337086158118</v>
      </c>
      <c r="E228" s="70"/>
      <c r="F228" s="96" t="str">
        <f>HYPERLINK("https://i.ytimg.com/vi/3aNhzLUL2ys/default.jpg")</f>
        <v>https://i.ytimg.com/vi/3aNhzLUL2ys/default.jpg</v>
      </c>
      <c r="G228" s="67"/>
      <c r="H228" s="71" t="s">
        <v>888</v>
      </c>
      <c r="I228" s="72"/>
      <c r="J228" s="72" t="s">
        <v>75</v>
      </c>
      <c r="K228" s="71" t="s">
        <v>888</v>
      </c>
      <c r="L228" s="75">
        <v>3750.25</v>
      </c>
      <c r="M228" s="76">
        <v>9134.6572265625</v>
      </c>
      <c r="N228" s="76">
        <v>5797.51318359375</v>
      </c>
      <c r="O228" s="77"/>
      <c r="P228" s="78"/>
      <c r="Q228" s="78"/>
      <c r="R228" s="82"/>
      <c r="S228" s="48">
        <v>3</v>
      </c>
      <c r="T228" s="48">
        <v>0</v>
      </c>
      <c r="U228" s="49">
        <v>0</v>
      </c>
      <c r="V228" s="49">
        <v>0.001044</v>
      </c>
      <c r="W228" s="49">
        <v>0.006508</v>
      </c>
      <c r="X228" s="49">
        <v>0.991459</v>
      </c>
      <c r="Y228" s="49">
        <v>0.6666666666666666</v>
      </c>
      <c r="Z228" s="49">
        <v>0</v>
      </c>
      <c r="AA228" s="73">
        <v>228</v>
      </c>
      <c r="AB228" s="73"/>
      <c r="AC228" s="74"/>
      <c r="AD228" s="80" t="s">
        <v>888</v>
      </c>
      <c r="AE228" s="80" t="s">
        <v>1216</v>
      </c>
      <c r="AF228" s="80" t="s">
        <v>1529</v>
      </c>
      <c r="AG228" s="80" t="s">
        <v>1708</v>
      </c>
      <c r="AH228" s="80" t="s">
        <v>1941</v>
      </c>
      <c r="AI228" s="80">
        <v>922191</v>
      </c>
      <c r="AJ228" s="80">
        <v>6150</v>
      </c>
      <c r="AK228" s="80">
        <v>20430</v>
      </c>
      <c r="AL228" s="80">
        <v>829</v>
      </c>
      <c r="AM228" s="80" t="s">
        <v>2047</v>
      </c>
      <c r="AN228" s="98" t="str">
        <f>HYPERLINK("https://www.youtube.com/watch?v=3aNhzLUL2ys")</f>
        <v>https://www.youtube.com/watch?v=3aNhzLUL2ys</v>
      </c>
      <c r="AO228" s="80" t="str">
        <f>REPLACE(INDEX(GroupVertices[Group],MATCH(Vertices[[#This Row],[Vertex]],GroupVertices[Vertex],0)),1,1,"")</f>
        <v>7</v>
      </c>
      <c r="AP228" s="48">
        <v>4</v>
      </c>
      <c r="AQ228" s="49">
        <v>8.88888888888889</v>
      </c>
      <c r="AR228" s="48">
        <v>0</v>
      </c>
      <c r="AS228" s="49">
        <v>0</v>
      </c>
      <c r="AT228" s="48">
        <v>0</v>
      </c>
      <c r="AU228" s="49">
        <v>0</v>
      </c>
      <c r="AV228" s="48">
        <v>41</v>
      </c>
      <c r="AW228" s="49">
        <v>91.11111111111111</v>
      </c>
      <c r="AX228" s="48">
        <v>45</v>
      </c>
      <c r="AY228" s="48"/>
      <c r="AZ228" s="48"/>
      <c r="BA228" s="48"/>
      <c r="BB228" s="48"/>
      <c r="BC228" s="2"/>
      <c r="BD228" s="3"/>
      <c r="BE228" s="3"/>
      <c r="BF228" s="3"/>
      <c r="BG228" s="3"/>
    </row>
    <row r="229" spans="1:59" ht="15">
      <c r="A229" s="66" t="s">
        <v>547</v>
      </c>
      <c r="B229" s="67"/>
      <c r="C229" s="67"/>
      <c r="D229" s="68">
        <v>118.11852574790234</v>
      </c>
      <c r="E229" s="70"/>
      <c r="F229" s="96" t="str">
        <f>HYPERLINK("https://i.ytimg.com/vi/6Ib2WMBmfFo/default.jpg")</f>
        <v>https://i.ytimg.com/vi/6Ib2WMBmfFo/default.jpg</v>
      </c>
      <c r="G229" s="67"/>
      <c r="H229" s="71" t="s">
        <v>889</v>
      </c>
      <c r="I229" s="72"/>
      <c r="J229" s="72" t="s">
        <v>75</v>
      </c>
      <c r="K229" s="71" t="s">
        <v>889</v>
      </c>
      <c r="L229" s="75">
        <v>3750.25</v>
      </c>
      <c r="M229" s="76">
        <v>8368.384765625</v>
      </c>
      <c r="N229" s="76">
        <v>5953.16162109375</v>
      </c>
      <c r="O229" s="77"/>
      <c r="P229" s="78"/>
      <c r="Q229" s="78"/>
      <c r="R229" s="82"/>
      <c r="S229" s="48">
        <v>3</v>
      </c>
      <c r="T229" s="48">
        <v>0</v>
      </c>
      <c r="U229" s="49">
        <v>0</v>
      </c>
      <c r="V229" s="49">
        <v>0.001044</v>
      </c>
      <c r="W229" s="49">
        <v>0.006508</v>
      </c>
      <c r="X229" s="49">
        <v>0.991459</v>
      </c>
      <c r="Y229" s="49">
        <v>0.6666666666666666</v>
      </c>
      <c r="Z229" s="49">
        <v>0</v>
      </c>
      <c r="AA229" s="73">
        <v>229</v>
      </c>
      <c r="AB229" s="73"/>
      <c r="AC229" s="74"/>
      <c r="AD229" s="80" t="s">
        <v>889</v>
      </c>
      <c r="AE229" s="80" t="s">
        <v>1217</v>
      </c>
      <c r="AF229" s="80" t="s">
        <v>1530</v>
      </c>
      <c r="AG229" s="80" t="s">
        <v>1709</v>
      </c>
      <c r="AH229" s="80" t="s">
        <v>1942</v>
      </c>
      <c r="AI229" s="80">
        <v>434798</v>
      </c>
      <c r="AJ229" s="80">
        <v>7281</v>
      </c>
      <c r="AK229" s="80">
        <v>16796</v>
      </c>
      <c r="AL229" s="80">
        <v>1028</v>
      </c>
      <c r="AM229" s="80" t="s">
        <v>2047</v>
      </c>
      <c r="AN229" s="98" t="str">
        <f>HYPERLINK("https://www.youtube.com/watch?v=6Ib2WMBmfFo")</f>
        <v>https://www.youtube.com/watch?v=6Ib2WMBmfFo</v>
      </c>
      <c r="AO229" s="80" t="str">
        <f>REPLACE(INDEX(GroupVertices[Group],MATCH(Vertices[[#This Row],[Vertex]],GroupVertices[Vertex],0)),1,1,"")</f>
        <v>7</v>
      </c>
      <c r="AP229" s="48">
        <v>4</v>
      </c>
      <c r="AQ229" s="49">
        <v>5.128205128205129</v>
      </c>
      <c r="AR229" s="48">
        <v>4</v>
      </c>
      <c r="AS229" s="49">
        <v>5.128205128205129</v>
      </c>
      <c r="AT229" s="48">
        <v>0</v>
      </c>
      <c r="AU229" s="49">
        <v>0</v>
      </c>
      <c r="AV229" s="48">
        <v>70</v>
      </c>
      <c r="AW229" s="49">
        <v>89.74358974358974</v>
      </c>
      <c r="AX229" s="48">
        <v>78</v>
      </c>
      <c r="AY229" s="48"/>
      <c r="AZ229" s="48"/>
      <c r="BA229" s="48"/>
      <c r="BB229" s="48"/>
      <c r="BC229" s="2"/>
      <c r="BD229" s="3"/>
      <c r="BE229" s="3"/>
      <c r="BF229" s="3"/>
      <c r="BG229" s="3"/>
    </row>
    <row r="230" spans="1:59" ht="15">
      <c r="A230" s="66" t="s">
        <v>548</v>
      </c>
      <c r="B230" s="67"/>
      <c r="C230" s="67"/>
      <c r="D230" s="68">
        <v>137.5838431017155</v>
      </c>
      <c r="E230" s="70"/>
      <c r="F230" s="96" t="str">
        <f>HYPERLINK("https://i.ytimg.com/vi/xXjsn9L-SGI/default.jpg")</f>
        <v>https://i.ytimg.com/vi/xXjsn9L-SGI/default.jpg</v>
      </c>
      <c r="G230" s="67"/>
      <c r="H230" s="71" t="s">
        <v>890</v>
      </c>
      <c r="I230" s="72"/>
      <c r="J230" s="72" t="s">
        <v>75</v>
      </c>
      <c r="K230" s="71" t="s">
        <v>890</v>
      </c>
      <c r="L230" s="75">
        <v>2500.5</v>
      </c>
      <c r="M230" s="76">
        <v>7396.6767578125</v>
      </c>
      <c r="N230" s="76">
        <v>5193.546875</v>
      </c>
      <c r="O230" s="77"/>
      <c r="P230" s="78"/>
      <c r="Q230" s="78"/>
      <c r="R230" s="82"/>
      <c r="S230" s="48">
        <v>2</v>
      </c>
      <c r="T230" s="48">
        <v>0</v>
      </c>
      <c r="U230" s="49">
        <v>0</v>
      </c>
      <c r="V230" s="49">
        <v>0.001049</v>
      </c>
      <c r="W230" s="49">
        <v>0.004962</v>
      </c>
      <c r="X230" s="49">
        <v>0.654255</v>
      </c>
      <c r="Y230" s="49">
        <v>0.5</v>
      </c>
      <c r="Z230" s="49">
        <v>0</v>
      </c>
      <c r="AA230" s="73">
        <v>230</v>
      </c>
      <c r="AB230" s="73"/>
      <c r="AC230" s="74"/>
      <c r="AD230" s="80" t="s">
        <v>890</v>
      </c>
      <c r="AE230" s="80" t="s">
        <v>1218</v>
      </c>
      <c r="AF230" s="80" t="s">
        <v>1531</v>
      </c>
      <c r="AG230" s="80" t="s">
        <v>1686</v>
      </c>
      <c r="AH230" s="80" t="s">
        <v>1943</v>
      </c>
      <c r="AI230" s="80">
        <v>653322</v>
      </c>
      <c r="AJ230" s="80">
        <v>0</v>
      </c>
      <c r="AK230" s="80">
        <v>2650</v>
      </c>
      <c r="AL230" s="80">
        <v>664</v>
      </c>
      <c r="AM230" s="80" t="s">
        <v>2047</v>
      </c>
      <c r="AN230" s="98" t="str">
        <f>HYPERLINK("https://www.youtube.com/watch?v=xXjsn9L-SGI")</f>
        <v>https://www.youtube.com/watch?v=xXjsn9L-SGI</v>
      </c>
      <c r="AO230" s="80" t="str">
        <f>REPLACE(INDEX(GroupVertices[Group],MATCH(Vertices[[#This Row],[Vertex]],GroupVertices[Vertex],0)),1,1,"")</f>
        <v>7</v>
      </c>
      <c r="AP230" s="48">
        <v>0</v>
      </c>
      <c r="AQ230" s="49">
        <v>0</v>
      </c>
      <c r="AR230" s="48">
        <v>2</v>
      </c>
      <c r="AS230" s="49">
        <v>5.714285714285714</v>
      </c>
      <c r="AT230" s="48">
        <v>0</v>
      </c>
      <c r="AU230" s="49">
        <v>0</v>
      </c>
      <c r="AV230" s="48">
        <v>33</v>
      </c>
      <c r="AW230" s="49">
        <v>94.28571428571429</v>
      </c>
      <c r="AX230" s="48">
        <v>35</v>
      </c>
      <c r="AY230" s="48"/>
      <c r="AZ230" s="48"/>
      <c r="BA230" s="48"/>
      <c r="BB230" s="48"/>
      <c r="BC230" s="2"/>
      <c r="BD230" s="3"/>
      <c r="BE230" s="3"/>
      <c r="BF230" s="3"/>
      <c r="BG230" s="3"/>
    </row>
    <row r="231" spans="1:59" ht="15">
      <c r="A231" s="66" t="s">
        <v>549</v>
      </c>
      <c r="B231" s="67"/>
      <c r="C231" s="67"/>
      <c r="D231" s="68">
        <v>112.40534767849638</v>
      </c>
      <c r="E231" s="70"/>
      <c r="F231" s="96" t="str">
        <f>HYPERLINK("https://i.ytimg.com/vi/e3jlXm6CLns/default.jpg")</f>
        <v>https://i.ytimg.com/vi/e3jlXm6CLns/default.jpg</v>
      </c>
      <c r="G231" s="67"/>
      <c r="H231" s="71" t="s">
        <v>891</v>
      </c>
      <c r="I231" s="72"/>
      <c r="J231" s="72" t="s">
        <v>159</v>
      </c>
      <c r="K231" s="71" t="s">
        <v>891</v>
      </c>
      <c r="L231" s="75">
        <v>1250.75</v>
      </c>
      <c r="M231" s="76">
        <v>8168.4951171875</v>
      </c>
      <c r="N231" s="76">
        <v>9854.505859375</v>
      </c>
      <c r="O231" s="77"/>
      <c r="P231" s="78"/>
      <c r="Q231" s="78"/>
      <c r="R231" s="82"/>
      <c r="S231" s="48">
        <v>1</v>
      </c>
      <c r="T231" s="48">
        <v>0</v>
      </c>
      <c r="U231" s="49">
        <v>0</v>
      </c>
      <c r="V231" s="49">
        <v>0.000926</v>
      </c>
      <c r="W231" s="49">
        <v>0.001993</v>
      </c>
      <c r="X231" s="49">
        <v>0.443738</v>
      </c>
      <c r="Y231" s="49">
        <v>0</v>
      </c>
      <c r="Z231" s="49">
        <v>0</v>
      </c>
      <c r="AA231" s="73">
        <v>231</v>
      </c>
      <c r="AB231" s="73"/>
      <c r="AC231" s="74"/>
      <c r="AD231" s="80" t="s">
        <v>891</v>
      </c>
      <c r="AE231" s="80" t="s">
        <v>1219</v>
      </c>
      <c r="AF231" s="80" t="s">
        <v>1532</v>
      </c>
      <c r="AG231" s="80" t="s">
        <v>1656</v>
      </c>
      <c r="AH231" s="80" t="s">
        <v>1944</v>
      </c>
      <c r="AI231" s="80">
        <v>370660</v>
      </c>
      <c r="AJ231" s="80">
        <v>426</v>
      </c>
      <c r="AK231" s="80">
        <v>11485</v>
      </c>
      <c r="AL231" s="80">
        <v>139</v>
      </c>
      <c r="AM231" s="80" t="s">
        <v>2047</v>
      </c>
      <c r="AN231" s="98" t="str">
        <f>HYPERLINK("https://www.youtube.com/watch?v=e3jlXm6CLns")</f>
        <v>https://www.youtube.com/watch?v=e3jlXm6CLns</v>
      </c>
      <c r="AO231" s="80" t="str">
        <f>REPLACE(INDEX(GroupVertices[Group],MATCH(Vertices[[#This Row],[Vertex]],GroupVertices[Vertex],0)),1,1,"")</f>
        <v>5</v>
      </c>
      <c r="AP231" s="48">
        <v>1</v>
      </c>
      <c r="AQ231" s="49">
        <v>1.7857142857142858</v>
      </c>
      <c r="AR231" s="48">
        <v>2</v>
      </c>
      <c r="AS231" s="49">
        <v>3.5714285714285716</v>
      </c>
      <c r="AT231" s="48">
        <v>0</v>
      </c>
      <c r="AU231" s="49">
        <v>0</v>
      </c>
      <c r="AV231" s="48">
        <v>53</v>
      </c>
      <c r="AW231" s="49">
        <v>94.64285714285714</v>
      </c>
      <c r="AX231" s="48">
        <v>56</v>
      </c>
      <c r="AY231" s="48"/>
      <c r="AZ231" s="48"/>
      <c r="BA231" s="48"/>
      <c r="BB231" s="48"/>
      <c r="BC231" s="2"/>
      <c r="BD231" s="3"/>
      <c r="BE231" s="3"/>
      <c r="BF231" s="3"/>
      <c r="BG231" s="3"/>
    </row>
    <row r="232" spans="1:59" ht="15">
      <c r="A232" s="66" t="s">
        <v>550</v>
      </c>
      <c r="B232" s="67"/>
      <c r="C232" s="67"/>
      <c r="D232" s="68">
        <v>102.5481602831853</v>
      </c>
      <c r="E232" s="70"/>
      <c r="F232" s="96" t="str">
        <f>HYPERLINK("https://i.ytimg.com/vi/q67IWTQ55vM/default.jpg")</f>
        <v>https://i.ytimg.com/vi/q67IWTQ55vM/default.jpg</v>
      </c>
      <c r="G232" s="67"/>
      <c r="H232" s="71" t="s">
        <v>892</v>
      </c>
      <c r="I232" s="72"/>
      <c r="J232" s="72" t="s">
        <v>159</v>
      </c>
      <c r="K232" s="71" t="s">
        <v>892</v>
      </c>
      <c r="L232" s="75">
        <v>1250.75</v>
      </c>
      <c r="M232" s="76">
        <v>8173.41259765625</v>
      </c>
      <c r="N232" s="76">
        <v>8783.806640625</v>
      </c>
      <c r="O232" s="77"/>
      <c r="P232" s="78"/>
      <c r="Q232" s="78"/>
      <c r="R232" s="82"/>
      <c r="S232" s="48">
        <v>1</v>
      </c>
      <c r="T232" s="48">
        <v>0</v>
      </c>
      <c r="U232" s="49">
        <v>0</v>
      </c>
      <c r="V232" s="49">
        <v>0.000926</v>
      </c>
      <c r="W232" s="49">
        <v>0.001993</v>
      </c>
      <c r="X232" s="49">
        <v>0.443738</v>
      </c>
      <c r="Y232" s="49">
        <v>0</v>
      </c>
      <c r="Z232" s="49">
        <v>0</v>
      </c>
      <c r="AA232" s="73">
        <v>232</v>
      </c>
      <c r="AB232" s="73"/>
      <c r="AC232" s="74"/>
      <c r="AD232" s="80" t="s">
        <v>892</v>
      </c>
      <c r="AE232" s="80" t="s">
        <v>1220</v>
      </c>
      <c r="AF232" s="80" t="s">
        <v>1533</v>
      </c>
      <c r="AG232" s="80" t="s">
        <v>1656</v>
      </c>
      <c r="AH232" s="80" t="s">
        <v>1945</v>
      </c>
      <c r="AI232" s="80">
        <v>260000</v>
      </c>
      <c r="AJ232" s="80">
        <v>1554</v>
      </c>
      <c r="AK232" s="80">
        <v>11222</v>
      </c>
      <c r="AL232" s="80">
        <v>413</v>
      </c>
      <c r="AM232" s="80" t="s">
        <v>2047</v>
      </c>
      <c r="AN232" s="98" t="str">
        <f>HYPERLINK("https://www.youtube.com/watch?v=q67IWTQ55vM")</f>
        <v>https://www.youtube.com/watch?v=q67IWTQ55vM</v>
      </c>
      <c r="AO232" s="80" t="str">
        <f>REPLACE(INDEX(GroupVertices[Group],MATCH(Vertices[[#This Row],[Vertex]],GroupVertices[Vertex],0)),1,1,"")</f>
        <v>5</v>
      </c>
      <c r="AP232" s="48">
        <v>1</v>
      </c>
      <c r="AQ232" s="49">
        <v>2.1739130434782608</v>
      </c>
      <c r="AR232" s="48">
        <v>1</v>
      </c>
      <c r="AS232" s="49">
        <v>2.1739130434782608</v>
      </c>
      <c r="AT232" s="48">
        <v>0</v>
      </c>
      <c r="AU232" s="49">
        <v>0</v>
      </c>
      <c r="AV232" s="48">
        <v>44</v>
      </c>
      <c r="AW232" s="49">
        <v>95.65217391304348</v>
      </c>
      <c r="AX232" s="48">
        <v>46</v>
      </c>
      <c r="AY232" s="48"/>
      <c r="AZ232" s="48"/>
      <c r="BA232" s="48"/>
      <c r="BB232" s="48"/>
      <c r="BC232" s="2"/>
      <c r="BD232" s="3"/>
      <c r="BE232" s="3"/>
      <c r="BF232" s="3"/>
      <c r="BG232" s="3"/>
    </row>
    <row r="233" spans="1:59" ht="15">
      <c r="A233" s="66" t="s">
        <v>551</v>
      </c>
      <c r="B233" s="67"/>
      <c r="C233" s="67"/>
      <c r="D233" s="68">
        <v>175.29671521327003</v>
      </c>
      <c r="E233" s="70"/>
      <c r="F233" s="96" t="str">
        <f>HYPERLINK("https://i.ytimg.com/vi/uql9B93h1Xc/default.jpg")</f>
        <v>https://i.ytimg.com/vi/uql9B93h1Xc/default.jpg</v>
      </c>
      <c r="G233" s="67"/>
      <c r="H233" s="71" t="s">
        <v>893</v>
      </c>
      <c r="I233" s="72"/>
      <c r="J233" s="72" t="s">
        <v>159</v>
      </c>
      <c r="K233" s="71" t="s">
        <v>893</v>
      </c>
      <c r="L233" s="75">
        <v>1250.75</v>
      </c>
      <c r="M233" s="76">
        <v>7131.216796875</v>
      </c>
      <c r="N233" s="76">
        <v>7099.61572265625</v>
      </c>
      <c r="O233" s="77"/>
      <c r="P233" s="78"/>
      <c r="Q233" s="78"/>
      <c r="R233" s="82"/>
      <c r="S233" s="48">
        <v>1</v>
      </c>
      <c r="T233" s="48">
        <v>0</v>
      </c>
      <c r="U233" s="49">
        <v>0</v>
      </c>
      <c r="V233" s="49">
        <v>0.000926</v>
      </c>
      <c r="W233" s="49">
        <v>0.001993</v>
      </c>
      <c r="X233" s="49">
        <v>0.443738</v>
      </c>
      <c r="Y233" s="49">
        <v>0</v>
      </c>
      <c r="Z233" s="49">
        <v>0</v>
      </c>
      <c r="AA233" s="73">
        <v>233</v>
      </c>
      <c r="AB233" s="73"/>
      <c r="AC233" s="74"/>
      <c r="AD233" s="80" t="s">
        <v>893</v>
      </c>
      <c r="AE233" s="80" t="s">
        <v>1221</v>
      </c>
      <c r="AF233" s="80" t="s">
        <v>1534</v>
      </c>
      <c r="AG233" s="80" t="s">
        <v>1656</v>
      </c>
      <c r="AH233" s="80" t="s">
        <v>1946</v>
      </c>
      <c r="AI233" s="80">
        <v>1076699</v>
      </c>
      <c r="AJ233" s="80">
        <v>2310</v>
      </c>
      <c r="AK233" s="80">
        <v>26372</v>
      </c>
      <c r="AL233" s="80">
        <v>282</v>
      </c>
      <c r="AM233" s="80" t="s">
        <v>2047</v>
      </c>
      <c r="AN233" s="98" t="str">
        <f>HYPERLINK("https://www.youtube.com/watch?v=uql9B93h1Xc")</f>
        <v>https://www.youtube.com/watch?v=uql9B93h1Xc</v>
      </c>
      <c r="AO233" s="80" t="str">
        <f>REPLACE(INDEX(GroupVertices[Group],MATCH(Vertices[[#This Row],[Vertex]],GroupVertices[Vertex],0)),1,1,"")</f>
        <v>5</v>
      </c>
      <c r="AP233" s="48">
        <v>1</v>
      </c>
      <c r="AQ233" s="49">
        <v>1.639344262295082</v>
      </c>
      <c r="AR233" s="48">
        <v>6</v>
      </c>
      <c r="AS233" s="49">
        <v>9.836065573770492</v>
      </c>
      <c r="AT233" s="48">
        <v>0</v>
      </c>
      <c r="AU233" s="49">
        <v>0</v>
      </c>
      <c r="AV233" s="48">
        <v>54</v>
      </c>
      <c r="AW233" s="49">
        <v>88.52459016393442</v>
      </c>
      <c r="AX233" s="48">
        <v>61</v>
      </c>
      <c r="AY233" s="48"/>
      <c r="AZ233" s="48"/>
      <c r="BA233" s="48"/>
      <c r="BB233" s="48"/>
      <c r="BC233" s="2"/>
      <c r="BD233" s="3"/>
      <c r="BE233" s="3"/>
      <c r="BF233" s="3"/>
      <c r="BG233" s="3"/>
    </row>
    <row r="234" spans="1:59" ht="15">
      <c r="A234" s="66" t="s">
        <v>552</v>
      </c>
      <c r="B234" s="67"/>
      <c r="C234" s="67"/>
      <c r="D234" s="68">
        <v>112.19165354727146</v>
      </c>
      <c r="E234" s="70"/>
      <c r="F234" s="96" t="str">
        <f>HYPERLINK("https://i.ytimg.com/vi/tquABLc3Hhs/default.jpg")</f>
        <v>https://i.ytimg.com/vi/tquABLc3Hhs/default.jpg</v>
      </c>
      <c r="G234" s="67"/>
      <c r="H234" s="71" t="s">
        <v>894</v>
      </c>
      <c r="I234" s="72"/>
      <c r="J234" s="72" t="s">
        <v>159</v>
      </c>
      <c r="K234" s="71" t="s">
        <v>894</v>
      </c>
      <c r="L234" s="75">
        <v>1250.75</v>
      </c>
      <c r="M234" s="76">
        <v>8031.904296875</v>
      </c>
      <c r="N234" s="76">
        <v>6681.771484375</v>
      </c>
      <c r="O234" s="77"/>
      <c r="P234" s="78"/>
      <c r="Q234" s="78"/>
      <c r="R234" s="82"/>
      <c r="S234" s="48">
        <v>1</v>
      </c>
      <c r="T234" s="48">
        <v>0</v>
      </c>
      <c r="U234" s="49">
        <v>0</v>
      </c>
      <c r="V234" s="49">
        <v>0.000926</v>
      </c>
      <c r="W234" s="49">
        <v>0.001993</v>
      </c>
      <c r="X234" s="49">
        <v>0.443738</v>
      </c>
      <c r="Y234" s="49">
        <v>0</v>
      </c>
      <c r="Z234" s="49">
        <v>0</v>
      </c>
      <c r="AA234" s="73">
        <v>234</v>
      </c>
      <c r="AB234" s="73"/>
      <c r="AC234" s="74"/>
      <c r="AD234" s="80" t="s">
        <v>894</v>
      </c>
      <c r="AE234" s="80" t="s">
        <v>1222</v>
      </c>
      <c r="AF234" s="80" t="s">
        <v>1535</v>
      </c>
      <c r="AG234" s="80" t="s">
        <v>1656</v>
      </c>
      <c r="AH234" s="80" t="s">
        <v>1947</v>
      </c>
      <c r="AI234" s="80">
        <v>368261</v>
      </c>
      <c r="AJ234" s="80">
        <v>818</v>
      </c>
      <c r="AK234" s="80">
        <v>11102</v>
      </c>
      <c r="AL234" s="80">
        <v>237</v>
      </c>
      <c r="AM234" s="80" t="s">
        <v>2047</v>
      </c>
      <c r="AN234" s="98" t="str">
        <f>HYPERLINK("https://www.youtube.com/watch?v=tquABLc3Hhs")</f>
        <v>https://www.youtube.com/watch?v=tquABLc3Hhs</v>
      </c>
      <c r="AO234" s="80" t="str">
        <f>REPLACE(INDEX(GroupVertices[Group],MATCH(Vertices[[#This Row],[Vertex]],GroupVertices[Vertex],0)),1,1,"")</f>
        <v>5</v>
      </c>
      <c r="AP234" s="48">
        <v>1</v>
      </c>
      <c r="AQ234" s="49">
        <v>2.1739130434782608</v>
      </c>
      <c r="AR234" s="48">
        <v>2</v>
      </c>
      <c r="AS234" s="49">
        <v>4.3478260869565215</v>
      </c>
      <c r="AT234" s="48">
        <v>0</v>
      </c>
      <c r="AU234" s="49">
        <v>0</v>
      </c>
      <c r="AV234" s="48">
        <v>43</v>
      </c>
      <c r="AW234" s="49">
        <v>93.47826086956522</v>
      </c>
      <c r="AX234" s="48">
        <v>46</v>
      </c>
      <c r="AY234" s="48"/>
      <c r="AZ234" s="48"/>
      <c r="BA234" s="48"/>
      <c r="BB234" s="48"/>
      <c r="BC234" s="2"/>
      <c r="BD234" s="3"/>
      <c r="BE234" s="3"/>
      <c r="BF234" s="3"/>
      <c r="BG234" s="3"/>
    </row>
    <row r="235" spans="1:59" ht="15">
      <c r="A235" s="66" t="s">
        <v>553</v>
      </c>
      <c r="B235" s="67"/>
      <c r="C235" s="67"/>
      <c r="D235" s="68">
        <v>179.52588151685381</v>
      </c>
      <c r="E235" s="70"/>
      <c r="F235" s="96" t="str">
        <f>HYPERLINK("https://i.ytimg.com/vi/1qQE5Xwe7fs/default.jpg")</f>
        <v>https://i.ytimg.com/vi/1qQE5Xwe7fs/default.jpg</v>
      </c>
      <c r="G235" s="67"/>
      <c r="H235" s="71" t="s">
        <v>895</v>
      </c>
      <c r="I235" s="72"/>
      <c r="J235" s="72" t="s">
        <v>159</v>
      </c>
      <c r="K235" s="71" t="s">
        <v>895</v>
      </c>
      <c r="L235" s="75">
        <v>1250.75</v>
      </c>
      <c r="M235" s="76">
        <v>8314.6259765625</v>
      </c>
      <c r="N235" s="76">
        <v>9418.0615234375</v>
      </c>
      <c r="O235" s="77"/>
      <c r="P235" s="78"/>
      <c r="Q235" s="78"/>
      <c r="R235" s="82"/>
      <c r="S235" s="48">
        <v>1</v>
      </c>
      <c r="T235" s="48">
        <v>0</v>
      </c>
      <c r="U235" s="49">
        <v>0</v>
      </c>
      <c r="V235" s="49">
        <v>0.000926</v>
      </c>
      <c r="W235" s="49">
        <v>0.001993</v>
      </c>
      <c r="X235" s="49">
        <v>0.443738</v>
      </c>
      <c r="Y235" s="49">
        <v>0</v>
      </c>
      <c r="Z235" s="49">
        <v>0</v>
      </c>
      <c r="AA235" s="73">
        <v>235</v>
      </c>
      <c r="AB235" s="73"/>
      <c r="AC235" s="74"/>
      <c r="AD235" s="80" t="s">
        <v>895</v>
      </c>
      <c r="AE235" s="80" t="s">
        <v>1223</v>
      </c>
      <c r="AF235" s="80" t="s">
        <v>1536</v>
      </c>
      <c r="AG235" s="80" t="s">
        <v>1656</v>
      </c>
      <c r="AH235" s="80" t="s">
        <v>1948</v>
      </c>
      <c r="AI235" s="80">
        <v>1124177</v>
      </c>
      <c r="AJ235" s="80">
        <v>2780</v>
      </c>
      <c r="AK235" s="80">
        <v>29506</v>
      </c>
      <c r="AL235" s="80">
        <v>475</v>
      </c>
      <c r="AM235" s="80" t="s">
        <v>2047</v>
      </c>
      <c r="AN235" s="98" t="str">
        <f>HYPERLINK("https://www.youtube.com/watch?v=1qQE5Xwe7fs")</f>
        <v>https://www.youtube.com/watch?v=1qQE5Xwe7fs</v>
      </c>
      <c r="AO235" s="80" t="str">
        <f>REPLACE(INDEX(GroupVertices[Group],MATCH(Vertices[[#This Row],[Vertex]],GroupVertices[Vertex],0)),1,1,"")</f>
        <v>5</v>
      </c>
      <c r="AP235" s="48">
        <v>1</v>
      </c>
      <c r="AQ235" s="49">
        <v>5.2631578947368425</v>
      </c>
      <c r="AR235" s="48">
        <v>0</v>
      </c>
      <c r="AS235" s="49">
        <v>0</v>
      </c>
      <c r="AT235" s="48">
        <v>0</v>
      </c>
      <c r="AU235" s="49">
        <v>0</v>
      </c>
      <c r="AV235" s="48">
        <v>18</v>
      </c>
      <c r="AW235" s="49">
        <v>94.73684210526316</v>
      </c>
      <c r="AX235" s="48">
        <v>19</v>
      </c>
      <c r="AY235" s="48"/>
      <c r="AZ235" s="48"/>
      <c r="BA235" s="48"/>
      <c r="BB235" s="48"/>
      <c r="BC235" s="2"/>
      <c r="BD235" s="3"/>
      <c r="BE235" s="3"/>
      <c r="BF235" s="3"/>
      <c r="BG235" s="3"/>
    </row>
    <row r="236" spans="1:59" ht="15">
      <c r="A236" s="66" t="s">
        <v>554</v>
      </c>
      <c r="B236" s="67"/>
      <c r="C236" s="67"/>
      <c r="D236" s="68">
        <v>196.70514377114353</v>
      </c>
      <c r="E236" s="70"/>
      <c r="F236" s="96" t="str">
        <f>HYPERLINK("https://i.ytimg.com/vi/dS5TmfOwBnw/default.jpg")</f>
        <v>https://i.ytimg.com/vi/dS5TmfOwBnw/default.jpg</v>
      </c>
      <c r="G236" s="67"/>
      <c r="H236" s="71" t="s">
        <v>896</v>
      </c>
      <c r="I236" s="72"/>
      <c r="J236" s="72" t="s">
        <v>159</v>
      </c>
      <c r="K236" s="71" t="s">
        <v>896</v>
      </c>
      <c r="L236" s="75">
        <v>1250.75</v>
      </c>
      <c r="M236" s="76">
        <v>9071.5625</v>
      </c>
      <c r="N236" s="76">
        <v>6852.4951171875</v>
      </c>
      <c r="O236" s="77"/>
      <c r="P236" s="78"/>
      <c r="Q236" s="78"/>
      <c r="R236" s="82"/>
      <c r="S236" s="48">
        <v>1</v>
      </c>
      <c r="T236" s="48">
        <v>0</v>
      </c>
      <c r="U236" s="49">
        <v>0</v>
      </c>
      <c r="V236" s="49">
        <v>0.000926</v>
      </c>
      <c r="W236" s="49">
        <v>0.001993</v>
      </c>
      <c r="X236" s="49">
        <v>0.443738</v>
      </c>
      <c r="Y236" s="49">
        <v>0</v>
      </c>
      <c r="Z236" s="49">
        <v>0</v>
      </c>
      <c r="AA236" s="73">
        <v>236</v>
      </c>
      <c r="AB236" s="73"/>
      <c r="AC236" s="74"/>
      <c r="AD236" s="80" t="s">
        <v>896</v>
      </c>
      <c r="AE236" s="80" t="s">
        <v>1224</v>
      </c>
      <c r="AF236" s="80" t="s">
        <v>1537</v>
      </c>
      <c r="AG236" s="80" t="s">
        <v>1656</v>
      </c>
      <c r="AH236" s="80" t="s">
        <v>1949</v>
      </c>
      <c r="AI236" s="80">
        <v>1317037</v>
      </c>
      <c r="AJ236" s="80">
        <v>1537</v>
      </c>
      <c r="AK236" s="80">
        <v>14789</v>
      </c>
      <c r="AL236" s="80">
        <v>419</v>
      </c>
      <c r="AM236" s="80" t="s">
        <v>2047</v>
      </c>
      <c r="AN236" s="98" t="str">
        <f>HYPERLINK("https://www.youtube.com/watch?v=dS5TmfOwBnw")</f>
        <v>https://www.youtube.com/watch?v=dS5TmfOwBnw</v>
      </c>
      <c r="AO236" s="80" t="str">
        <f>REPLACE(INDEX(GroupVertices[Group],MATCH(Vertices[[#This Row],[Vertex]],GroupVertices[Vertex],0)),1,1,"")</f>
        <v>5</v>
      </c>
      <c r="AP236" s="48">
        <v>2</v>
      </c>
      <c r="AQ236" s="49">
        <v>9.523809523809524</v>
      </c>
      <c r="AR236" s="48">
        <v>0</v>
      </c>
      <c r="AS236" s="49">
        <v>0</v>
      </c>
      <c r="AT236" s="48">
        <v>0</v>
      </c>
      <c r="AU236" s="49">
        <v>0</v>
      </c>
      <c r="AV236" s="48">
        <v>19</v>
      </c>
      <c r="AW236" s="49">
        <v>90.47619047619048</v>
      </c>
      <c r="AX236" s="48">
        <v>21</v>
      </c>
      <c r="AY236" s="48"/>
      <c r="AZ236" s="48"/>
      <c r="BA236" s="48"/>
      <c r="BB236" s="48"/>
      <c r="BC236" s="2"/>
      <c r="BD236" s="3"/>
      <c r="BE236" s="3"/>
      <c r="BF236" s="3"/>
      <c r="BG236" s="3"/>
    </row>
    <row r="237" spans="1:59" ht="15">
      <c r="A237" s="66" t="s">
        <v>555</v>
      </c>
      <c r="B237" s="67"/>
      <c r="C237" s="67"/>
      <c r="D237" s="68">
        <v>135.58122890488391</v>
      </c>
      <c r="E237" s="70"/>
      <c r="F237" s="96" t="str">
        <f>HYPERLINK("https://i.ytimg.com/vi/kjFPUoIXd80/default.jpg")</f>
        <v>https://i.ytimg.com/vi/kjFPUoIXd80/default.jpg</v>
      </c>
      <c r="G237" s="67"/>
      <c r="H237" s="71" t="s">
        <v>897</v>
      </c>
      <c r="I237" s="72"/>
      <c r="J237" s="72" t="s">
        <v>159</v>
      </c>
      <c r="K237" s="71" t="s">
        <v>897</v>
      </c>
      <c r="L237" s="75">
        <v>1250.75</v>
      </c>
      <c r="M237" s="76">
        <v>8384.18359375</v>
      </c>
      <c r="N237" s="76">
        <v>6097.65625</v>
      </c>
      <c r="O237" s="77"/>
      <c r="P237" s="78"/>
      <c r="Q237" s="78"/>
      <c r="R237" s="82"/>
      <c r="S237" s="48">
        <v>1</v>
      </c>
      <c r="T237" s="48">
        <v>0</v>
      </c>
      <c r="U237" s="49">
        <v>0</v>
      </c>
      <c r="V237" s="49">
        <v>0.000926</v>
      </c>
      <c r="W237" s="49">
        <v>0.001993</v>
      </c>
      <c r="X237" s="49">
        <v>0.443738</v>
      </c>
      <c r="Y237" s="49">
        <v>0</v>
      </c>
      <c r="Z237" s="49">
        <v>0</v>
      </c>
      <c r="AA237" s="73">
        <v>237</v>
      </c>
      <c r="AB237" s="73"/>
      <c r="AC237" s="74"/>
      <c r="AD237" s="80" t="s">
        <v>897</v>
      </c>
      <c r="AE237" s="80" t="s">
        <v>1225</v>
      </c>
      <c r="AF237" s="80" t="s">
        <v>1538</v>
      </c>
      <c r="AG237" s="80" t="s">
        <v>1656</v>
      </c>
      <c r="AH237" s="80" t="s">
        <v>1950</v>
      </c>
      <c r="AI237" s="80">
        <v>630840</v>
      </c>
      <c r="AJ237" s="80">
        <v>4474</v>
      </c>
      <c r="AK237" s="80">
        <v>16046</v>
      </c>
      <c r="AL237" s="80">
        <v>342</v>
      </c>
      <c r="AM237" s="80" t="s">
        <v>2047</v>
      </c>
      <c r="AN237" s="98" t="str">
        <f>HYPERLINK("https://www.youtube.com/watch?v=kjFPUoIXd80")</f>
        <v>https://www.youtube.com/watch?v=kjFPUoIXd80</v>
      </c>
      <c r="AO237" s="80" t="str">
        <f>REPLACE(INDEX(GroupVertices[Group],MATCH(Vertices[[#This Row],[Vertex]],GroupVertices[Vertex],0)),1,1,"")</f>
        <v>5</v>
      </c>
      <c r="AP237" s="48">
        <v>0</v>
      </c>
      <c r="AQ237" s="49">
        <v>0</v>
      </c>
      <c r="AR237" s="48">
        <v>2</v>
      </c>
      <c r="AS237" s="49">
        <v>8</v>
      </c>
      <c r="AT237" s="48">
        <v>0</v>
      </c>
      <c r="AU237" s="49">
        <v>0</v>
      </c>
      <c r="AV237" s="48">
        <v>23</v>
      </c>
      <c r="AW237" s="49">
        <v>92</v>
      </c>
      <c r="AX237" s="48">
        <v>25</v>
      </c>
      <c r="AY237" s="48"/>
      <c r="AZ237" s="48"/>
      <c r="BA237" s="48"/>
      <c r="BB237" s="48"/>
      <c r="BC237" s="2"/>
      <c r="BD237" s="3"/>
      <c r="BE237" s="3"/>
      <c r="BF237" s="3"/>
      <c r="BG237" s="3"/>
    </row>
    <row r="238" spans="1:59" ht="15">
      <c r="A238" s="66" t="s">
        <v>556</v>
      </c>
      <c r="B238" s="67"/>
      <c r="C238" s="67"/>
      <c r="D238" s="68">
        <v>197.70520380084855</v>
      </c>
      <c r="E238" s="70"/>
      <c r="F238" s="96" t="str">
        <f>HYPERLINK("https://i.ytimg.com/vi/GmHGUTNoL-I/default.jpg")</f>
        <v>https://i.ytimg.com/vi/GmHGUTNoL-I/default.jpg</v>
      </c>
      <c r="G238" s="67"/>
      <c r="H238" s="71" t="s">
        <v>898</v>
      </c>
      <c r="I238" s="72"/>
      <c r="J238" s="72" t="s">
        <v>159</v>
      </c>
      <c r="K238" s="71" t="s">
        <v>898</v>
      </c>
      <c r="L238" s="75">
        <v>1250.75</v>
      </c>
      <c r="M238" s="76">
        <v>8805.5419921875</v>
      </c>
      <c r="N238" s="76">
        <v>8436.1064453125</v>
      </c>
      <c r="O238" s="77"/>
      <c r="P238" s="78"/>
      <c r="Q238" s="78"/>
      <c r="R238" s="82"/>
      <c r="S238" s="48">
        <v>1</v>
      </c>
      <c r="T238" s="48">
        <v>0</v>
      </c>
      <c r="U238" s="49">
        <v>0</v>
      </c>
      <c r="V238" s="49">
        <v>0.000926</v>
      </c>
      <c r="W238" s="49">
        <v>0.001993</v>
      </c>
      <c r="X238" s="49">
        <v>0.443738</v>
      </c>
      <c r="Y238" s="49">
        <v>0</v>
      </c>
      <c r="Z238" s="49">
        <v>0</v>
      </c>
      <c r="AA238" s="73">
        <v>238</v>
      </c>
      <c r="AB238" s="73"/>
      <c r="AC238" s="74"/>
      <c r="AD238" s="80" t="s">
        <v>898</v>
      </c>
      <c r="AE238" s="80" t="s">
        <v>1226</v>
      </c>
      <c r="AF238" s="80" t="s">
        <v>1539</v>
      </c>
      <c r="AG238" s="80" t="s">
        <v>1656</v>
      </c>
      <c r="AH238" s="80" t="s">
        <v>1951</v>
      </c>
      <c r="AI238" s="80">
        <v>1328264</v>
      </c>
      <c r="AJ238" s="80">
        <v>2421</v>
      </c>
      <c r="AK238" s="80">
        <v>26958</v>
      </c>
      <c r="AL238" s="80">
        <v>324</v>
      </c>
      <c r="AM238" s="80" t="s">
        <v>2047</v>
      </c>
      <c r="AN238" s="98" t="str">
        <f>HYPERLINK("https://www.youtube.com/watch?v=GmHGUTNoL-I")</f>
        <v>https://www.youtube.com/watch?v=GmHGUTNoL-I</v>
      </c>
      <c r="AO238" s="80" t="str">
        <f>REPLACE(INDEX(GroupVertices[Group],MATCH(Vertices[[#This Row],[Vertex]],GroupVertices[Vertex],0)),1,1,"")</f>
        <v>5</v>
      </c>
      <c r="AP238" s="48">
        <v>0</v>
      </c>
      <c r="AQ238" s="49">
        <v>0</v>
      </c>
      <c r="AR238" s="48">
        <v>1</v>
      </c>
      <c r="AS238" s="49">
        <v>5.2631578947368425</v>
      </c>
      <c r="AT238" s="48">
        <v>0</v>
      </c>
      <c r="AU238" s="49">
        <v>0</v>
      </c>
      <c r="AV238" s="48">
        <v>18</v>
      </c>
      <c r="AW238" s="49">
        <v>94.73684210526316</v>
      </c>
      <c r="AX238" s="48">
        <v>19</v>
      </c>
      <c r="AY238" s="48"/>
      <c r="AZ238" s="48"/>
      <c r="BA238" s="48"/>
      <c r="BB238" s="48"/>
      <c r="BC238" s="2"/>
      <c r="BD238" s="3"/>
      <c r="BE238" s="3"/>
      <c r="BF238" s="3"/>
      <c r="BG238" s="3"/>
    </row>
    <row r="239" spans="1:59" ht="15">
      <c r="A239" s="66" t="s">
        <v>557</v>
      </c>
      <c r="B239" s="67"/>
      <c r="C239" s="67"/>
      <c r="D239" s="68">
        <v>191.45881478124983</v>
      </c>
      <c r="E239" s="70"/>
      <c r="F239" s="96" t="str">
        <f>HYPERLINK("https://i.ytimg.com/vi/SAkp7oOTwK8/default.jpg")</f>
        <v>https://i.ytimg.com/vi/SAkp7oOTwK8/default.jpg</v>
      </c>
      <c r="G239" s="67"/>
      <c r="H239" s="71" t="s">
        <v>899</v>
      </c>
      <c r="I239" s="72"/>
      <c r="J239" s="72" t="s">
        <v>159</v>
      </c>
      <c r="K239" s="71" t="s">
        <v>899</v>
      </c>
      <c r="L239" s="75">
        <v>1250.75</v>
      </c>
      <c r="M239" s="76">
        <v>9412.12890625</v>
      </c>
      <c r="N239" s="76">
        <v>8094.59912109375</v>
      </c>
      <c r="O239" s="77"/>
      <c r="P239" s="78"/>
      <c r="Q239" s="78"/>
      <c r="R239" s="82"/>
      <c r="S239" s="48">
        <v>1</v>
      </c>
      <c r="T239" s="48">
        <v>0</v>
      </c>
      <c r="U239" s="49">
        <v>0</v>
      </c>
      <c r="V239" s="49">
        <v>0.000926</v>
      </c>
      <c r="W239" s="49">
        <v>0.001993</v>
      </c>
      <c r="X239" s="49">
        <v>0.443738</v>
      </c>
      <c r="Y239" s="49">
        <v>0</v>
      </c>
      <c r="Z239" s="49">
        <v>0</v>
      </c>
      <c r="AA239" s="73">
        <v>239</v>
      </c>
      <c r="AB239" s="73"/>
      <c r="AC239" s="74"/>
      <c r="AD239" s="80" t="s">
        <v>899</v>
      </c>
      <c r="AE239" s="80" t="s">
        <v>1227</v>
      </c>
      <c r="AF239" s="80" t="s">
        <v>1540</v>
      </c>
      <c r="AG239" s="80" t="s">
        <v>1656</v>
      </c>
      <c r="AH239" s="80" t="s">
        <v>1952</v>
      </c>
      <c r="AI239" s="80">
        <v>1258140</v>
      </c>
      <c r="AJ239" s="80">
        <v>1401</v>
      </c>
      <c r="AK239" s="80">
        <v>22778</v>
      </c>
      <c r="AL239" s="80">
        <v>408</v>
      </c>
      <c r="AM239" s="80" t="s">
        <v>2047</v>
      </c>
      <c r="AN239" s="98" t="str">
        <f>HYPERLINK("https://www.youtube.com/watch?v=SAkp7oOTwK8")</f>
        <v>https://www.youtube.com/watch?v=SAkp7oOTwK8</v>
      </c>
      <c r="AO239" s="80" t="str">
        <f>REPLACE(INDEX(GroupVertices[Group],MATCH(Vertices[[#This Row],[Vertex]],GroupVertices[Vertex],0)),1,1,"")</f>
        <v>5</v>
      </c>
      <c r="AP239" s="48">
        <v>0</v>
      </c>
      <c r="AQ239" s="49">
        <v>0</v>
      </c>
      <c r="AR239" s="48">
        <v>1</v>
      </c>
      <c r="AS239" s="49">
        <v>3.3333333333333335</v>
      </c>
      <c r="AT239" s="48">
        <v>0</v>
      </c>
      <c r="AU239" s="49">
        <v>0</v>
      </c>
      <c r="AV239" s="48">
        <v>29</v>
      </c>
      <c r="AW239" s="49">
        <v>96.66666666666667</v>
      </c>
      <c r="AX239" s="48">
        <v>30</v>
      </c>
      <c r="AY239" s="48"/>
      <c r="AZ239" s="48"/>
      <c r="BA239" s="48"/>
      <c r="BB239" s="48"/>
      <c r="BC239" s="2"/>
      <c r="BD239" s="3"/>
      <c r="BE239" s="3"/>
      <c r="BF239" s="3"/>
      <c r="BG239" s="3"/>
    </row>
    <row r="240" spans="1:59" ht="15">
      <c r="A240" s="66" t="s">
        <v>558</v>
      </c>
      <c r="B240" s="67"/>
      <c r="C240" s="67"/>
      <c r="D240" s="68">
        <v>207.48204434065116</v>
      </c>
      <c r="E240" s="70"/>
      <c r="F240" s="96" t="str">
        <f>HYPERLINK("https://i.ytimg.com/vi/EHQ4n980evI/default.jpg")</f>
        <v>https://i.ytimg.com/vi/EHQ4n980evI/default.jpg</v>
      </c>
      <c r="G240" s="67"/>
      <c r="H240" s="71" t="s">
        <v>900</v>
      </c>
      <c r="I240" s="72"/>
      <c r="J240" s="72" t="s">
        <v>159</v>
      </c>
      <c r="K240" s="71" t="s">
        <v>900</v>
      </c>
      <c r="L240" s="75">
        <v>1250.75</v>
      </c>
      <c r="M240" s="76">
        <v>6981.55029296875</v>
      </c>
      <c r="N240" s="76">
        <v>7996.39306640625</v>
      </c>
      <c r="O240" s="77"/>
      <c r="P240" s="78"/>
      <c r="Q240" s="78"/>
      <c r="R240" s="82"/>
      <c r="S240" s="48">
        <v>1</v>
      </c>
      <c r="T240" s="48">
        <v>0</v>
      </c>
      <c r="U240" s="49">
        <v>0</v>
      </c>
      <c r="V240" s="49">
        <v>0.000926</v>
      </c>
      <c r="W240" s="49">
        <v>0.001993</v>
      </c>
      <c r="X240" s="49">
        <v>0.443738</v>
      </c>
      <c r="Y240" s="49">
        <v>0</v>
      </c>
      <c r="Z240" s="49">
        <v>0</v>
      </c>
      <c r="AA240" s="73">
        <v>240</v>
      </c>
      <c r="AB240" s="73"/>
      <c r="AC240" s="74"/>
      <c r="AD240" s="80" t="s">
        <v>900</v>
      </c>
      <c r="AE240" s="80" t="s">
        <v>1228</v>
      </c>
      <c r="AF240" s="80" t="s">
        <v>1541</v>
      </c>
      <c r="AG240" s="80" t="s">
        <v>1656</v>
      </c>
      <c r="AH240" s="80" t="s">
        <v>1953</v>
      </c>
      <c r="AI240" s="80">
        <v>1438022</v>
      </c>
      <c r="AJ240" s="80">
        <v>3967</v>
      </c>
      <c r="AK240" s="80">
        <v>38162</v>
      </c>
      <c r="AL240" s="80">
        <v>958</v>
      </c>
      <c r="AM240" s="80" t="s">
        <v>2047</v>
      </c>
      <c r="AN240" s="98" t="str">
        <f>HYPERLINK("https://www.youtube.com/watch?v=EHQ4n980evI")</f>
        <v>https://www.youtube.com/watch?v=EHQ4n980evI</v>
      </c>
      <c r="AO240" s="80" t="str">
        <f>REPLACE(INDEX(GroupVertices[Group],MATCH(Vertices[[#This Row],[Vertex]],GroupVertices[Vertex],0)),1,1,"")</f>
        <v>5</v>
      </c>
      <c r="AP240" s="48">
        <v>0</v>
      </c>
      <c r="AQ240" s="49">
        <v>0</v>
      </c>
      <c r="AR240" s="48">
        <v>7</v>
      </c>
      <c r="AS240" s="49">
        <v>12.5</v>
      </c>
      <c r="AT240" s="48">
        <v>0</v>
      </c>
      <c r="AU240" s="49">
        <v>0</v>
      </c>
      <c r="AV240" s="48">
        <v>49</v>
      </c>
      <c r="AW240" s="49">
        <v>87.5</v>
      </c>
      <c r="AX240" s="48">
        <v>56</v>
      </c>
      <c r="AY240" s="48"/>
      <c r="AZ240" s="48"/>
      <c r="BA240" s="48"/>
      <c r="BB240" s="48"/>
      <c r="BC240" s="2"/>
      <c r="BD240" s="3"/>
      <c r="BE240" s="3"/>
      <c r="BF240" s="3"/>
      <c r="BG240" s="3"/>
    </row>
    <row r="241" spans="1:59" ht="15">
      <c r="A241" s="66" t="s">
        <v>559</v>
      </c>
      <c r="B241" s="67"/>
      <c r="C241" s="67"/>
      <c r="D241" s="68">
        <v>191.04256106086044</v>
      </c>
      <c r="E241" s="70"/>
      <c r="F241" s="96" t="str">
        <f>HYPERLINK("https://i.ytimg.com/vi/8pK5FuptsSQ/default.jpg")</f>
        <v>https://i.ytimg.com/vi/8pK5FuptsSQ/default.jpg</v>
      </c>
      <c r="G241" s="67"/>
      <c r="H241" s="71" t="s">
        <v>901</v>
      </c>
      <c r="I241" s="72"/>
      <c r="J241" s="72" t="s">
        <v>159</v>
      </c>
      <c r="K241" s="71" t="s">
        <v>901</v>
      </c>
      <c r="L241" s="75">
        <v>1250.75</v>
      </c>
      <c r="M241" s="76">
        <v>7008.36962890625</v>
      </c>
      <c r="N241" s="76">
        <v>7557.236328125</v>
      </c>
      <c r="O241" s="77"/>
      <c r="P241" s="78"/>
      <c r="Q241" s="78"/>
      <c r="R241" s="82"/>
      <c r="S241" s="48">
        <v>1</v>
      </c>
      <c r="T241" s="48">
        <v>0</v>
      </c>
      <c r="U241" s="49">
        <v>0</v>
      </c>
      <c r="V241" s="49">
        <v>0.000926</v>
      </c>
      <c r="W241" s="49">
        <v>0.001993</v>
      </c>
      <c r="X241" s="49">
        <v>0.443738</v>
      </c>
      <c r="Y241" s="49">
        <v>0</v>
      </c>
      <c r="Z241" s="49">
        <v>0</v>
      </c>
      <c r="AA241" s="73">
        <v>241</v>
      </c>
      <c r="AB241" s="73"/>
      <c r="AC241" s="74"/>
      <c r="AD241" s="80" t="s">
        <v>901</v>
      </c>
      <c r="AE241" s="80" t="s">
        <v>1229</v>
      </c>
      <c r="AF241" s="80" t="s">
        <v>1542</v>
      </c>
      <c r="AG241" s="80" t="s">
        <v>1656</v>
      </c>
      <c r="AH241" s="80" t="s">
        <v>1954</v>
      </c>
      <c r="AI241" s="80">
        <v>1253467</v>
      </c>
      <c r="AJ241" s="80">
        <v>3557</v>
      </c>
      <c r="AK241" s="80">
        <v>34069</v>
      </c>
      <c r="AL241" s="80">
        <v>549</v>
      </c>
      <c r="AM241" s="80" t="s">
        <v>2047</v>
      </c>
      <c r="AN241" s="98" t="str">
        <f>HYPERLINK("https://www.youtube.com/watch?v=8pK5FuptsSQ")</f>
        <v>https://www.youtube.com/watch?v=8pK5FuptsSQ</v>
      </c>
      <c r="AO241" s="80" t="str">
        <f>REPLACE(INDEX(GroupVertices[Group],MATCH(Vertices[[#This Row],[Vertex]],GroupVertices[Vertex],0)),1,1,"")</f>
        <v>5</v>
      </c>
      <c r="AP241" s="48">
        <v>0</v>
      </c>
      <c r="AQ241" s="49">
        <v>0</v>
      </c>
      <c r="AR241" s="48">
        <v>8</v>
      </c>
      <c r="AS241" s="49">
        <v>19.047619047619047</v>
      </c>
      <c r="AT241" s="48">
        <v>0</v>
      </c>
      <c r="AU241" s="49">
        <v>0</v>
      </c>
      <c r="AV241" s="48">
        <v>34</v>
      </c>
      <c r="AW241" s="49">
        <v>80.95238095238095</v>
      </c>
      <c r="AX241" s="48">
        <v>42</v>
      </c>
      <c r="AY241" s="48"/>
      <c r="AZ241" s="48"/>
      <c r="BA241" s="48"/>
      <c r="BB241" s="48"/>
      <c r="BC241" s="2"/>
      <c r="BD241" s="3"/>
      <c r="BE241" s="3"/>
      <c r="BF241" s="3"/>
      <c r="BG241" s="3"/>
    </row>
    <row r="242" spans="1:59" ht="15">
      <c r="A242" s="66" t="s">
        <v>560</v>
      </c>
      <c r="B242" s="67"/>
      <c r="C242" s="67"/>
      <c r="D242" s="68">
        <v>235.87628458727642</v>
      </c>
      <c r="E242" s="70"/>
      <c r="F242" s="96" t="str">
        <f>HYPERLINK("https://i.ytimg.com/vi/VgnbRK8pij8/default.jpg")</f>
        <v>https://i.ytimg.com/vi/VgnbRK8pij8/default.jpg</v>
      </c>
      <c r="G242" s="67"/>
      <c r="H242" s="71" t="s">
        <v>902</v>
      </c>
      <c r="I242" s="72"/>
      <c r="J242" s="72" t="s">
        <v>159</v>
      </c>
      <c r="K242" s="71" t="s">
        <v>902</v>
      </c>
      <c r="L242" s="75">
        <v>1250.75</v>
      </c>
      <c r="M242" s="76">
        <v>7970.13671875</v>
      </c>
      <c r="N242" s="76">
        <v>6179.88671875</v>
      </c>
      <c r="O242" s="77"/>
      <c r="P242" s="78"/>
      <c r="Q242" s="78"/>
      <c r="R242" s="82"/>
      <c r="S242" s="48">
        <v>1</v>
      </c>
      <c r="T242" s="48">
        <v>0</v>
      </c>
      <c r="U242" s="49">
        <v>0</v>
      </c>
      <c r="V242" s="49">
        <v>0.000926</v>
      </c>
      <c r="W242" s="49">
        <v>0.001993</v>
      </c>
      <c r="X242" s="49">
        <v>0.443738</v>
      </c>
      <c r="Y242" s="49">
        <v>0</v>
      </c>
      <c r="Z242" s="49">
        <v>0</v>
      </c>
      <c r="AA242" s="73">
        <v>242</v>
      </c>
      <c r="AB242" s="73"/>
      <c r="AC242" s="74"/>
      <c r="AD242" s="80" t="s">
        <v>902</v>
      </c>
      <c r="AE242" s="80" t="s">
        <v>1230</v>
      </c>
      <c r="AF242" s="80" t="s">
        <v>1543</v>
      </c>
      <c r="AG242" s="80" t="s">
        <v>1656</v>
      </c>
      <c r="AH242" s="80" t="s">
        <v>1955</v>
      </c>
      <c r="AI242" s="80">
        <v>1756785</v>
      </c>
      <c r="AJ242" s="80">
        <v>7399</v>
      </c>
      <c r="AK242" s="80">
        <v>35104</v>
      </c>
      <c r="AL242" s="80">
        <v>671</v>
      </c>
      <c r="AM242" s="80" t="s">
        <v>2047</v>
      </c>
      <c r="AN242" s="98" t="str">
        <f>HYPERLINK("https://www.youtube.com/watch?v=VgnbRK8pij8")</f>
        <v>https://www.youtube.com/watch?v=VgnbRK8pij8</v>
      </c>
      <c r="AO242" s="80" t="str">
        <f>REPLACE(INDEX(GroupVertices[Group],MATCH(Vertices[[#This Row],[Vertex]],GroupVertices[Vertex],0)),1,1,"")</f>
        <v>5</v>
      </c>
      <c r="AP242" s="48">
        <v>0</v>
      </c>
      <c r="AQ242" s="49">
        <v>0</v>
      </c>
      <c r="AR242" s="48">
        <v>4</v>
      </c>
      <c r="AS242" s="49">
        <v>7.8431372549019605</v>
      </c>
      <c r="AT242" s="48">
        <v>0</v>
      </c>
      <c r="AU242" s="49">
        <v>0</v>
      </c>
      <c r="AV242" s="48">
        <v>47</v>
      </c>
      <c r="AW242" s="49">
        <v>92.15686274509804</v>
      </c>
      <c r="AX242" s="48">
        <v>51</v>
      </c>
      <c r="AY242" s="48"/>
      <c r="AZ242" s="48"/>
      <c r="BA242" s="48"/>
      <c r="BB242" s="48"/>
      <c r="BC242" s="2"/>
      <c r="BD242" s="3"/>
      <c r="BE242" s="3"/>
      <c r="BF242" s="3"/>
      <c r="BG242" s="3"/>
    </row>
    <row r="243" spans="1:59" ht="15">
      <c r="A243" s="66" t="s">
        <v>561</v>
      </c>
      <c r="B243" s="67"/>
      <c r="C243" s="67"/>
      <c r="D243" s="68">
        <v>184.27249225907272</v>
      </c>
      <c r="E243" s="70"/>
      <c r="F243" s="96" t="str">
        <f>HYPERLINK("https://i.ytimg.com/vi/uH_rIT0juiM/default.jpg")</f>
        <v>https://i.ytimg.com/vi/uH_rIT0juiM/default.jpg</v>
      </c>
      <c r="G243" s="67"/>
      <c r="H243" s="71" t="s">
        <v>903</v>
      </c>
      <c r="I243" s="72"/>
      <c r="J243" s="72" t="s">
        <v>159</v>
      </c>
      <c r="K243" s="71" t="s">
        <v>903</v>
      </c>
      <c r="L243" s="75">
        <v>1250.75</v>
      </c>
      <c r="M243" s="76">
        <v>7603.78857421875</v>
      </c>
      <c r="N243" s="76">
        <v>6448.6728515625</v>
      </c>
      <c r="O243" s="77"/>
      <c r="P243" s="78"/>
      <c r="Q243" s="78"/>
      <c r="R243" s="82"/>
      <c r="S243" s="48">
        <v>1</v>
      </c>
      <c r="T243" s="48">
        <v>0</v>
      </c>
      <c r="U243" s="49">
        <v>0</v>
      </c>
      <c r="V243" s="49">
        <v>0.000926</v>
      </c>
      <c r="W243" s="49">
        <v>0.001993</v>
      </c>
      <c r="X243" s="49">
        <v>0.443738</v>
      </c>
      <c r="Y243" s="49">
        <v>0</v>
      </c>
      <c r="Z243" s="49">
        <v>0</v>
      </c>
      <c r="AA243" s="73">
        <v>243</v>
      </c>
      <c r="AB243" s="73"/>
      <c r="AC243" s="74"/>
      <c r="AD243" s="80" t="s">
        <v>903</v>
      </c>
      <c r="AE243" s="80" t="s">
        <v>1231</v>
      </c>
      <c r="AF243" s="80" t="s">
        <v>1544</v>
      </c>
      <c r="AG243" s="80" t="s">
        <v>1656</v>
      </c>
      <c r="AH243" s="80" t="s">
        <v>1956</v>
      </c>
      <c r="AI243" s="80">
        <v>1177464</v>
      </c>
      <c r="AJ243" s="80">
        <v>2761</v>
      </c>
      <c r="AK243" s="80">
        <v>23725</v>
      </c>
      <c r="AL243" s="80">
        <v>316</v>
      </c>
      <c r="AM243" s="80" t="s">
        <v>2047</v>
      </c>
      <c r="AN243" s="98" t="str">
        <f>HYPERLINK("https://www.youtube.com/watch?v=uH_rIT0juiM")</f>
        <v>https://www.youtube.com/watch?v=uH_rIT0juiM</v>
      </c>
      <c r="AO243" s="80" t="str">
        <f>REPLACE(INDEX(GroupVertices[Group],MATCH(Vertices[[#This Row],[Vertex]],GroupVertices[Vertex],0)),1,1,"")</f>
        <v>5</v>
      </c>
      <c r="AP243" s="48">
        <v>1</v>
      </c>
      <c r="AQ243" s="49">
        <v>2.5641025641025643</v>
      </c>
      <c r="AR243" s="48">
        <v>0</v>
      </c>
      <c r="AS243" s="49">
        <v>0</v>
      </c>
      <c r="AT243" s="48">
        <v>0</v>
      </c>
      <c r="AU243" s="49">
        <v>0</v>
      </c>
      <c r="AV243" s="48">
        <v>38</v>
      </c>
      <c r="AW243" s="49">
        <v>97.43589743589743</v>
      </c>
      <c r="AX243" s="48">
        <v>39</v>
      </c>
      <c r="AY243" s="48"/>
      <c r="AZ243" s="48"/>
      <c r="BA243" s="48"/>
      <c r="BB243" s="48"/>
      <c r="BC243" s="2"/>
      <c r="BD243" s="3"/>
      <c r="BE243" s="3"/>
      <c r="BF243" s="3"/>
      <c r="BG243" s="3"/>
    </row>
    <row r="244" spans="1:59" ht="15">
      <c r="A244" s="66" t="s">
        <v>562</v>
      </c>
      <c r="B244" s="67"/>
      <c r="C244" s="67"/>
      <c r="D244" s="68">
        <v>118.30229023006868</v>
      </c>
      <c r="E244" s="70"/>
      <c r="F244" s="96" t="str">
        <f>HYPERLINK("https://i.ytimg.com/vi/XwFB22r9zRo/default.jpg")</f>
        <v>https://i.ytimg.com/vi/XwFB22r9zRo/default.jpg</v>
      </c>
      <c r="G244" s="67"/>
      <c r="H244" s="71" t="s">
        <v>904</v>
      </c>
      <c r="I244" s="72"/>
      <c r="J244" s="72" t="s">
        <v>159</v>
      </c>
      <c r="K244" s="71" t="s">
        <v>904</v>
      </c>
      <c r="L244" s="75">
        <v>1250.75</v>
      </c>
      <c r="M244" s="76">
        <v>8837.0048828125</v>
      </c>
      <c r="N244" s="76">
        <v>6176.1337890625</v>
      </c>
      <c r="O244" s="77"/>
      <c r="P244" s="78"/>
      <c r="Q244" s="78"/>
      <c r="R244" s="82"/>
      <c r="S244" s="48">
        <v>1</v>
      </c>
      <c r="T244" s="48">
        <v>0</v>
      </c>
      <c r="U244" s="49">
        <v>0</v>
      </c>
      <c r="V244" s="49">
        <v>0.000926</v>
      </c>
      <c r="W244" s="49">
        <v>0.001993</v>
      </c>
      <c r="X244" s="49">
        <v>0.443738</v>
      </c>
      <c r="Y244" s="49">
        <v>0</v>
      </c>
      <c r="Z244" s="49">
        <v>0</v>
      </c>
      <c r="AA244" s="73">
        <v>244</v>
      </c>
      <c r="AB244" s="73"/>
      <c r="AC244" s="74"/>
      <c r="AD244" s="80" t="s">
        <v>904</v>
      </c>
      <c r="AE244" s="80" t="s">
        <v>1232</v>
      </c>
      <c r="AF244" s="80" t="s">
        <v>1545</v>
      </c>
      <c r="AG244" s="80" t="s">
        <v>1656</v>
      </c>
      <c r="AH244" s="80" t="s">
        <v>1957</v>
      </c>
      <c r="AI244" s="80">
        <v>436861</v>
      </c>
      <c r="AJ244" s="80">
        <v>1324</v>
      </c>
      <c r="AK244" s="80">
        <v>15394</v>
      </c>
      <c r="AL244" s="80">
        <v>408</v>
      </c>
      <c r="AM244" s="80" t="s">
        <v>2047</v>
      </c>
      <c r="AN244" s="98" t="str">
        <f>HYPERLINK("https://www.youtube.com/watch?v=XwFB22r9zRo")</f>
        <v>https://www.youtube.com/watch?v=XwFB22r9zRo</v>
      </c>
      <c r="AO244" s="80" t="str">
        <f>REPLACE(INDEX(GroupVertices[Group],MATCH(Vertices[[#This Row],[Vertex]],GroupVertices[Vertex],0)),1,1,"")</f>
        <v>5</v>
      </c>
      <c r="AP244" s="48">
        <v>0</v>
      </c>
      <c r="AQ244" s="49">
        <v>0</v>
      </c>
      <c r="AR244" s="48">
        <v>0</v>
      </c>
      <c r="AS244" s="49">
        <v>0</v>
      </c>
      <c r="AT244" s="48">
        <v>0</v>
      </c>
      <c r="AU244" s="49">
        <v>0</v>
      </c>
      <c r="AV244" s="48">
        <v>22</v>
      </c>
      <c r="AW244" s="49">
        <v>100</v>
      </c>
      <c r="AX244" s="48">
        <v>22</v>
      </c>
      <c r="AY244" s="48"/>
      <c r="AZ244" s="48"/>
      <c r="BA244" s="48"/>
      <c r="BB244" s="48"/>
      <c r="BC244" s="2"/>
      <c r="BD244" s="3"/>
      <c r="BE244" s="3"/>
      <c r="BF244" s="3"/>
      <c r="BG244" s="3"/>
    </row>
    <row r="245" spans="1:59" ht="15">
      <c r="A245" s="66" t="s">
        <v>563</v>
      </c>
      <c r="B245" s="67"/>
      <c r="C245" s="67"/>
      <c r="D245" s="68">
        <v>132.50551208243047</v>
      </c>
      <c r="E245" s="70"/>
      <c r="F245" s="96" t="str">
        <f>HYPERLINK("https://i.ytimg.com/vi/rukhqdUk4SA/default.jpg")</f>
        <v>https://i.ytimg.com/vi/rukhqdUk4SA/default.jpg</v>
      </c>
      <c r="G245" s="67"/>
      <c r="H245" s="71" t="s">
        <v>905</v>
      </c>
      <c r="I245" s="72"/>
      <c r="J245" s="72" t="s">
        <v>159</v>
      </c>
      <c r="K245" s="71" t="s">
        <v>905</v>
      </c>
      <c r="L245" s="75">
        <v>1250.75</v>
      </c>
      <c r="M245" s="76">
        <v>7813.8623046875</v>
      </c>
      <c r="N245" s="76">
        <v>9643.1376953125</v>
      </c>
      <c r="O245" s="77"/>
      <c r="P245" s="78"/>
      <c r="Q245" s="78"/>
      <c r="R245" s="82"/>
      <c r="S245" s="48">
        <v>1</v>
      </c>
      <c r="T245" s="48">
        <v>0</v>
      </c>
      <c r="U245" s="49">
        <v>0</v>
      </c>
      <c r="V245" s="49">
        <v>0.000926</v>
      </c>
      <c r="W245" s="49">
        <v>0.001993</v>
      </c>
      <c r="X245" s="49">
        <v>0.443738</v>
      </c>
      <c r="Y245" s="49">
        <v>0</v>
      </c>
      <c r="Z245" s="49">
        <v>0</v>
      </c>
      <c r="AA245" s="73">
        <v>245</v>
      </c>
      <c r="AB245" s="73"/>
      <c r="AC245" s="74"/>
      <c r="AD245" s="80" t="s">
        <v>905</v>
      </c>
      <c r="AE245" s="80" t="s">
        <v>1233</v>
      </c>
      <c r="AF245" s="80" t="s">
        <v>1546</v>
      </c>
      <c r="AG245" s="80" t="s">
        <v>1656</v>
      </c>
      <c r="AH245" s="80" t="s">
        <v>1958</v>
      </c>
      <c r="AI245" s="80">
        <v>596311</v>
      </c>
      <c r="AJ245" s="80">
        <v>1975</v>
      </c>
      <c r="AK245" s="80">
        <v>15244</v>
      </c>
      <c r="AL245" s="80">
        <v>272</v>
      </c>
      <c r="AM245" s="80" t="s">
        <v>2047</v>
      </c>
      <c r="AN245" s="98" t="str">
        <f>HYPERLINK("https://www.youtube.com/watch?v=rukhqdUk4SA")</f>
        <v>https://www.youtube.com/watch?v=rukhqdUk4SA</v>
      </c>
      <c r="AO245" s="80" t="str">
        <f>REPLACE(INDEX(GroupVertices[Group],MATCH(Vertices[[#This Row],[Vertex]],GroupVertices[Vertex],0)),1,1,"")</f>
        <v>5</v>
      </c>
      <c r="AP245" s="48">
        <v>0</v>
      </c>
      <c r="AQ245" s="49">
        <v>0</v>
      </c>
      <c r="AR245" s="48">
        <v>6</v>
      </c>
      <c r="AS245" s="49">
        <v>12.5</v>
      </c>
      <c r="AT245" s="48">
        <v>0</v>
      </c>
      <c r="AU245" s="49">
        <v>0</v>
      </c>
      <c r="AV245" s="48">
        <v>42</v>
      </c>
      <c r="AW245" s="49">
        <v>87.5</v>
      </c>
      <c r="AX245" s="48">
        <v>48</v>
      </c>
      <c r="AY245" s="48"/>
      <c r="AZ245" s="48"/>
      <c r="BA245" s="48"/>
      <c r="BB245" s="48"/>
      <c r="BC245" s="2"/>
      <c r="BD245" s="3"/>
      <c r="BE245" s="3"/>
      <c r="BF245" s="3"/>
      <c r="BG245" s="3"/>
    </row>
    <row r="246" spans="1:59" ht="15">
      <c r="A246" s="66" t="s">
        <v>564</v>
      </c>
      <c r="B246" s="67"/>
      <c r="C246" s="67"/>
      <c r="D246" s="68">
        <v>158.3599187468896</v>
      </c>
      <c r="E246" s="70"/>
      <c r="F246" s="96" t="str">
        <f>HYPERLINK("https://i.ytimg.com/vi/BAIXmt58iBU/default.jpg")</f>
        <v>https://i.ytimg.com/vi/BAIXmt58iBU/default.jpg</v>
      </c>
      <c r="G246" s="67"/>
      <c r="H246" s="71" t="s">
        <v>906</v>
      </c>
      <c r="I246" s="72"/>
      <c r="J246" s="72" t="s">
        <v>159</v>
      </c>
      <c r="K246" s="71" t="s">
        <v>906</v>
      </c>
      <c r="L246" s="75">
        <v>1250.75</v>
      </c>
      <c r="M246" s="76">
        <v>9352.2939453125</v>
      </c>
      <c r="N246" s="76">
        <v>9396.4638671875</v>
      </c>
      <c r="O246" s="77"/>
      <c r="P246" s="78"/>
      <c r="Q246" s="78"/>
      <c r="R246" s="82"/>
      <c r="S246" s="48">
        <v>1</v>
      </c>
      <c r="T246" s="48">
        <v>0</v>
      </c>
      <c r="U246" s="49">
        <v>0</v>
      </c>
      <c r="V246" s="49">
        <v>0.000926</v>
      </c>
      <c r="W246" s="49">
        <v>0.001993</v>
      </c>
      <c r="X246" s="49">
        <v>0.443738</v>
      </c>
      <c r="Y246" s="49">
        <v>0</v>
      </c>
      <c r="Z246" s="49">
        <v>0</v>
      </c>
      <c r="AA246" s="73">
        <v>246</v>
      </c>
      <c r="AB246" s="73"/>
      <c r="AC246" s="74"/>
      <c r="AD246" s="80" t="s">
        <v>906</v>
      </c>
      <c r="AE246" s="80" t="s">
        <v>1234</v>
      </c>
      <c r="AF246" s="80" t="s">
        <v>1547</v>
      </c>
      <c r="AG246" s="80" t="s">
        <v>1656</v>
      </c>
      <c r="AH246" s="80" t="s">
        <v>1959</v>
      </c>
      <c r="AI246" s="80">
        <v>886561</v>
      </c>
      <c r="AJ246" s="80">
        <v>2443</v>
      </c>
      <c r="AK246" s="80">
        <v>26043</v>
      </c>
      <c r="AL246" s="80">
        <v>387</v>
      </c>
      <c r="AM246" s="80" t="s">
        <v>2047</v>
      </c>
      <c r="AN246" s="98" t="str">
        <f>HYPERLINK("https://www.youtube.com/watch?v=BAIXmt58iBU")</f>
        <v>https://www.youtube.com/watch?v=BAIXmt58iBU</v>
      </c>
      <c r="AO246" s="80" t="str">
        <f>REPLACE(INDEX(GroupVertices[Group],MATCH(Vertices[[#This Row],[Vertex]],GroupVertices[Vertex],0)),1,1,"")</f>
        <v>5</v>
      </c>
      <c r="AP246" s="48">
        <v>3</v>
      </c>
      <c r="AQ246" s="49">
        <v>5.882352941176471</v>
      </c>
      <c r="AR246" s="48">
        <v>1</v>
      </c>
      <c r="AS246" s="49">
        <v>1.9607843137254901</v>
      </c>
      <c r="AT246" s="48">
        <v>0</v>
      </c>
      <c r="AU246" s="49">
        <v>0</v>
      </c>
      <c r="AV246" s="48">
        <v>47</v>
      </c>
      <c r="AW246" s="49">
        <v>92.15686274509804</v>
      </c>
      <c r="AX246" s="48">
        <v>51</v>
      </c>
      <c r="AY246" s="48"/>
      <c r="AZ246" s="48"/>
      <c r="BA246" s="48"/>
      <c r="BB246" s="48"/>
      <c r="BC246" s="2"/>
      <c r="BD246" s="3"/>
      <c r="BE246" s="3"/>
      <c r="BF246" s="3"/>
      <c r="BG246" s="3"/>
    </row>
    <row r="247" spans="1:59" ht="15">
      <c r="A247" s="66" t="s">
        <v>565</v>
      </c>
      <c r="B247" s="67"/>
      <c r="C247" s="67"/>
      <c r="D247" s="68">
        <v>166.14759561666966</v>
      </c>
      <c r="E247" s="70"/>
      <c r="F247" s="96" t="str">
        <f>HYPERLINK("https://i.ytimg.com/vi/0Yhaei1S5oQ/default.jpg")</f>
        <v>https://i.ytimg.com/vi/0Yhaei1S5oQ/default.jpg</v>
      </c>
      <c r="G247" s="67"/>
      <c r="H247" s="71" t="s">
        <v>907</v>
      </c>
      <c r="I247" s="72"/>
      <c r="J247" s="72" t="s">
        <v>159</v>
      </c>
      <c r="K247" s="71" t="s">
        <v>907</v>
      </c>
      <c r="L247" s="75">
        <v>1250.75</v>
      </c>
      <c r="M247" s="76">
        <v>8008.69384765625</v>
      </c>
      <c r="N247" s="76">
        <v>7283.4306640625</v>
      </c>
      <c r="O247" s="77"/>
      <c r="P247" s="78"/>
      <c r="Q247" s="78"/>
      <c r="R247" s="82"/>
      <c r="S247" s="48">
        <v>1</v>
      </c>
      <c r="T247" s="48">
        <v>0</v>
      </c>
      <c r="U247" s="49">
        <v>0</v>
      </c>
      <c r="V247" s="49">
        <v>0.000926</v>
      </c>
      <c r="W247" s="49">
        <v>0.001993</v>
      </c>
      <c r="X247" s="49">
        <v>0.443738</v>
      </c>
      <c r="Y247" s="49">
        <v>0</v>
      </c>
      <c r="Z247" s="49">
        <v>0</v>
      </c>
      <c r="AA247" s="73">
        <v>247</v>
      </c>
      <c r="AB247" s="73"/>
      <c r="AC247" s="74"/>
      <c r="AD247" s="80" t="s">
        <v>907</v>
      </c>
      <c r="AE247" s="80" t="s">
        <v>1235</v>
      </c>
      <c r="AF247" s="80" t="s">
        <v>1548</v>
      </c>
      <c r="AG247" s="80" t="s">
        <v>1656</v>
      </c>
      <c r="AH247" s="80" t="s">
        <v>1960</v>
      </c>
      <c r="AI247" s="80">
        <v>973988</v>
      </c>
      <c r="AJ247" s="80">
        <v>1458</v>
      </c>
      <c r="AK247" s="80">
        <v>26996</v>
      </c>
      <c r="AL247" s="80">
        <v>409</v>
      </c>
      <c r="AM247" s="80" t="s">
        <v>2047</v>
      </c>
      <c r="AN247" s="98" t="str">
        <f>HYPERLINK("https://www.youtube.com/watch?v=0Yhaei1S5oQ")</f>
        <v>https://www.youtube.com/watch?v=0Yhaei1S5oQ</v>
      </c>
      <c r="AO247" s="80" t="str">
        <f>REPLACE(INDEX(GroupVertices[Group],MATCH(Vertices[[#This Row],[Vertex]],GroupVertices[Vertex],0)),1,1,"")</f>
        <v>5</v>
      </c>
      <c r="AP247" s="48">
        <v>0</v>
      </c>
      <c r="AQ247" s="49">
        <v>0</v>
      </c>
      <c r="AR247" s="48">
        <v>3</v>
      </c>
      <c r="AS247" s="49">
        <v>6.382978723404255</v>
      </c>
      <c r="AT247" s="48">
        <v>0</v>
      </c>
      <c r="AU247" s="49">
        <v>0</v>
      </c>
      <c r="AV247" s="48">
        <v>44</v>
      </c>
      <c r="AW247" s="49">
        <v>93.61702127659575</v>
      </c>
      <c r="AX247" s="48">
        <v>47</v>
      </c>
      <c r="AY247" s="48"/>
      <c r="AZ247" s="48"/>
      <c r="BA247" s="48"/>
      <c r="BB247" s="48"/>
      <c r="BC247" s="2"/>
      <c r="BD247" s="3"/>
      <c r="BE247" s="3"/>
      <c r="BF247" s="3"/>
      <c r="BG247" s="3"/>
    </row>
    <row r="248" spans="1:59" ht="15">
      <c r="A248" s="66" t="s">
        <v>566</v>
      </c>
      <c r="B248" s="67"/>
      <c r="C248" s="67"/>
      <c r="D248" s="68">
        <v>82.51141823082777</v>
      </c>
      <c r="E248" s="70"/>
      <c r="F248" s="96" t="str">
        <f>HYPERLINK("https://i.ytimg.com/vi/FPEHm2x8bdE/default.jpg")</f>
        <v>https://i.ytimg.com/vi/FPEHm2x8bdE/default.jpg</v>
      </c>
      <c r="G248" s="67"/>
      <c r="H248" s="71" t="s">
        <v>908</v>
      </c>
      <c r="I248" s="72"/>
      <c r="J248" s="72" t="s">
        <v>159</v>
      </c>
      <c r="K248" s="71" t="s">
        <v>908</v>
      </c>
      <c r="L248" s="75">
        <v>1250.75</v>
      </c>
      <c r="M248" s="76">
        <v>8557.8388671875</v>
      </c>
      <c r="N248" s="76">
        <v>6586.66552734375</v>
      </c>
      <c r="O248" s="77"/>
      <c r="P248" s="78"/>
      <c r="Q248" s="78"/>
      <c r="R248" s="82"/>
      <c r="S248" s="48">
        <v>1</v>
      </c>
      <c r="T248" s="48">
        <v>0</v>
      </c>
      <c r="U248" s="49">
        <v>0</v>
      </c>
      <c r="V248" s="49">
        <v>0.000926</v>
      </c>
      <c r="W248" s="49">
        <v>0.001993</v>
      </c>
      <c r="X248" s="49">
        <v>0.443738</v>
      </c>
      <c r="Y248" s="49">
        <v>0</v>
      </c>
      <c r="Z248" s="49">
        <v>0</v>
      </c>
      <c r="AA248" s="73">
        <v>248</v>
      </c>
      <c r="AB248" s="73"/>
      <c r="AC248" s="74"/>
      <c r="AD248" s="80" t="s">
        <v>908</v>
      </c>
      <c r="AE248" s="80" t="s">
        <v>1236</v>
      </c>
      <c r="AF248" s="80" t="s">
        <v>1549</v>
      </c>
      <c r="AG248" s="80" t="s">
        <v>1710</v>
      </c>
      <c r="AH248" s="80" t="s">
        <v>1961</v>
      </c>
      <c r="AI248" s="80">
        <v>35061</v>
      </c>
      <c r="AJ248" s="80">
        <v>2119</v>
      </c>
      <c r="AK248" s="80">
        <v>2226</v>
      </c>
      <c r="AL248" s="80">
        <v>313</v>
      </c>
      <c r="AM248" s="80" t="s">
        <v>2047</v>
      </c>
      <c r="AN248" s="98" t="str">
        <f>HYPERLINK("https://www.youtube.com/watch?v=FPEHm2x8bdE")</f>
        <v>https://www.youtube.com/watch?v=FPEHm2x8bdE</v>
      </c>
      <c r="AO248" s="80" t="str">
        <f>REPLACE(INDEX(GroupVertices[Group],MATCH(Vertices[[#This Row],[Vertex]],GroupVertices[Vertex],0)),1,1,"")</f>
        <v>5</v>
      </c>
      <c r="AP248" s="48">
        <v>0</v>
      </c>
      <c r="AQ248" s="49">
        <v>0</v>
      </c>
      <c r="AR248" s="48">
        <v>11</v>
      </c>
      <c r="AS248" s="49">
        <v>19.642857142857142</v>
      </c>
      <c r="AT248" s="48">
        <v>0</v>
      </c>
      <c r="AU248" s="49">
        <v>0</v>
      </c>
      <c r="AV248" s="48">
        <v>45</v>
      </c>
      <c r="AW248" s="49">
        <v>80.35714285714286</v>
      </c>
      <c r="AX248" s="48">
        <v>56</v>
      </c>
      <c r="AY248" s="48"/>
      <c r="AZ248" s="48"/>
      <c r="BA248" s="48"/>
      <c r="BB248" s="48"/>
      <c r="BC248" s="2"/>
      <c r="BD248" s="3"/>
      <c r="BE248" s="3"/>
      <c r="BF248" s="3"/>
      <c r="BG248" s="3"/>
    </row>
    <row r="249" spans="1:59" ht="15">
      <c r="A249" s="66" t="s">
        <v>567</v>
      </c>
      <c r="B249" s="67"/>
      <c r="C249" s="67"/>
      <c r="D249" s="68">
        <v>483.8136755413808</v>
      </c>
      <c r="E249" s="70"/>
      <c r="F249" s="96" t="str">
        <f>HYPERLINK("https://i.ytimg.com/vi/dD-yN2G5BY0/default.jpg")</f>
        <v>https://i.ytimg.com/vi/dD-yN2G5BY0/default.jpg</v>
      </c>
      <c r="G249" s="67"/>
      <c r="H249" s="71" t="s">
        <v>909</v>
      </c>
      <c r="I249" s="72"/>
      <c r="J249" s="72" t="s">
        <v>159</v>
      </c>
      <c r="K249" s="71" t="s">
        <v>909</v>
      </c>
      <c r="L249" s="75">
        <v>1250.75</v>
      </c>
      <c r="M249" s="76">
        <v>8806.69921875</v>
      </c>
      <c r="N249" s="76">
        <v>9216.5791015625</v>
      </c>
      <c r="O249" s="77"/>
      <c r="P249" s="78"/>
      <c r="Q249" s="78"/>
      <c r="R249" s="82"/>
      <c r="S249" s="48">
        <v>1</v>
      </c>
      <c r="T249" s="48">
        <v>0</v>
      </c>
      <c r="U249" s="49">
        <v>0</v>
      </c>
      <c r="V249" s="49">
        <v>0.000926</v>
      </c>
      <c r="W249" s="49">
        <v>0.001993</v>
      </c>
      <c r="X249" s="49">
        <v>0.443738</v>
      </c>
      <c r="Y249" s="49">
        <v>0</v>
      </c>
      <c r="Z249" s="49">
        <v>0</v>
      </c>
      <c r="AA249" s="73">
        <v>249</v>
      </c>
      <c r="AB249" s="73"/>
      <c r="AC249" s="74"/>
      <c r="AD249" s="80" t="s">
        <v>909</v>
      </c>
      <c r="AE249" s="80" t="s">
        <v>1237</v>
      </c>
      <c r="AF249" s="80" t="s">
        <v>1550</v>
      </c>
      <c r="AG249" s="80" t="s">
        <v>1656</v>
      </c>
      <c r="AH249" s="80" t="s">
        <v>1962</v>
      </c>
      <c r="AI249" s="80">
        <v>4540211</v>
      </c>
      <c r="AJ249" s="80">
        <v>22106</v>
      </c>
      <c r="AK249" s="80">
        <v>60981</v>
      </c>
      <c r="AL249" s="80">
        <v>3031</v>
      </c>
      <c r="AM249" s="80" t="s">
        <v>2047</v>
      </c>
      <c r="AN249" s="98" t="str">
        <f>HYPERLINK("https://www.youtube.com/watch?v=dD-yN2G5BY0")</f>
        <v>https://www.youtube.com/watch?v=dD-yN2G5BY0</v>
      </c>
      <c r="AO249" s="80" t="str">
        <f>REPLACE(INDEX(GroupVertices[Group],MATCH(Vertices[[#This Row],[Vertex]],GroupVertices[Vertex],0)),1,1,"")</f>
        <v>5</v>
      </c>
      <c r="AP249" s="48">
        <v>2</v>
      </c>
      <c r="AQ249" s="49">
        <v>5.555555555555555</v>
      </c>
      <c r="AR249" s="48">
        <v>1</v>
      </c>
      <c r="AS249" s="49">
        <v>2.7777777777777777</v>
      </c>
      <c r="AT249" s="48">
        <v>0</v>
      </c>
      <c r="AU249" s="49">
        <v>0</v>
      </c>
      <c r="AV249" s="48">
        <v>33</v>
      </c>
      <c r="AW249" s="49">
        <v>91.66666666666667</v>
      </c>
      <c r="AX249" s="48">
        <v>36</v>
      </c>
      <c r="AY249" s="48"/>
      <c r="AZ249" s="48"/>
      <c r="BA249" s="48"/>
      <c r="BB249" s="48"/>
      <c r="BC249" s="2"/>
      <c r="BD249" s="3"/>
      <c r="BE249" s="3"/>
      <c r="BF249" s="3"/>
      <c r="BG249" s="3"/>
    </row>
    <row r="250" spans="1:59" ht="15">
      <c r="A250" s="66" t="s">
        <v>568</v>
      </c>
      <c r="B250" s="67"/>
      <c r="C250" s="67"/>
      <c r="D250" s="68">
        <v>257.61625526954305</v>
      </c>
      <c r="E250" s="70"/>
      <c r="F250" s="96" t="str">
        <f>HYPERLINK("https://i.ytimg.com/vi/8iHpZHOESf8/default.jpg")</f>
        <v>https://i.ytimg.com/vi/8iHpZHOESf8/default.jpg</v>
      </c>
      <c r="G250" s="67"/>
      <c r="H250" s="71" t="s">
        <v>910</v>
      </c>
      <c r="I250" s="72"/>
      <c r="J250" s="72" t="s">
        <v>159</v>
      </c>
      <c r="K250" s="71" t="s">
        <v>910</v>
      </c>
      <c r="L250" s="75">
        <v>1250.75</v>
      </c>
      <c r="M250" s="76">
        <v>9830.1669921875</v>
      </c>
      <c r="N250" s="76">
        <v>7614.07080078125</v>
      </c>
      <c r="O250" s="77"/>
      <c r="P250" s="78"/>
      <c r="Q250" s="78"/>
      <c r="R250" s="82"/>
      <c r="S250" s="48">
        <v>1</v>
      </c>
      <c r="T250" s="48">
        <v>0</v>
      </c>
      <c r="U250" s="49">
        <v>0</v>
      </c>
      <c r="V250" s="49">
        <v>0.000926</v>
      </c>
      <c r="W250" s="49">
        <v>0.001993</v>
      </c>
      <c r="X250" s="49">
        <v>0.443738</v>
      </c>
      <c r="Y250" s="49">
        <v>0</v>
      </c>
      <c r="Z250" s="49">
        <v>0</v>
      </c>
      <c r="AA250" s="73">
        <v>250</v>
      </c>
      <c r="AB250" s="73"/>
      <c r="AC250" s="74"/>
      <c r="AD250" s="80" t="s">
        <v>910</v>
      </c>
      <c r="AE250" s="80" t="s">
        <v>1238</v>
      </c>
      <c r="AF250" s="80" t="s">
        <v>1551</v>
      </c>
      <c r="AG250" s="80" t="s">
        <v>1656</v>
      </c>
      <c r="AH250" s="80" t="s">
        <v>1963</v>
      </c>
      <c r="AI250" s="80">
        <v>2000845</v>
      </c>
      <c r="AJ250" s="80">
        <v>3693</v>
      </c>
      <c r="AK250" s="80">
        <v>31373</v>
      </c>
      <c r="AL250" s="80">
        <v>821</v>
      </c>
      <c r="AM250" s="80" t="s">
        <v>2047</v>
      </c>
      <c r="AN250" s="98" t="str">
        <f>HYPERLINK("https://www.youtube.com/watch?v=8iHpZHOESf8")</f>
        <v>https://www.youtube.com/watch?v=8iHpZHOESf8</v>
      </c>
      <c r="AO250" s="80" t="str">
        <f>REPLACE(INDEX(GroupVertices[Group],MATCH(Vertices[[#This Row],[Vertex]],GroupVertices[Vertex],0)),1,1,"")</f>
        <v>5</v>
      </c>
      <c r="AP250" s="48">
        <v>2</v>
      </c>
      <c r="AQ250" s="49">
        <v>3.225806451612903</v>
      </c>
      <c r="AR250" s="48">
        <v>2</v>
      </c>
      <c r="AS250" s="49">
        <v>3.225806451612903</v>
      </c>
      <c r="AT250" s="48">
        <v>0</v>
      </c>
      <c r="AU250" s="49">
        <v>0</v>
      </c>
      <c r="AV250" s="48">
        <v>58</v>
      </c>
      <c r="AW250" s="49">
        <v>93.54838709677419</v>
      </c>
      <c r="AX250" s="48">
        <v>62</v>
      </c>
      <c r="AY250" s="48"/>
      <c r="AZ250" s="48"/>
      <c r="BA250" s="48"/>
      <c r="BB250" s="48"/>
      <c r="BC250" s="2"/>
      <c r="BD250" s="3"/>
      <c r="BE250" s="3"/>
      <c r="BF250" s="3"/>
      <c r="BG250" s="3"/>
    </row>
    <row r="251" spans="1:59" ht="15">
      <c r="A251" s="66" t="s">
        <v>569</v>
      </c>
      <c r="B251" s="67"/>
      <c r="C251" s="67"/>
      <c r="D251" s="68">
        <v>406.2712103344042</v>
      </c>
      <c r="E251" s="70"/>
      <c r="F251" s="96" t="str">
        <f>HYPERLINK("https://i.ytimg.com/vi/7tzaWOdvGMw/default.jpg")</f>
        <v>https://i.ytimg.com/vi/7tzaWOdvGMw/default.jpg</v>
      </c>
      <c r="G251" s="67"/>
      <c r="H251" s="71" t="s">
        <v>911</v>
      </c>
      <c r="I251" s="72"/>
      <c r="J251" s="72" t="s">
        <v>159</v>
      </c>
      <c r="K251" s="71" t="s">
        <v>911</v>
      </c>
      <c r="L251" s="75">
        <v>1250.75</v>
      </c>
      <c r="M251" s="76">
        <v>9531.1767578125</v>
      </c>
      <c r="N251" s="76">
        <v>6779.830078125</v>
      </c>
      <c r="O251" s="77"/>
      <c r="P251" s="78"/>
      <c r="Q251" s="78"/>
      <c r="R251" s="82"/>
      <c r="S251" s="48">
        <v>1</v>
      </c>
      <c r="T251" s="48">
        <v>0</v>
      </c>
      <c r="U251" s="49">
        <v>0</v>
      </c>
      <c r="V251" s="49">
        <v>0.000926</v>
      </c>
      <c r="W251" s="49">
        <v>0.001993</v>
      </c>
      <c r="X251" s="49">
        <v>0.443738</v>
      </c>
      <c r="Y251" s="49">
        <v>0</v>
      </c>
      <c r="Z251" s="49">
        <v>0</v>
      </c>
      <c r="AA251" s="73">
        <v>251</v>
      </c>
      <c r="AB251" s="73"/>
      <c r="AC251" s="74"/>
      <c r="AD251" s="80" t="s">
        <v>911</v>
      </c>
      <c r="AE251" s="80" t="s">
        <v>1239</v>
      </c>
      <c r="AF251" s="80" t="s">
        <v>1552</v>
      </c>
      <c r="AG251" s="80" t="s">
        <v>1656</v>
      </c>
      <c r="AH251" s="80" t="s">
        <v>1964</v>
      </c>
      <c r="AI251" s="80">
        <v>3669694</v>
      </c>
      <c r="AJ251" s="80">
        <v>11562</v>
      </c>
      <c r="AK251" s="80">
        <v>68181</v>
      </c>
      <c r="AL251" s="80">
        <v>1892</v>
      </c>
      <c r="AM251" s="80" t="s">
        <v>2047</v>
      </c>
      <c r="AN251" s="98" t="str">
        <f>HYPERLINK("https://www.youtube.com/watch?v=7tzaWOdvGMw")</f>
        <v>https://www.youtube.com/watch?v=7tzaWOdvGMw</v>
      </c>
      <c r="AO251" s="80" t="str">
        <f>REPLACE(INDEX(GroupVertices[Group],MATCH(Vertices[[#This Row],[Vertex]],GroupVertices[Vertex],0)),1,1,"")</f>
        <v>5</v>
      </c>
      <c r="AP251" s="48">
        <v>4</v>
      </c>
      <c r="AQ251" s="49">
        <v>8.16326530612245</v>
      </c>
      <c r="AR251" s="48">
        <v>3</v>
      </c>
      <c r="AS251" s="49">
        <v>6.122448979591836</v>
      </c>
      <c r="AT251" s="48">
        <v>0</v>
      </c>
      <c r="AU251" s="49">
        <v>0</v>
      </c>
      <c r="AV251" s="48">
        <v>42</v>
      </c>
      <c r="AW251" s="49">
        <v>85.71428571428571</v>
      </c>
      <c r="AX251" s="48">
        <v>49</v>
      </c>
      <c r="AY251" s="48"/>
      <c r="AZ251" s="48"/>
      <c r="BA251" s="48"/>
      <c r="BB251" s="48"/>
      <c r="BC251" s="2"/>
      <c r="BD251" s="3"/>
      <c r="BE251" s="3"/>
      <c r="BF251" s="3"/>
      <c r="BG251" s="3"/>
    </row>
    <row r="252" spans="1:59" ht="15">
      <c r="A252" s="66" t="s">
        <v>570</v>
      </c>
      <c r="B252" s="67"/>
      <c r="C252" s="67"/>
      <c r="D252" s="68">
        <v>263.18521875018155</v>
      </c>
      <c r="E252" s="70"/>
      <c r="F252" s="96" t="str">
        <f>HYPERLINK("https://i.ytimg.com/vi/zZ3l1jgmYrY/default.jpg")</f>
        <v>https://i.ytimg.com/vi/zZ3l1jgmYrY/default.jpg</v>
      </c>
      <c r="G252" s="67"/>
      <c r="H252" s="71" t="s">
        <v>912</v>
      </c>
      <c r="I252" s="72"/>
      <c r="J252" s="72" t="s">
        <v>159</v>
      </c>
      <c r="K252" s="71" t="s">
        <v>912</v>
      </c>
      <c r="L252" s="75">
        <v>1250.75</v>
      </c>
      <c r="M252" s="76">
        <v>9253.8486328125</v>
      </c>
      <c r="N252" s="76">
        <v>7518.3330078125</v>
      </c>
      <c r="O252" s="77"/>
      <c r="P252" s="78"/>
      <c r="Q252" s="78"/>
      <c r="R252" s="82"/>
      <c r="S252" s="48">
        <v>1</v>
      </c>
      <c r="T252" s="48">
        <v>0</v>
      </c>
      <c r="U252" s="49">
        <v>0</v>
      </c>
      <c r="V252" s="49">
        <v>0.000926</v>
      </c>
      <c r="W252" s="49">
        <v>0.001993</v>
      </c>
      <c r="X252" s="49">
        <v>0.443738</v>
      </c>
      <c r="Y252" s="49">
        <v>0</v>
      </c>
      <c r="Z252" s="49">
        <v>0</v>
      </c>
      <c r="AA252" s="73">
        <v>252</v>
      </c>
      <c r="AB252" s="73"/>
      <c r="AC252" s="74"/>
      <c r="AD252" s="80" t="s">
        <v>912</v>
      </c>
      <c r="AE252" s="80" t="s">
        <v>1240</v>
      </c>
      <c r="AF252" s="80" t="s">
        <v>1553</v>
      </c>
      <c r="AG252" s="80" t="s">
        <v>1656</v>
      </c>
      <c r="AH252" s="80" t="s">
        <v>1965</v>
      </c>
      <c r="AI252" s="80">
        <v>2063364</v>
      </c>
      <c r="AJ252" s="80">
        <v>2308</v>
      </c>
      <c r="AK252" s="80">
        <v>35920</v>
      </c>
      <c r="AL252" s="80">
        <v>674</v>
      </c>
      <c r="AM252" s="80" t="s">
        <v>2047</v>
      </c>
      <c r="AN252" s="98" t="str">
        <f>HYPERLINK("https://www.youtube.com/watch?v=zZ3l1jgmYrY")</f>
        <v>https://www.youtube.com/watch?v=zZ3l1jgmYrY</v>
      </c>
      <c r="AO252" s="80" t="str">
        <f>REPLACE(INDEX(GroupVertices[Group],MATCH(Vertices[[#This Row],[Vertex]],GroupVertices[Vertex],0)),1,1,"")</f>
        <v>5</v>
      </c>
      <c r="AP252" s="48">
        <v>0</v>
      </c>
      <c r="AQ252" s="49">
        <v>0</v>
      </c>
      <c r="AR252" s="48">
        <v>4</v>
      </c>
      <c r="AS252" s="49">
        <v>7.142857142857143</v>
      </c>
      <c r="AT252" s="48">
        <v>0</v>
      </c>
      <c r="AU252" s="49">
        <v>0</v>
      </c>
      <c r="AV252" s="48">
        <v>52</v>
      </c>
      <c r="AW252" s="49">
        <v>92.85714285714286</v>
      </c>
      <c r="AX252" s="48">
        <v>56</v>
      </c>
      <c r="AY252" s="48"/>
      <c r="AZ252" s="48"/>
      <c r="BA252" s="48"/>
      <c r="BB252" s="48"/>
      <c r="BC252" s="2"/>
      <c r="BD252" s="3"/>
      <c r="BE252" s="3"/>
      <c r="BF252" s="3"/>
      <c r="BG252" s="3"/>
    </row>
    <row r="253" spans="1:59" ht="15">
      <c r="A253" s="66" t="s">
        <v>571</v>
      </c>
      <c r="B253" s="67"/>
      <c r="C253" s="67"/>
      <c r="D253" s="68">
        <v>233.34589309677756</v>
      </c>
      <c r="E253" s="70"/>
      <c r="F253" s="96" t="str">
        <f>HYPERLINK("https://i.ytimg.com/vi/ABeBqbBy2Lo/default.jpg")</f>
        <v>https://i.ytimg.com/vi/ABeBqbBy2Lo/default.jpg</v>
      </c>
      <c r="G253" s="67"/>
      <c r="H253" s="71" t="s">
        <v>913</v>
      </c>
      <c r="I253" s="72"/>
      <c r="J253" s="72" t="s">
        <v>159</v>
      </c>
      <c r="K253" s="71" t="s">
        <v>913</v>
      </c>
      <c r="L253" s="75">
        <v>1250.75</v>
      </c>
      <c r="M253" s="76">
        <v>7810.421875</v>
      </c>
      <c r="N253" s="76">
        <v>8099.97412109375</v>
      </c>
      <c r="O253" s="77"/>
      <c r="P253" s="78"/>
      <c r="Q253" s="78"/>
      <c r="R253" s="82"/>
      <c r="S253" s="48">
        <v>1</v>
      </c>
      <c r="T253" s="48">
        <v>0</v>
      </c>
      <c r="U253" s="49">
        <v>0</v>
      </c>
      <c r="V253" s="49">
        <v>0.000926</v>
      </c>
      <c r="W253" s="49">
        <v>0.001993</v>
      </c>
      <c r="X253" s="49">
        <v>0.443738</v>
      </c>
      <c r="Y253" s="49">
        <v>0</v>
      </c>
      <c r="Z253" s="49">
        <v>0</v>
      </c>
      <c r="AA253" s="73">
        <v>253</v>
      </c>
      <c r="AB253" s="73"/>
      <c r="AC253" s="74"/>
      <c r="AD253" s="80" t="s">
        <v>913</v>
      </c>
      <c r="AE253" s="80" t="s">
        <v>1241</v>
      </c>
      <c r="AF253" s="80" t="s">
        <v>1554</v>
      </c>
      <c r="AG253" s="80" t="s">
        <v>1656</v>
      </c>
      <c r="AH253" s="80" t="s">
        <v>1966</v>
      </c>
      <c r="AI253" s="80">
        <v>1728378</v>
      </c>
      <c r="AJ253" s="80">
        <v>5431</v>
      </c>
      <c r="AK253" s="80">
        <v>33316</v>
      </c>
      <c r="AL253" s="80">
        <v>816</v>
      </c>
      <c r="AM253" s="80" t="s">
        <v>2047</v>
      </c>
      <c r="AN253" s="98" t="str">
        <f>HYPERLINK("https://www.youtube.com/watch?v=ABeBqbBy2Lo")</f>
        <v>https://www.youtube.com/watch?v=ABeBqbBy2Lo</v>
      </c>
      <c r="AO253" s="80" t="str">
        <f>REPLACE(INDEX(GroupVertices[Group],MATCH(Vertices[[#This Row],[Vertex]],GroupVertices[Vertex],0)),1,1,"")</f>
        <v>5</v>
      </c>
      <c r="AP253" s="48">
        <v>0</v>
      </c>
      <c r="AQ253" s="49">
        <v>0</v>
      </c>
      <c r="AR253" s="48">
        <v>3</v>
      </c>
      <c r="AS253" s="49">
        <v>6.976744186046512</v>
      </c>
      <c r="AT253" s="48">
        <v>0</v>
      </c>
      <c r="AU253" s="49">
        <v>0</v>
      </c>
      <c r="AV253" s="48">
        <v>40</v>
      </c>
      <c r="AW253" s="49">
        <v>93.02325581395348</v>
      </c>
      <c r="AX253" s="48">
        <v>43</v>
      </c>
      <c r="AY253" s="48"/>
      <c r="AZ253" s="48"/>
      <c r="BA253" s="48"/>
      <c r="BB253" s="48"/>
      <c r="BC253" s="2"/>
      <c r="BD253" s="3"/>
      <c r="BE253" s="3"/>
      <c r="BF253" s="3"/>
      <c r="BG253" s="3"/>
    </row>
    <row r="254" spans="1:59" ht="15">
      <c r="A254" s="66" t="s">
        <v>572</v>
      </c>
      <c r="B254" s="67"/>
      <c r="C254" s="67"/>
      <c r="D254" s="68">
        <v>414.01871377643</v>
      </c>
      <c r="E254" s="70"/>
      <c r="F254" s="96" t="str">
        <f>HYPERLINK("https://i.ytimg.com/vi/StrsvKSAbT8/default.jpg")</f>
        <v>https://i.ytimg.com/vi/StrsvKSAbT8/default.jpg</v>
      </c>
      <c r="G254" s="67"/>
      <c r="H254" s="71" t="s">
        <v>914</v>
      </c>
      <c r="I254" s="72"/>
      <c r="J254" s="72" t="s">
        <v>159</v>
      </c>
      <c r="K254" s="71" t="s">
        <v>914</v>
      </c>
      <c r="L254" s="75">
        <v>1250.75</v>
      </c>
      <c r="M254" s="76">
        <v>8678.36328125</v>
      </c>
      <c r="N254" s="76">
        <v>7354.97607421875</v>
      </c>
      <c r="O254" s="77"/>
      <c r="P254" s="78"/>
      <c r="Q254" s="78"/>
      <c r="R254" s="82"/>
      <c r="S254" s="48">
        <v>1</v>
      </c>
      <c r="T254" s="48">
        <v>0</v>
      </c>
      <c r="U254" s="49">
        <v>0</v>
      </c>
      <c r="V254" s="49">
        <v>0.000926</v>
      </c>
      <c r="W254" s="49">
        <v>0.001993</v>
      </c>
      <c r="X254" s="49">
        <v>0.443738</v>
      </c>
      <c r="Y254" s="49">
        <v>0</v>
      </c>
      <c r="Z254" s="49">
        <v>0</v>
      </c>
      <c r="AA254" s="73">
        <v>254</v>
      </c>
      <c r="AB254" s="73"/>
      <c r="AC254" s="74"/>
      <c r="AD254" s="80" t="s">
        <v>914</v>
      </c>
      <c r="AE254" s="80" t="s">
        <v>1242</v>
      </c>
      <c r="AF254" s="80" t="s">
        <v>1555</v>
      </c>
      <c r="AG254" s="80" t="s">
        <v>1656</v>
      </c>
      <c r="AH254" s="80" t="s">
        <v>1967</v>
      </c>
      <c r="AI254" s="80">
        <v>3756670</v>
      </c>
      <c r="AJ254" s="80">
        <v>6770</v>
      </c>
      <c r="AK254" s="80">
        <v>68285</v>
      </c>
      <c r="AL254" s="80">
        <v>2767</v>
      </c>
      <c r="AM254" s="80" t="s">
        <v>2047</v>
      </c>
      <c r="AN254" s="98" t="str">
        <f>HYPERLINK("https://www.youtube.com/watch?v=StrsvKSAbT8")</f>
        <v>https://www.youtube.com/watch?v=StrsvKSAbT8</v>
      </c>
      <c r="AO254" s="80" t="str">
        <f>REPLACE(INDEX(GroupVertices[Group],MATCH(Vertices[[#This Row],[Vertex]],GroupVertices[Vertex],0)),1,1,"")</f>
        <v>5</v>
      </c>
      <c r="AP254" s="48">
        <v>0</v>
      </c>
      <c r="AQ254" s="49">
        <v>0</v>
      </c>
      <c r="AR254" s="48">
        <v>1</v>
      </c>
      <c r="AS254" s="49">
        <v>2.7027027027027026</v>
      </c>
      <c r="AT254" s="48">
        <v>0</v>
      </c>
      <c r="AU254" s="49">
        <v>0</v>
      </c>
      <c r="AV254" s="48">
        <v>36</v>
      </c>
      <c r="AW254" s="49">
        <v>97.29729729729729</v>
      </c>
      <c r="AX254" s="48">
        <v>37</v>
      </c>
      <c r="AY254" s="48"/>
      <c r="AZ254" s="48"/>
      <c r="BA254" s="48"/>
      <c r="BB254" s="48"/>
      <c r="BC254" s="2"/>
      <c r="BD254" s="3"/>
      <c r="BE254" s="3"/>
      <c r="BF254" s="3"/>
      <c r="BG254" s="3"/>
    </row>
    <row r="255" spans="1:59" ht="15">
      <c r="A255" s="66" t="s">
        <v>573</v>
      </c>
      <c r="B255" s="67"/>
      <c r="C255" s="67"/>
      <c r="D255" s="68">
        <v>106.93312109927945</v>
      </c>
      <c r="E255" s="70"/>
      <c r="F255" s="96" t="str">
        <f>HYPERLINK("https://i.ytimg.com/vi/pxj0PRXaduI/default.jpg")</f>
        <v>https://i.ytimg.com/vi/pxj0PRXaduI/default.jpg</v>
      </c>
      <c r="G255" s="67"/>
      <c r="H255" s="71" t="s">
        <v>915</v>
      </c>
      <c r="I255" s="72"/>
      <c r="J255" s="72" t="s">
        <v>159</v>
      </c>
      <c r="K255" s="71" t="s">
        <v>915</v>
      </c>
      <c r="L255" s="75">
        <v>1250.75</v>
      </c>
      <c r="M255" s="76">
        <v>8637.228515625</v>
      </c>
      <c r="N255" s="76">
        <v>9837.7490234375</v>
      </c>
      <c r="O255" s="77"/>
      <c r="P255" s="78"/>
      <c r="Q255" s="78"/>
      <c r="R255" s="82"/>
      <c r="S255" s="48">
        <v>1</v>
      </c>
      <c r="T255" s="48">
        <v>0</v>
      </c>
      <c r="U255" s="49">
        <v>0</v>
      </c>
      <c r="V255" s="49">
        <v>0.000926</v>
      </c>
      <c r="W255" s="49">
        <v>0.001993</v>
      </c>
      <c r="X255" s="49">
        <v>0.443738</v>
      </c>
      <c r="Y255" s="49">
        <v>0</v>
      </c>
      <c r="Z255" s="49">
        <v>0</v>
      </c>
      <c r="AA255" s="73">
        <v>255</v>
      </c>
      <c r="AB255" s="73"/>
      <c r="AC255" s="74"/>
      <c r="AD255" s="80" t="s">
        <v>915</v>
      </c>
      <c r="AE255" s="80" t="s">
        <v>1243</v>
      </c>
      <c r="AF255" s="80" t="s">
        <v>1556</v>
      </c>
      <c r="AG255" s="80" t="s">
        <v>1656</v>
      </c>
      <c r="AH255" s="80" t="s">
        <v>1968</v>
      </c>
      <c r="AI255" s="80">
        <v>309227</v>
      </c>
      <c r="AJ255" s="80">
        <v>641</v>
      </c>
      <c r="AK255" s="80">
        <v>7980</v>
      </c>
      <c r="AL255" s="80">
        <v>315</v>
      </c>
      <c r="AM255" s="80" t="s">
        <v>2047</v>
      </c>
      <c r="AN255" s="98" t="str">
        <f>HYPERLINK("https://www.youtube.com/watch?v=pxj0PRXaduI")</f>
        <v>https://www.youtube.com/watch?v=pxj0PRXaduI</v>
      </c>
      <c r="AO255" s="80" t="str">
        <f>REPLACE(INDEX(GroupVertices[Group],MATCH(Vertices[[#This Row],[Vertex]],GroupVertices[Vertex],0)),1,1,"")</f>
        <v>5</v>
      </c>
      <c r="AP255" s="48">
        <v>0</v>
      </c>
      <c r="AQ255" s="49">
        <v>0</v>
      </c>
      <c r="AR255" s="48">
        <v>2</v>
      </c>
      <c r="AS255" s="49">
        <v>5.405405405405405</v>
      </c>
      <c r="AT255" s="48">
        <v>0</v>
      </c>
      <c r="AU255" s="49">
        <v>0</v>
      </c>
      <c r="AV255" s="48">
        <v>35</v>
      </c>
      <c r="AW255" s="49">
        <v>94.5945945945946</v>
      </c>
      <c r="AX255" s="48">
        <v>37</v>
      </c>
      <c r="AY255" s="48"/>
      <c r="AZ255" s="48"/>
      <c r="BA255" s="48"/>
      <c r="BB255" s="48"/>
      <c r="BC255" s="2"/>
      <c r="BD255" s="3"/>
      <c r="BE255" s="3"/>
      <c r="BF255" s="3"/>
      <c r="BG255" s="3"/>
    </row>
    <row r="256" spans="1:59" ht="15">
      <c r="A256" s="66" t="s">
        <v>574</v>
      </c>
      <c r="B256" s="67"/>
      <c r="C256" s="67"/>
      <c r="D256" s="68">
        <v>183.08884589987434</v>
      </c>
      <c r="E256" s="70"/>
      <c r="F256" s="96" t="str">
        <f>HYPERLINK("https://i.ytimg.com/vi/m_zFyXWxxMA/default.jpg")</f>
        <v>https://i.ytimg.com/vi/m_zFyXWxxMA/default.jpg</v>
      </c>
      <c r="G256" s="67"/>
      <c r="H256" s="71" t="s">
        <v>916</v>
      </c>
      <c r="I256" s="72"/>
      <c r="J256" s="72" t="s">
        <v>159</v>
      </c>
      <c r="K256" s="71" t="s">
        <v>916</v>
      </c>
      <c r="L256" s="75">
        <v>1250.75</v>
      </c>
      <c r="M256" s="76">
        <v>9267.94921875</v>
      </c>
      <c r="N256" s="76">
        <v>8763.796875</v>
      </c>
      <c r="O256" s="77"/>
      <c r="P256" s="78"/>
      <c r="Q256" s="78"/>
      <c r="R256" s="82"/>
      <c r="S256" s="48">
        <v>1</v>
      </c>
      <c r="T256" s="48">
        <v>0</v>
      </c>
      <c r="U256" s="49">
        <v>0</v>
      </c>
      <c r="V256" s="49">
        <v>0.000926</v>
      </c>
      <c r="W256" s="49">
        <v>0.001993</v>
      </c>
      <c r="X256" s="49">
        <v>0.443738</v>
      </c>
      <c r="Y256" s="49">
        <v>0</v>
      </c>
      <c r="Z256" s="49">
        <v>0</v>
      </c>
      <c r="AA256" s="73">
        <v>256</v>
      </c>
      <c r="AB256" s="73"/>
      <c r="AC256" s="74"/>
      <c r="AD256" s="80" t="s">
        <v>916</v>
      </c>
      <c r="AE256" s="80" t="s">
        <v>1244</v>
      </c>
      <c r="AF256" s="80" t="s">
        <v>1557</v>
      </c>
      <c r="AG256" s="80" t="s">
        <v>1656</v>
      </c>
      <c r="AH256" s="80" t="s">
        <v>1969</v>
      </c>
      <c r="AI256" s="80">
        <v>1164176</v>
      </c>
      <c r="AJ256" s="80">
        <v>2559</v>
      </c>
      <c r="AK256" s="80">
        <v>26852</v>
      </c>
      <c r="AL256" s="80">
        <v>756</v>
      </c>
      <c r="AM256" s="80" t="s">
        <v>2047</v>
      </c>
      <c r="AN256" s="98" t="str">
        <f>HYPERLINK("https://www.youtube.com/watch?v=m_zFyXWxxMA")</f>
        <v>https://www.youtube.com/watch?v=m_zFyXWxxMA</v>
      </c>
      <c r="AO256" s="80" t="str">
        <f>REPLACE(INDEX(GroupVertices[Group],MATCH(Vertices[[#This Row],[Vertex]],GroupVertices[Vertex],0)),1,1,"")</f>
        <v>5</v>
      </c>
      <c r="AP256" s="48">
        <v>1</v>
      </c>
      <c r="AQ256" s="49">
        <v>1.7241379310344827</v>
      </c>
      <c r="AR256" s="48">
        <v>3</v>
      </c>
      <c r="AS256" s="49">
        <v>5.172413793103448</v>
      </c>
      <c r="AT256" s="48">
        <v>0</v>
      </c>
      <c r="AU256" s="49">
        <v>0</v>
      </c>
      <c r="AV256" s="48">
        <v>54</v>
      </c>
      <c r="AW256" s="49">
        <v>93.10344827586206</v>
      </c>
      <c r="AX256" s="48">
        <v>58</v>
      </c>
      <c r="AY256" s="48"/>
      <c r="AZ256" s="48"/>
      <c r="BA256" s="48"/>
      <c r="BB256" s="48"/>
      <c r="BC256" s="2"/>
      <c r="BD256" s="3"/>
      <c r="BE256" s="3"/>
      <c r="BF256" s="3"/>
      <c r="BG256" s="3"/>
    </row>
    <row r="257" spans="1:59" ht="15">
      <c r="A257" s="66" t="s">
        <v>575</v>
      </c>
      <c r="B257" s="67"/>
      <c r="C257" s="67"/>
      <c r="D257" s="68">
        <v>280.43039749346934</v>
      </c>
      <c r="E257" s="70"/>
      <c r="F257" s="96" t="str">
        <f>HYPERLINK("https://i.ytimg.com/vi/hhXeUQOuRaw/default.jpg")</f>
        <v>https://i.ytimg.com/vi/hhXeUQOuRaw/default.jpg</v>
      </c>
      <c r="G257" s="67"/>
      <c r="H257" s="71" t="s">
        <v>917</v>
      </c>
      <c r="I257" s="72"/>
      <c r="J257" s="72" t="s">
        <v>159</v>
      </c>
      <c r="K257" s="71" t="s">
        <v>917</v>
      </c>
      <c r="L257" s="75">
        <v>1250.75</v>
      </c>
      <c r="M257" s="76">
        <v>9037.3701171875</v>
      </c>
      <c r="N257" s="76">
        <v>9682.4560546875</v>
      </c>
      <c r="O257" s="77"/>
      <c r="P257" s="78"/>
      <c r="Q257" s="78"/>
      <c r="R257" s="82"/>
      <c r="S257" s="48">
        <v>1</v>
      </c>
      <c r="T257" s="48">
        <v>0</v>
      </c>
      <c r="U257" s="49">
        <v>0</v>
      </c>
      <c r="V257" s="49">
        <v>0.000926</v>
      </c>
      <c r="W257" s="49">
        <v>0.001993</v>
      </c>
      <c r="X257" s="49">
        <v>0.443738</v>
      </c>
      <c r="Y257" s="49">
        <v>0</v>
      </c>
      <c r="Z257" s="49">
        <v>0</v>
      </c>
      <c r="AA257" s="73">
        <v>257</v>
      </c>
      <c r="AB257" s="73"/>
      <c r="AC257" s="74"/>
      <c r="AD257" s="80" t="s">
        <v>917</v>
      </c>
      <c r="AE257" s="80" t="s">
        <v>1245</v>
      </c>
      <c r="AF257" s="80" t="s">
        <v>1558</v>
      </c>
      <c r="AG257" s="80" t="s">
        <v>1656</v>
      </c>
      <c r="AH257" s="80" t="s">
        <v>1970</v>
      </c>
      <c r="AI257" s="80">
        <v>2256964</v>
      </c>
      <c r="AJ257" s="80">
        <v>2588</v>
      </c>
      <c r="AK257" s="80">
        <v>45780</v>
      </c>
      <c r="AL257" s="80">
        <v>830</v>
      </c>
      <c r="AM257" s="80" t="s">
        <v>2047</v>
      </c>
      <c r="AN257" s="98" t="str">
        <f>HYPERLINK("https://www.youtube.com/watch?v=hhXeUQOuRaw")</f>
        <v>https://www.youtube.com/watch?v=hhXeUQOuRaw</v>
      </c>
      <c r="AO257" s="80" t="str">
        <f>REPLACE(INDEX(GroupVertices[Group],MATCH(Vertices[[#This Row],[Vertex]],GroupVertices[Vertex],0)),1,1,"")</f>
        <v>5</v>
      </c>
      <c r="AP257" s="48">
        <v>1</v>
      </c>
      <c r="AQ257" s="49">
        <v>3.225806451612903</v>
      </c>
      <c r="AR257" s="48">
        <v>4</v>
      </c>
      <c r="AS257" s="49">
        <v>12.903225806451612</v>
      </c>
      <c r="AT257" s="48">
        <v>0</v>
      </c>
      <c r="AU257" s="49">
        <v>0</v>
      </c>
      <c r="AV257" s="48">
        <v>26</v>
      </c>
      <c r="AW257" s="49">
        <v>83.87096774193549</v>
      </c>
      <c r="AX257" s="48">
        <v>31</v>
      </c>
      <c r="AY257" s="48"/>
      <c r="AZ257" s="48"/>
      <c r="BA257" s="48"/>
      <c r="BB257" s="48"/>
      <c r="BC257" s="2"/>
      <c r="BD257" s="3"/>
      <c r="BE257" s="3"/>
      <c r="BF257" s="3"/>
      <c r="BG257" s="3"/>
    </row>
    <row r="258" spans="1:59" ht="15">
      <c r="A258" s="66" t="s">
        <v>576</v>
      </c>
      <c r="B258" s="67"/>
      <c r="C258" s="67"/>
      <c r="D258" s="68">
        <v>333.97249090356325</v>
      </c>
      <c r="E258" s="70"/>
      <c r="F258" s="96" t="str">
        <f>HYPERLINK("https://i.ytimg.com/vi/yS53AA_WaUk/default.jpg")</f>
        <v>https://i.ytimg.com/vi/yS53AA_WaUk/default.jpg</v>
      </c>
      <c r="G258" s="67"/>
      <c r="H258" s="71" t="s">
        <v>918</v>
      </c>
      <c r="I258" s="72"/>
      <c r="J258" s="72" t="s">
        <v>159</v>
      </c>
      <c r="K258" s="71" t="s">
        <v>918</v>
      </c>
      <c r="L258" s="75">
        <v>1250.75</v>
      </c>
      <c r="M258" s="76">
        <v>7366.97509765625</v>
      </c>
      <c r="N258" s="76">
        <v>6763.3408203125</v>
      </c>
      <c r="O258" s="77"/>
      <c r="P258" s="78"/>
      <c r="Q258" s="78"/>
      <c r="R258" s="82"/>
      <c r="S258" s="48">
        <v>1</v>
      </c>
      <c r="T258" s="48">
        <v>0</v>
      </c>
      <c r="U258" s="49">
        <v>0</v>
      </c>
      <c r="V258" s="49">
        <v>0.000926</v>
      </c>
      <c r="W258" s="49">
        <v>0.001993</v>
      </c>
      <c r="X258" s="49">
        <v>0.443738</v>
      </c>
      <c r="Y258" s="49">
        <v>0</v>
      </c>
      <c r="Z258" s="49">
        <v>0</v>
      </c>
      <c r="AA258" s="73">
        <v>258</v>
      </c>
      <c r="AB258" s="73"/>
      <c r="AC258" s="74"/>
      <c r="AD258" s="80" t="s">
        <v>918</v>
      </c>
      <c r="AE258" s="80" t="s">
        <v>1246</v>
      </c>
      <c r="AF258" s="80" t="s">
        <v>1559</v>
      </c>
      <c r="AG258" s="80" t="s">
        <v>1656</v>
      </c>
      <c r="AH258" s="80" t="s">
        <v>1971</v>
      </c>
      <c r="AI258" s="80">
        <v>2858045</v>
      </c>
      <c r="AJ258" s="80">
        <v>3061</v>
      </c>
      <c r="AK258" s="80">
        <v>53196</v>
      </c>
      <c r="AL258" s="80">
        <v>1620</v>
      </c>
      <c r="AM258" s="80" t="s">
        <v>2047</v>
      </c>
      <c r="AN258" s="98" t="str">
        <f>HYPERLINK("https://www.youtube.com/watch?v=yS53AA_WaUk")</f>
        <v>https://www.youtube.com/watch?v=yS53AA_WaUk</v>
      </c>
      <c r="AO258" s="80" t="str">
        <f>REPLACE(INDEX(GroupVertices[Group],MATCH(Vertices[[#This Row],[Vertex]],GroupVertices[Vertex],0)),1,1,"")</f>
        <v>5</v>
      </c>
      <c r="AP258" s="48">
        <v>0</v>
      </c>
      <c r="AQ258" s="49">
        <v>0</v>
      </c>
      <c r="AR258" s="48">
        <v>0</v>
      </c>
      <c r="AS258" s="49">
        <v>0</v>
      </c>
      <c r="AT258" s="48">
        <v>0</v>
      </c>
      <c r="AU258" s="49">
        <v>0</v>
      </c>
      <c r="AV258" s="48">
        <v>25</v>
      </c>
      <c r="AW258" s="49">
        <v>100</v>
      </c>
      <c r="AX258" s="48">
        <v>25</v>
      </c>
      <c r="AY258" s="48"/>
      <c r="AZ258" s="48"/>
      <c r="BA258" s="48"/>
      <c r="BB258" s="48"/>
      <c r="BC258" s="2"/>
      <c r="BD258" s="3"/>
      <c r="BE258" s="3"/>
      <c r="BF258" s="3"/>
      <c r="BG258" s="3"/>
    </row>
    <row r="259" spans="1:59" ht="15">
      <c r="A259" s="66" t="s">
        <v>577</v>
      </c>
      <c r="B259" s="67"/>
      <c r="C259" s="67"/>
      <c r="D259" s="68">
        <v>332.358516762811</v>
      </c>
      <c r="E259" s="70"/>
      <c r="F259" s="96" t="str">
        <f>HYPERLINK("https://i.ytimg.com/vi/7FlzHiURdTs/default.jpg")</f>
        <v>https://i.ytimg.com/vi/7FlzHiURdTs/default.jpg</v>
      </c>
      <c r="G259" s="67"/>
      <c r="H259" s="71" t="s">
        <v>919</v>
      </c>
      <c r="I259" s="72"/>
      <c r="J259" s="72" t="s">
        <v>159</v>
      </c>
      <c r="K259" s="71" t="s">
        <v>919</v>
      </c>
      <c r="L259" s="75">
        <v>1250.75</v>
      </c>
      <c r="M259" s="76">
        <v>9790.1181640625</v>
      </c>
      <c r="N259" s="76">
        <v>8572.841796875</v>
      </c>
      <c r="O259" s="77"/>
      <c r="P259" s="78"/>
      <c r="Q259" s="78"/>
      <c r="R259" s="82"/>
      <c r="S259" s="48">
        <v>1</v>
      </c>
      <c r="T259" s="48">
        <v>0</v>
      </c>
      <c r="U259" s="49">
        <v>0</v>
      </c>
      <c r="V259" s="49">
        <v>0.000926</v>
      </c>
      <c r="W259" s="49">
        <v>0.001993</v>
      </c>
      <c r="X259" s="49">
        <v>0.443738</v>
      </c>
      <c r="Y259" s="49">
        <v>0</v>
      </c>
      <c r="Z259" s="49">
        <v>0</v>
      </c>
      <c r="AA259" s="73">
        <v>259</v>
      </c>
      <c r="AB259" s="73"/>
      <c r="AC259" s="74"/>
      <c r="AD259" s="80" t="s">
        <v>919</v>
      </c>
      <c r="AE259" s="80" t="s">
        <v>1247</v>
      </c>
      <c r="AF259" s="80" t="s">
        <v>1560</v>
      </c>
      <c r="AG259" s="80" t="s">
        <v>1656</v>
      </c>
      <c r="AH259" s="80" t="s">
        <v>1972</v>
      </c>
      <c r="AI259" s="80">
        <v>2839926</v>
      </c>
      <c r="AJ259" s="80">
        <v>4675</v>
      </c>
      <c r="AK259" s="80">
        <v>71243</v>
      </c>
      <c r="AL259" s="80">
        <v>1307</v>
      </c>
      <c r="AM259" s="80" t="s">
        <v>2047</v>
      </c>
      <c r="AN259" s="98" t="str">
        <f>HYPERLINK("https://www.youtube.com/watch?v=7FlzHiURdTs")</f>
        <v>https://www.youtube.com/watch?v=7FlzHiURdTs</v>
      </c>
      <c r="AO259" s="80" t="str">
        <f>REPLACE(INDEX(GroupVertices[Group],MATCH(Vertices[[#This Row],[Vertex]],GroupVertices[Vertex],0)),1,1,"")</f>
        <v>5</v>
      </c>
      <c r="AP259" s="48">
        <v>0</v>
      </c>
      <c r="AQ259" s="49">
        <v>0</v>
      </c>
      <c r="AR259" s="48">
        <v>2</v>
      </c>
      <c r="AS259" s="49">
        <v>4.444444444444445</v>
      </c>
      <c r="AT259" s="48">
        <v>0</v>
      </c>
      <c r="AU259" s="49">
        <v>0</v>
      </c>
      <c r="AV259" s="48">
        <v>43</v>
      </c>
      <c r="AW259" s="49">
        <v>95.55555555555556</v>
      </c>
      <c r="AX259" s="48">
        <v>45</v>
      </c>
      <c r="AY259" s="48"/>
      <c r="AZ259" s="48"/>
      <c r="BA259" s="48"/>
      <c r="BB259" s="48"/>
      <c r="BC259" s="2"/>
      <c r="BD259" s="3"/>
      <c r="BE259" s="3"/>
      <c r="BF259" s="3"/>
      <c r="BG259" s="3"/>
    </row>
    <row r="260" spans="1:59" ht="15">
      <c r="A260" s="66" t="s">
        <v>578</v>
      </c>
      <c r="B260" s="67"/>
      <c r="C260" s="67"/>
      <c r="D260" s="68">
        <v>107.90966497615271</v>
      </c>
      <c r="E260" s="70"/>
      <c r="F260" s="96" t="str">
        <f>HYPERLINK("https://i.ytimg.com/vi/w6kUOjJ98cY/default.jpg")</f>
        <v>https://i.ytimg.com/vi/w6kUOjJ98cY/default.jpg</v>
      </c>
      <c r="G260" s="67"/>
      <c r="H260" s="71" t="s">
        <v>920</v>
      </c>
      <c r="I260" s="72"/>
      <c r="J260" s="72" t="s">
        <v>159</v>
      </c>
      <c r="K260" s="71" t="s">
        <v>920</v>
      </c>
      <c r="L260" s="75">
        <v>1250.75</v>
      </c>
      <c r="M260" s="76">
        <v>9713.1103515625</v>
      </c>
      <c r="N260" s="76">
        <v>7180.7998046875</v>
      </c>
      <c r="O260" s="77"/>
      <c r="P260" s="78"/>
      <c r="Q260" s="78"/>
      <c r="R260" s="82"/>
      <c r="S260" s="48">
        <v>1</v>
      </c>
      <c r="T260" s="48">
        <v>0</v>
      </c>
      <c r="U260" s="49">
        <v>0</v>
      </c>
      <c r="V260" s="49">
        <v>0.000926</v>
      </c>
      <c r="W260" s="49">
        <v>0.001993</v>
      </c>
      <c r="X260" s="49">
        <v>0.443738</v>
      </c>
      <c r="Y260" s="49">
        <v>0</v>
      </c>
      <c r="Z260" s="49">
        <v>0</v>
      </c>
      <c r="AA260" s="73">
        <v>260</v>
      </c>
      <c r="AB260" s="73"/>
      <c r="AC260" s="74"/>
      <c r="AD260" s="80" t="s">
        <v>920</v>
      </c>
      <c r="AE260" s="80" t="s">
        <v>1248</v>
      </c>
      <c r="AF260" s="80" t="s">
        <v>1561</v>
      </c>
      <c r="AG260" s="80" t="s">
        <v>1711</v>
      </c>
      <c r="AH260" s="80" t="s">
        <v>1973</v>
      </c>
      <c r="AI260" s="80">
        <v>320190</v>
      </c>
      <c r="AJ260" s="80">
        <v>579</v>
      </c>
      <c r="AK260" s="80">
        <v>8615</v>
      </c>
      <c r="AL260" s="80">
        <v>235</v>
      </c>
      <c r="AM260" s="80" t="s">
        <v>2047</v>
      </c>
      <c r="AN260" s="98" t="str">
        <f>HYPERLINK("https://www.youtube.com/watch?v=w6kUOjJ98cY")</f>
        <v>https://www.youtube.com/watch?v=w6kUOjJ98cY</v>
      </c>
      <c r="AO260" s="80" t="str">
        <f>REPLACE(INDEX(GroupVertices[Group],MATCH(Vertices[[#This Row],[Vertex]],GroupVertices[Vertex],0)),1,1,"")</f>
        <v>5</v>
      </c>
      <c r="AP260" s="48">
        <v>2</v>
      </c>
      <c r="AQ260" s="49">
        <v>8.333333333333334</v>
      </c>
      <c r="AR260" s="48">
        <v>1</v>
      </c>
      <c r="AS260" s="49">
        <v>4.166666666666667</v>
      </c>
      <c r="AT260" s="48">
        <v>0</v>
      </c>
      <c r="AU260" s="49">
        <v>0</v>
      </c>
      <c r="AV260" s="48">
        <v>21</v>
      </c>
      <c r="AW260" s="49">
        <v>87.5</v>
      </c>
      <c r="AX260" s="48">
        <v>24</v>
      </c>
      <c r="AY260" s="48"/>
      <c r="AZ260" s="48"/>
      <c r="BA260" s="48"/>
      <c r="BB260" s="48"/>
      <c r="BC260" s="2"/>
      <c r="BD260" s="3"/>
      <c r="BE260" s="3"/>
      <c r="BF260" s="3"/>
      <c r="BG260" s="3"/>
    </row>
    <row r="261" spans="1:59" ht="15">
      <c r="A261" s="66" t="s">
        <v>579</v>
      </c>
      <c r="B261" s="67"/>
      <c r="C261" s="67"/>
      <c r="D261" s="68">
        <v>413.3383487183658</v>
      </c>
      <c r="E261" s="70"/>
      <c r="F261" s="96" t="str">
        <f>HYPERLINK("https://i.ytimg.com/vi/hiduiTq1ei8/default.jpg")</f>
        <v>https://i.ytimg.com/vi/hiduiTq1ei8/default.jpg</v>
      </c>
      <c r="G261" s="67"/>
      <c r="H261" s="71" t="s">
        <v>921</v>
      </c>
      <c r="I261" s="72"/>
      <c r="J261" s="72" t="s">
        <v>159</v>
      </c>
      <c r="K261" s="71" t="s">
        <v>921</v>
      </c>
      <c r="L261" s="75">
        <v>1250.75</v>
      </c>
      <c r="M261" s="76">
        <v>9219.142578125</v>
      </c>
      <c r="N261" s="76">
        <v>6391.1279296875</v>
      </c>
      <c r="O261" s="77"/>
      <c r="P261" s="78"/>
      <c r="Q261" s="78"/>
      <c r="R261" s="82"/>
      <c r="S261" s="48">
        <v>1</v>
      </c>
      <c r="T261" s="48">
        <v>0</v>
      </c>
      <c r="U261" s="49">
        <v>0</v>
      </c>
      <c r="V261" s="49">
        <v>0.000926</v>
      </c>
      <c r="W261" s="49">
        <v>0.001993</v>
      </c>
      <c r="X261" s="49">
        <v>0.443738</v>
      </c>
      <c r="Y261" s="49">
        <v>0</v>
      </c>
      <c r="Z261" s="49">
        <v>0</v>
      </c>
      <c r="AA261" s="73">
        <v>261</v>
      </c>
      <c r="AB261" s="73"/>
      <c r="AC261" s="74"/>
      <c r="AD261" s="80" t="s">
        <v>921</v>
      </c>
      <c r="AE261" s="80" t="s">
        <v>1249</v>
      </c>
      <c r="AF261" s="80" t="s">
        <v>1562</v>
      </c>
      <c r="AG261" s="80" t="s">
        <v>1656</v>
      </c>
      <c r="AH261" s="80" t="s">
        <v>1974</v>
      </c>
      <c r="AI261" s="80">
        <v>3749032</v>
      </c>
      <c r="AJ261" s="80">
        <v>6636</v>
      </c>
      <c r="AK261" s="80">
        <v>67558</v>
      </c>
      <c r="AL261" s="80">
        <v>1018</v>
      </c>
      <c r="AM261" s="80" t="s">
        <v>2047</v>
      </c>
      <c r="AN261" s="98" t="str">
        <f>HYPERLINK("https://www.youtube.com/watch?v=hiduiTq1ei8")</f>
        <v>https://www.youtube.com/watch?v=hiduiTq1ei8</v>
      </c>
      <c r="AO261" s="80" t="str">
        <f>REPLACE(INDEX(GroupVertices[Group],MATCH(Vertices[[#This Row],[Vertex]],GroupVertices[Vertex],0)),1,1,"")</f>
        <v>5</v>
      </c>
      <c r="AP261" s="48">
        <v>0</v>
      </c>
      <c r="AQ261" s="49">
        <v>0</v>
      </c>
      <c r="AR261" s="48">
        <v>0</v>
      </c>
      <c r="AS261" s="49">
        <v>0</v>
      </c>
      <c r="AT261" s="48">
        <v>0</v>
      </c>
      <c r="AU261" s="49">
        <v>0</v>
      </c>
      <c r="AV261" s="48">
        <v>21</v>
      </c>
      <c r="AW261" s="49">
        <v>100</v>
      </c>
      <c r="AX261" s="48">
        <v>21</v>
      </c>
      <c r="AY261" s="48"/>
      <c r="AZ261" s="48"/>
      <c r="BA261" s="48"/>
      <c r="BB261" s="48"/>
      <c r="BC261" s="2"/>
      <c r="BD261" s="3"/>
      <c r="BE261" s="3"/>
      <c r="BF261" s="3"/>
      <c r="BG261" s="3"/>
    </row>
    <row r="262" spans="1:59" ht="15">
      <c r="A262" s="66" t="s">
        <v>580</v>
      </c>
      <c r="B262" s="67"/>
      <c r="C262" s="67"/>
      <c r="D262" s="68">
        <v>146.43758556653518</v>
      </c>
      <c r="E262" s="70"/>
      <c r="F262" s="96" t="str">
        <f>HYPERLINK("https://i.ytimg.com/vi/L6w0SSidMIo/default.jpg")</f>
        <v>https://i.ytimg.com/vi/L6w0SSidMIo/default.jpg</v>
      </c>
      <c r="G262" s="67"/>
      <c r="H262" s="71" t="s">
        <v>922</v>
      </c>
      <c r="I262" s="72"/>
      <c r="J262" s="72" t="s">
        <v>159</v>
      </c>
      <c r="K262" s="71" t="s">
        <v>922</v>
      </c>
      <c r="L262" s="75">
        <v>1250.75</v>
      </c>
      <c r="M262" s="76">
        <v>7672.73486328125</v>
      </c>
      <c r="N262" s="76">
        <v>8995.7236328125</v>
      </c>
      <c r="O262" s="77"/>
      <c r="P262" s="78"/>
      <c r="Q262" s="78"/>
      <c r="R262" s="82"/>
      <c r="S262" s="48">
        <v>1</v>
      </c>
      <c r="T262" s="48">
        <v>0</v>
      </c>
      <c r="U262" s="49">
        <v>0</v>
      </c>
      <c r="V262" s="49">
        <v>0.000926</v>
      </c>
      <c r="W262" s="49">
        <v>0.001993</v>
      </c>
      <c r="X262" s="49">
        <v>0.443738</v>
      </c>
      <c r="Y262" s="49">
        <v>0</v>
      </c>
      <c r="Z262" s="49">
        <v>0</v>
      </c>
      <c r="AA262" s="73">
        <v>262</v>
      </c>
      <c r="AB262" s="73"/>
      <c r="AC262" s="74"/>
      <c r="AD262" s="80" t="s">
        <v>922</v>
      </c>
      <c r="AE262" s="80" t="s">
        <v>1250</v>
      </c>
      <c r="AF262" s="80" t="s">
        <v>1563</v>
      </c>
      <c r="AG262" s="80" t="s">
        <v>1656</v>
      </c>
      <c r="AH262" s="80" t="s">
        <v>1975</v>
      </c>
      <c r="AI262" s="80">
        <v>752717</v>
      </c>
      <c r="AJ262" s="80">
        <v>1821</v>
      </c>
      <c r="AK262" s="80">
        <v>20127</v>
      </c>
      <c r="AL262" s="80">
        <v>431</v>
      </c>
      <c r="AM262" s="80" t="s">
        <v>2047</v>
      </c>
      <c r="AN262" s="98" t="str">
        <f>HYPERLINK("https://www.youtube.com/watch?v=L6w0SSidMIo")</f>
        <v>https://www.youtube.com/watch?v=L6w0SSidMIo</v>
      </c>
      <c r="AO262" s="80" t="str">
        <f>REPLACE(INDEX(GroupVertices[Group],MATCH(Vertices[[#This Row],[Vertex]],GroupVertices[Vertex],0)),1,1,"")</f>
        <v>5</v>
      </c>
      <c r="AP262" s="48">
        <v>0</v>
      </c>
      <c r="AQ262" s="49">
        <v>0</v>
      </c>
      <c r="AR262" s="48">
        <v>3</v>
      </c>
      <c r="AS262" s="49">
        <v>11.538461538461538</v>
      </c>
      <c r="AT262" s="48">
        <v>0</v>
      </c>
      <c r="AU262" s="49">
        <v>0</v>
      </c>
      <c r="AV262" s="48">
        <v>23</v>
      </c>
      <c r="AW262" s="49">
        <v>88.46153846153847</v>
      </c>
      <c r="AX262" s="48">
        <v>26</v>
      </c>
      <c r="AY262" s="48"/>
      <c r="AZ262" s="48"/>
      <c r="BA262" s="48"/>
      <c r="BB262" s="48"/>
      <c r="BC262" s="2"/>
      <c r="BD262" s="3"/>
      <c r="BE262" s="3"/>
      <c r="BF262" s="3"/>
      <c r="BG262" s="3"/>
    </row>
    <row r="263" spans="1:59" ht="15">
      <c r="A263" s="66" t="s">
        <v>581</v>
      </c>
      <c r="B263" s="67"/>
      <c r="C263" s="67"/>
      <c r="D263" s="68">
        <v>366.68791330936017</v>
      </c>
      <c r="E263" s="70"/>
      <c r="F263" s="96" t="str">
        <f>HYPERLINK("https://i.ytimg.com/vi/Gs26bZTRkdU/default.jpg")</f>
        <v>https://i.ytimg.com/vi/Gs26bZTRkdU/default.jpg</v>
      </c>
      <c r="G263" s="67"/>
      <c r="H263" s="71" t="s">
        <v>923</v>
      </c>
      <c r="I263" s="72"/>
      <c r="J263" s="72" t="s">
        <v>159</v>
      </c>
      <c r="K263" s="71" t="s">
        <v>923</v>
      </c>
      <c r="L263" s="75">
        <v>1250.75</v>
      </c>
      <c r="M263" s="76">
        <v>7189.7568359375</v>
      </c>
      <c r="N263" s="76">
        <v>8990.1259765625</v>
      </c>
      <c r="O263" s="77"/>
      <c r="P263" s="78"/>
      <c r="Q263" s="78"/>
      <c r="R263" s="82"/>
      <c r="S263" s="48">
        <v>1</v>
      </c>
      <c r="T263" s="48">
        <v>0</v>
      </c>
      <c r="U263" s="49">
        <v>0</v>
      </c>
      <c r="V263" s="49">
        <v>0.000926</v>
      </c>
      <c r="W263" s="49">
        <v>0.001993</v>
      </c>
      <c r="X263" s="49">
        <v>0.443738</v>
      </c>
      <c r="Y263" s="49">
        <v>0</v>
      </c>
      <c r="Z263" s="49">
        <v>0</v>
      </c>
      <c r="AA263" s="73">
        <v>263</v>
      </c>
      <c r="AB263" s="73"/>
      <c r="AC263" s="74"/>
      <c r="AD263" s="80" t="s">
        <v>923</v>
      </c>
      <c r="AE263" s="80" t="s">
        <v>1251</v>
      </c>
      <c r="AF263" s="80" t="s">
        <v>1564</v>
      </c>
      <c r="AG263" s="80" t="s">
        <v>1656</v>
      </c>
      <c r="AH263" s="80" t="s">
        <v>1976</v>
      </c>
      <c r="AI263" s="80">
        <v>3225319</v>
      </c>
      <c r="AJ263" s="80">
        <v>6264</v>
      </c>
      <c r="AK263" s="80">
        <v>71246</v>
      </c>
      <c r="AL263" s="80">
        <v>3508</v>
      </c>
      <c r="AM263" s="80" t="s">
        <v>2047</v>
      </c>
      <c r="AN263" s="98" t="str">
        <f>HYPERLINK("https://www.youtube.com/watch?v=Gs26bZTRkdU")</f>
        <v>https://www.youtube.com/watch?v=Gs26bZTRkdU</v>
      </c>
      <c r="AO263" s="80" t="str">
        <f>REPLACE(INDEX(GroupVertices[Group],MATCH(Vertices[[#This Row],[Vertex]],GroupVertices[Vertex],0)),1,1,"")</f>
        <v>5</v>
      </c>
      <c r="AP263" s="48">
        <v>1</v>
      </c>
      <c r="AQ263" s="49">
        <v>2.1739130434782608</v>
      </c>
      <c r="AR263" s="48">
        <v>4</v>
      </c>
      <c r="AS263" s="49">
        <v>8.695652173913043</v>
      </c>
      <c r="AT263" s="48">
        <v>0</v>
      </c>
      <c r="AU263" s="49">
        <v>0</v>
      </c>
      <c r="AV263" s="48">
        <v>41</v>
      </c>
      <c r="AW263" s="49">
        <v>89.1304347826087</v>
      </c>
      <c r="AX263" s="48">
        <v>46</v>
      </c>
      <c r="AY263" s="48"/>
      <c r="AZ263" s="48"/>
      <c r="BA263" s="48"/>
      <c r="BB263" s="48"/>
      <c r="BC263" s="2"/>
      <c r="BD263" s="3"/>
      <c r="BE263" s="3"/>
      <c r="BF263" s="3"/>
      <c r="BG263" s="3"/>
    </row>
    <row r="264" spans="1:59" ht="15">
      <c r="A264" s="66" t="s">
        <v>582</v>
      </c>
      <c r="B264" s="67"/>
      <c r="C264" s="67"/>
      <c r="D264" s="68">
        <v>106.27760833909426</v>
      </c>
      <c r="E264" s="70"/>
      <c r="F264" s="96" t="str">
        <f>HYPERLINK("https://i.ytimg.com/vi/aLNhfVCa5qY/default.jpg")</f>
        <v>https://i.ytimg.com/vi/aLNhfVCa5qY/default.jpg</v>
      </c>
      <c r="G264" s="67"/>
      <c r="H264" s="71" t="s">
        <v>924</v>
      </c>
      <c r="I264" s="72"/>
      <c r="J264" s="72" t="s">
        <v>159</v>
      </c>
      <c r="K264" s="71" t="s">
        <v>924</v>
      </c>
      <c r="L264" s="75">
        <v>1250.75</v>
      </c>
      <c r="M264" s="76">
        <v>7456.17431640625</v>
      </c>
      <c r="N264" s="76">
        <v>9425.490234375</v>
      </c>
      <c r="O264" s="77"/>
      <c r="P264" s="78"/>
      <c r="Q264" s="78"/>
      <c r="R264" s="82"/>
      <c r="S264" s="48">
        <v>1</v>
      </c>
      <c r="T264" s="48">
        <v>0</v>
      </c>
      <c r="U264" s="49">
        <v>0</v>
      </c>
      <c r="V264" s="49">
        <v>0.000926</v>
      </c>
      <c r="W264" s="49">
        <v>0.001993</v>
      </c>
      <c r="X264" s="49">
        <v>0.443738</v>
      </c>
      <c r="Y264" s="49">
        <v>0</v>
      </c>
      <c r="Z264" s="49">
        <v>0</v>
      </c>
      <c r="AA264" s="73">
        <v>264</v>
      </c>
      <c r="AB264" s="73"/>
      <c r="AC264" s="74"/>
      <c r="AD264" s="80" t="s">
        <v>924</v>
      </c>
      <c r="AE264" s="80" t="s">
        <v>1252</v>
      </c>
      <c r="AF264" s="80" t="s">
        <v>1565</v>
      </c>
      <c r="AG264" s="80" t="s">
        <v>1656</v>
      </c>
      <c r="AH264" s="80" t="s">
        <v>1977</v>
      </c>
      <c r="AI264" s="80">
        <v>301868</v>
      </c>
      <c r="AJ264" s="80">
        <v>560</v>
      </c>
      <c r="AK264" s="80">
        <v>7424</v>
      </c>
      <c r="AL264" s="80">
        <v>177</v>
      </c>
      <c r="AM264" s="80" t="s">
        <v>2047</v>
      </c>
      <c r="AN264" s="98" t="str">
        <f>HYPERLINK("https://www.youtube.com/watch?v=aLNhfVCa5qY")</f>
        <v>https://www.youtube.com/watch?v=aLNhfVCa5qY</v>
      </c>
      <c r="AO264" s="80" t="str">
        <f>REPLACE(INDEX(GroupVertices[Group],MATCH(Vertices[[#This Row],[Vertex]],GroupVertices[Vertex],0)),1,1,"")</f>
        <v>5</v>
      </c>
      <c r="AP264" s="48">
        <v>0</v>
      </c>
      <c r="AQ264" s="49">
        <v>0</v>
      </c>
      <c r="AR264" s="48">
        <v>2</v>
      </c>
      <c r="AS264" s="49">
        <v>4.081632653061225</v>
      </c>
      <c r="AT264" s="48">
        <v>0</v>
      </c>
      <c r="AU264" s="49">
        <v>0</v>
      </c>
      <c r="AV264" s="48">
        <v>47</v>
      </c>
      <c r="AW264" s="49">
        <v>95.91836734693878</v>
      </c>
      <c r="AX264" s="48">
        <v>49</v>
      </c>
      <c r="AY264" s="48"/>
      <c r="AZ264" s="48"/>
      <c r="BA264" s="48"/>
      <c r="BB264" s="48"/>
      <c r="BC264" s="2"/>
      <c r="BD264" s="3"/>
      <c r="BE264" s="3"/>
      <c r="BF264" s="3"/>
      <c r="BG264" s="3"/>
    </row>
    <row r="265" spans="1:59" ht="15">
      <c r="A265" s="66" t="s">
        <v>583</v>
      </c>
      <c r="B265" s="67"/>
      <c r="C265" s="67"/>
      <c r="D265" s="68">
        <v>793.3307849755331</v>
      </c>
      <c r="E265" s="70"/>
      <c r="F265" s="96" t="str">
        <f>HYPERLINK("https://i.ytimg.com/vi/2z35_1e1MtI/default.jpg")</f>
        <v>https://i.ytimg.com/vi/2z35_1e1MtI/default.jpg</v>
      </c>
      <c r="G265" s="67"/>
      <c r="H265" s="71" t="s">
        <v>925</v>
      </c>
      <c r="I265" s="72"/>
      <c r="J265" s="72" t="s">
        <v>159</v>
      </c>
      <c r="K265" s="71" t="s">
        <v>925</v>
      </c>
      <c r="L265" s="75">
        <v>1250.75</v>
      </c>
      <c r="M265" s="76">
        <v>9857.001953125</v>
      </c>
      <c r="N265" s="76">
        <v>8095.72412109375</v>
      </c>
      <c r="O265" s="77"/>
      <c r="P265" s="78"/>
      <c r="Q265" s="78"/>
      <c r="R265" s="82"/>
      <c r="S265" s="48">
        <v>1</v>
      </c>
      <c r="T265" s="48">
        <v>0</v>
      </c>
      <c r="U265" s="49">
        <v>0</v>
      </c>
      <c r="V265" s="49">
        <v>0.000926</v>
      </c>
      <c r="W265" s="49">
        <v>0.001993</v>
      </c>
      <c r="X265" s="49">
        <v>0.443738</v>
      </c>
      <c r="Y265" s="49">
        <v>0</v>
      </c>
      <c r="Z265" s="49">
        <v>0</v>
      </c>
      <c r="AA265" s="73">
        <v>265</v>
      </c>
      <c r="AB265" s="73"/>
      <c r="AC265" s="74"/>
      <c r="AD265" s="80" t="s">
        <v>925</v>
      </c>
      <c r="AE265" s="80" t="s">
        <v>1253</v>
      </c>
      <c r="AF265" s="80" t="s">
        <v>1566</v>
      </c>
      <c r="AG265" s="80" t="s">
        <v>1656</v>
      </c>
      <c r="AH265" s="80" t="s">
        <v>1978</v>
      </c>
      <c r="AI265" s="80">
        <v>8014951</v>
      </c>
      <c r="AJ265" s="80">
        <v>7653</v>
      </c>
      <c r="AK265" s="80">
        <v>89871</v>
      </c>
      <c r="AL265" s="80">
        <v>2792</v>
      </c>
      <c r="AM265" s="80" t="s">
        <v>2047</v>
      </c>
      <c r="AN265" s="98" t="str">
        <f>HYPERLINK("https://www.youtube.com/watch?v=2z35_1e1MtI")</f>
        <v>https://www.youtube.com/watch?v=2z35_1e1MtI</v>
      </c>
      <c r="AO265" s="80" t="str">
        <f>REPLACE(INDEX(GroupVertices[Group],MATCH(Vertices[[#This Row],[Vertex]],GroupVertices[Vertex],0)),1,1,"")</f>
        <v>5</v>
      </c>
      <c r="AP265" s="48">
        <v>1</v>
      </c>
      <c r="AQ265" s="49">
        <v>2.127659574468085</v>
      </c>
      <c r="AR265" s="48">
        <v>7</v>
      </c>
      <c r="AS265" s="49">
        <v>14.893617021276595</v>
      </c>
      <c r="AT265" s="48">
        <v>0</v>
      </c>
      <c r="AU265" s="49">
        <v>0</v>
      </c>
      <c r="AV265" s="48">
        <v>39</v>
      </c>
      <c r="AW265" s="49">
        <v>82.97872340425532</v>
      </c>
      <c r="AX265" s="48">
        <v>47</v>
      </c>
      <c r="AY265" s="48"/>
      <c r="AZ265" s="48"/>
      <c r="BA265" s="48"/>
      <c r="BB265" s="48"/>
      <c r="BC265" s="2"/>
      <c r="BD265" s="3"/>
      <c r="BE265" s="3"/>
      <c r="BF265" s="3"/>
      <c r="BG265" s="3"/>
    </row>
    <row r="266" spans="1:59" ht="15">
      <c r="A266" s="66" t="s">
        <v>584</v>
      </c>
      <c r="B266" s="67"/>
      <c r="C266" s="67"/>
      <c r="D266" s="68">
        <v>336.9925350157142</v>
      </c>
      <c r="E266" s="70"/>
      <c r="F266" s="96" t="str">
        <f>HYPERLINK("https://i.ytimg.com/vi/sH4bi60alZU/default.jpg")</f>
        <v>https://i.ytimg.com/vi/sH4bi60alZU/default.jpg</v>
      </c>
      <c r="G266" s="67"/>
      <c r="H266" s="71" t="s">
        <v>926</v>
      </c>
      <c r="I266" s="72"/>
      <c r="J266" s="72" t="s">
        <v>159</v>
      </c>
      <c r="K266" s="71" t="s">
        <v>926</v>
      </c>
      <c r="L266" s="75">
        <v>1250.75</v>
      </c>
      <c r="M266" s="76">
        <v>6994.98779296875</v>
      </c>
      <c r="N266" s="76">
        <v>8516.1435546875</v>
      </c>
      <c r="O266" s="77"/>
      <c r="P266" s="78"/>
      <c r="Q266" s="78"/>
      <c r="R266" s="82"/>
      <c r="S266" s="48">
        <v>1</v>
      </c>
      <c r="T266" s="48">
        <v>0</v>
      </c>
      <c r="U266" s="49">
        <v>0</v>
      </c>
      <c r="V266" s="49">
        <v>0.000926</v>
      </c>
      <c r="W266" s="49">
        <v>0.001993</v>
      </c>
      <c r="X266" s="49">
        <v>0.443738</v>
      </c>
      <c r="Y266" s="49">
        <v>0</v>
      </c>
      <c r="Z266" s="49">
        <v>0</v>
      </c>
      <c r="AA266" s="73">
        <v>266</v>
      </c>
      <c r="AB266" s="73"/>
      <c r="AC266" s="74"/>
      <c r="AD266" s="80" t="s">
        <v>926</v>
      </c>
      <c r="AE266" s="80" t="s">
        <v>1254</v>
      </c>
      <c r="AF266" s="80" t="s">
        <v>1567</v>
      </c>
      <c r="AG266" s="80" t="s">
        <v>1656</v>
      </c>
      <c r="AH266" s="80" t="s">
        <v>1979</v>
      </c>
      <c r="AI266" s="80">
        <v>2891949</v>
      </c>
      <c r="AJ266" s="80">
        <v>19338</v>
      </c>
      <c r="AK266" s="80">
        <v>61866</v>
      </c>
      <c r="AL266" s="80">
        <v>6862</v>
      </c>
      <c r="AM266" s="80" t="s">
        <v>2047</v>
      </c>
      <c r="AN266" s="98" t="str">
        <f>HYPERLINK("https://www.youtube.com/watch?v=sH4bi60alZU")</f>
        <v>https://www.youtube.com/watch?v=sH4bi60alZU</v>
      </c>
      <c r="AO266" s="80" t="str">
        <f>REPLACE(INDEX(GroupVertices[Group],MATCH(Vertices[[#This Row],[Vertex]],GroupVertices[Vertex],0)),1,1,"")</f>
        <v>5</v>
      </c>
      <c r="AP266" s="48">
        <v>0</v>
      </c>
      <c r="AQ266" s="49">
        <v>0</v>
      </c>
      <c r="AR266" s="48">
        <v>0</v>
      </c>
      <c r="AS266" s="49">
        <v>0</v>
      </c>
      <c r="AT266" s="48">
        <v>0</v>
      </c>
      <c r="AU266" s="49">
        <v>0</v>
      </c>
      <c r="AV266" s="48">
        <v>40</v>
      </c>
      <c r="AW266" s="49">
        <v>100</v>
      </c>
      <c r="AX266" s="48">
        <v>40</v>
      </c>
      <c r="AY266" s="48"/>
      <c r="AZ266" s="48"/>
      <c r="BA266" s="48"/>
      <c r="BB266" s="48"/>
      <c r="BC266" s="2"/>
      <c r="BD266" s="3"/>
      <c r="BE266" s="3"/>
      <c r="BF266" s="3"/>
      <c r="BG266" s="3"/>
    </row>
    <row r="267" spans="1:59" ht="15">
      <c r="A267" s="66" t="s">
        <v>585</v>
      </c>
      <c r="B267" s="67"/>
      <c r="C267" s="67"/>
      <c r="D267" s="68">
        <v>184.0227222115718</v>
      </c>
      <c r="E267" s="70"/>
      <c r="F267" s="96" t="str">
        <f>HYPERLINK("https://i.ytimg.com/vi/5BAKzzV8Pw4/default.jpg")</f>
        <v>https://i.ytimg.com/vi/5BAKzzV8Pw4/default.jpg</v>
      </c>
      <c r="G267" s="67"/>
      <c r="H267" s="71" t="s">
        <v>927</v>
      </c>
      <c r="I267" s="72"/>
      <c r="J267" s="72" t="s">
        <v>159</v>
      </c>
      <c r="K267" s="71" t="s">
        <v>927</v>
      </c>
      <c r="L267" s="75">
        <v>1250.75</v>
      </c>
      <c r="M267" s="76">
        <v>9633.6328125</v>
      </c>
      <c r="N267" s="76">
        <v>9032.0517578125</v>
      </c>
      <c r="O267" s="77"/>
      <c r="P267" s="78"/>
      <c r="Q267" s="78"/>
      <c r="R267" s="82"/>
      <c r="S267" s="48">
        <v>1</v>
      </c>
      <c r="T267" s="48">
        <v>0</v>
      </c>
      <c r="U267" s="49">
        <v>0</v>
      </c>
      <c r="V267" s="49">
        <v>0.000926</v>
      </c>
      <c r="W267" s="49">
        <v>0.001993</v>
      </c>
      <c r="X267" s="49">
        <v>0.443738</v>
      </c>
      <c r="Y267" s="49">
        <v>0</v>
      </c>
      <c r="Z267" s="49">
        <v>0</v>
      </c>
      <c r="AA267" s="73">
        <v>267</v>
      </c>
      <c r="AB267" s="73"/>
      <c r="AC267" s="74"/>
      <c r="AD267" s="80" t="s">
        <v>927</v>
      </c>
      <c r="AE267" s="80" t="s">
        <v>1255</v>
      </c>
      <c r="AF267" s="80" t="s">
        <v>1568</v>
      </c>
      <c r="AG267" s="80" t="s">
        <v>1656</v>
      </c>
      <c r="AH267" s="80" t="s">
        <v>1980</v>
      </c>
      <c r="AI267" s="80">
        <v>1174660</v>
      </c>
      <c r="AJ267" s="80">
        <v>2623</v>
      </c>
      <c r="AK267" s="80">
        <v>28573</v>
      </c>
      <c r="AL267" s="80">
        <v>863</v>
      </c>
      <c r="AM267" s="80" t="s">
        <v>2047</v>
      </c>
      <c r="AN267" s="98" t="str">
        <f>HYPERLINK("https://www.youtube.com/watch?v=5BAKzzV8Pw4")</f>
        <v>https://www.youtube.com/watch?v=5BAKzzV8Pw4</v>
      </c>
      <c r="AO267" s="80" t="str">
        <f>REPLACE(INDEX(GroupVertices[Group],MATCH(Vertices[[#This Row],[Vertex]],GroupVertices[Vertex],0)),1,1,"")</f>
        <v>5</v>
      </c>
      <c r="AP267" s="48">
        <v>0</v>
      </c>
      <c r="AQ267" s="49">
        <v>0</v>
      </c>
      <c r="AR267" s="48">
        <v>6</v>
      </c>
      <c r="AS267" s="49">
        <v>17.647058823529413</v>
      </c>
      <c r="AT267" s="48">
        <v>0</v>
      </c>
      <c r="AU267" s="49">
        <v>0</v>
      </c>
      <c r="AV267" s="48">
        <v>28</v>
      </c>
      <c r="AW267" s="49">
        <v>82.3529411764706</v>
      </c>
      <c r="AX267" s="48">
        <v>34</v>
      </c>
      <c r="AY267" s="48"/>
      <c r="AZ267" s="48"/>
      <c r="BA267" s="48"/>
      <c r="BB267" s="48"/>
      <c r="BC267" s="2"/>
      <c r="BD267" s="3"/>
      <c r="BE267" s="3"/>
      <c r="BF267" s="3"/>
      <c r="BG267" s="3"/>
    </row>
    <row r="268" spans="1:59" ht="15">
      <c r="A268" s="66" t="s">
        <v>586</v>
      </c>
      <c r="B268" s="67"/>
      <c r="C268" s="67"/>
      <c r="D268" s="68">
        <v>180.6510047229823</v>
      </c>
      <c r="E268" s="70"/>
      <c r="F268" s="96" t="str">
        <f>HYPERLINK("https://i.ytimg.com/vi/j6MrN9o0BfA/default.jpg")</f>
        <v>https://i.ytimg.com/vi/j6MrN9o0BfA/default.jpg</v>
      </c>
      <c r="G268" s="67"/>
      <c r="H268" s="71" t="s">
        <v>928</v>
      </c>
      <c r="I268" s="72"/>
      <c r="J268" s="72" t="s">
        <v>159</v>
      </c>
      <c r="K268" s="71" t="s">
        <v>928</v>
      </c>
      <c r="L268" s="75">
        <v>1250.75</v>
      </c>
      <c r="M268" s="76">
        <v>7369.68701171875</v>
      </c>
      <c r="N268" s="76">
        <v>8372.01171875</v>
      </c>
      <c r="O268" s="77"/>
      <c r="P268" s="78"/>
      <c r="Q268" s="78"/>
      <c r="R268" s="82"/>
      <c r="S268" s="48">
        <v>1</v>
      </c>
      <c r="T268" s="48">
        <v>0</v>
      </c>
      <c r="U268" s="49">
        <v>0</v>
      </c>
      <c r="V268" s="49">
        <v>0.000926</v>
      </c>
      <c r="W268" s="49">
        <v>0.001993</v>
      </c>
      <c r="X268" s="49">
        <v>0.443738</v>
      </c>
      <c r="Y268" s="49">
        <v>0</v>
      </c>
      <c r="Z268" s="49">
        <v>0</v>
      </c>
      <c r="AA268" s="73">
        <v>268</v>
      </c>
      <c r="AB268" s="73"/>
      <c r="AC268" s="74"/>
      <c r="AD268" s="80" t="s">
        <v>928</v>
      </c>
      <c r="AE268" s="80" t="s">
        <v>1256</v>
      </c>
      <c r="AF268" s="80" t="s">
        <v>1569</v>
      </c>
      <c r="AG268" s="80" t="s">
        <v>1656</v>
      </c>
      <c r="AH268" s="80" t="s">
        <v>1981</v>
      </c>
      <c r="AI268" s="80">
        <v>1136808</v>
      </c>
      <c r="AJ268" s="80">
        <v>2926</v>
      </c>
      <c r="AK268" s="80">
        <v>26933</v>
      </c>
      <c r="AL268" s="80">
        <v>844</v>
      </c>
      <c r="AM268" s="80" t="s">
        <v>2047</v>
      </c>
      <c r="AN268" s="98" t="str">
        <f>HYPERLINK("https://www.youtube.com/watch?v=j6MrN9o0BfA")</f>
        <v>https://www.youtube.com/watch?v=j6MrN9o0BfA</v>
      </c>
      <c r="AO268" s="80" t="str">
        <f>REPLACE(INDEX(GroupVertices[Group],MATCH(Vertices[[#This Row],[Vertex]],GroupVertices[Vertex],0)),1,1,"")</f>
        <v>5</v>
      </c>
      <c r="AP268" s="48">
        <v>0</v>
      </c>
      <c r="AQ268" s="49">
        <v>0</v>
      </c>
      <c r="AR268" s="48">
        <v>2</v>
      </c>
      <c r="AS268" s="49">
        <v>4.444444444444445</v>
      </c>
      <c r="AT268" s="48">
        <v>0</v>
      </c>
      <c r="AU268" s="49">
        <v>0</v>
      </c>
      <c r="AV268" s="48">
        <v>43</v>
      </c>
      <c r="AW268" s="49">
        <v>95.55555555555556</v>
      </c>
      <c r="AX268" s="48">
        <v>45</v>
      </c>
      <c r="AY268" s="48"/>
      <c r="AZ268" s="48"/>
      <c r="BA268" s="48"/>
      <c r="BB268" s="48"/>
      <c r="BC268" s="2"/>
      <c r="BD268" s="3"/>
      <c r="BE268" s="3"/>
      <c r="BF268" s="3"/>
      <c r="BG268" s="3"/>
    </row>
    <row r="269" spans="1:59" ht="15">
      <c r="A269" s="66" t="s">
        <v>587</v>
      </c>
      <c r="B269" s="67"/>
      <c r="C269" s="67"/>
      <c r="D269" s="68">
        <v>332.5128860539377</v>
      </c>
      <c r="E269" s="70"/>
      <c r="F269" s="96" t="str">
        <f>HYPERLINK("https://i.ytimg.com/vi/CJxTlLzBWMM/default.jpg")</f>
        <v>https://i.ytimg.com/vi/CJxTlLzBWMM/default.jpg</v>
      </c>
      <c r="G269" s="67"/>
      <c r="H269" s="71" t="s">
        <v>929</v>
      </c>
      <c r="I269" s="72"/>
      <c r="J269" s="72" t="s">
        <v>159</v>
      </c>
      <c r="K269" s="71" t="s">
        <v>929</v>
      </c>
      <c r="L269" s="75">
        <v>1250.75</v>
      </c>
      <c r="M269" s="76">
        <v>3249.377197265625</v>
      </c>
      <c r="N269" s="76">
        <v>8168.40673828125</v>
      </c>
      <c r="O269" s="77"/>
      <c r="P269" s="78"/>
      <c r="Q269" s="78"/>
      <c r="R269" s="82"/>
      <c r="S269" s="48">
        <v>1</v>
      </c>
      <c r="T269" s="48">
        <v>0</v>
      </c>
      <c r="U269" s="49">
        <v>0</v>
      </c>
      <c r="V269" s="49">
        <v>0.001015</v>
      </c>
      <c r="W269" s="49">
        <v>0.002548</v>
      </c>
      <c r="X269" s="49">
        <v>0.401103</v>
      </c>
      <c r="Y269" s="49">
        <v>0</v>
      </c>
      <c r="Z269" s="49">
        <v>0</v>
      </c>
      <c r="AA269" s="73">
        <v>269</v>
      </c>
      <c r="AB269" s="73"/>
      <c r="AC269" s="74"/>
      <c r="AD269" s="80" t="s">
        <v>929</v>
      </c>
      <c r="AE269" s="80" t="s">
        <v>1257</v>
      </c>
      <c r="AF269" s="80" t="s">
        <v>1570</v>
      </c>
      <c r="AG269" s="80" t="s">
        <v>1655</v>
      </c>
      <c r="AH269" s="80" t="s">
        <v>1982</v>
      </c>
      <c r="AI269" s="80">
        <v>2841659</v>
      </c>
      <c r="AJ269" s="80">
        <v>2629</v>
      </c>
      <c r="AK269" s="80">
        <v>30962</v>
      </c>
      <c r="AL269" s="80">
        <v>2215</v>
      </c>
      <c r="AM269" s="80" t="s">
        <v>2047</v>
      </c>
      <c r="AN269" s="98" t="str">
        <f>HYPERLINK("https://www.youtube.com/watch?v=CJxTlLzBWMM")</f>
        <v>https://www.youtube.com/watch?v=CJxTlLzBWMM</v>
      </c>
      <c r="AO269" s="80" t="str">
        <f>REPLACE(INDEX(GroupVertices[Group],MATCH(Vertices[[#This Row],[Vertex]],GroupVertices[Vertex],0)),1,1,"")</f>
        <v>1</v>
      </c>
      <c r="AP269" s="48">
        <v>0</v>
      </c>
      <c r="AQ269" s="49">
        <v>0</v>
      </c>
      <c r="AR269" s="48">
        <v>1</v>
      </c>
      <c r="AS269" s="49">
        <v>3.3333333333333335</v>
      </c>
      <c r="AT269" s="48">
        <v>0</v>
      </c>
      <c r="AU269" s="49">
        <v>0</v>
      </c>
      <c r="AV269" s="48">
        <v>29</v>
      </c>
      <c r="AW269" s="49">
        <v>96.66666666666667</v>
      </c>
      <c r="AX269" s="48">
        <v>30</v>
      </c>
      <c r="AY269" s="48"/>
      <c r="AZ269" s="48"/>
      <c r="BA269" s="48"/>
      <c r="BB269" s="48"/>
      <c r="BC269" s="2"/>
      <c r="BD269" s="3"/>
      <c r="BE269" s="3"/>
      <c r="BF269" s="3"/>
      <c r="BG269" s="3"/>
    </row>
    <row r="270" spans="1:59" ht="15">
      <c r="A270" s="66" t="s">
        <v>588</v>
      </c>
      <c r="B270" s="67"/>
      <c r="C270" s="67"/>
      <c r="D270" s="68">
        <v>1000</v>
      </c>
      <c r="E270" s="70"/>
      <c r="F270" s="96" t="str">
        <f>HYPERLINK("https://i.ytimg.com/vi/sk00epALZps/default.jpg")</f>
        <v>https://i.ytimg.com/vi/sk00epALZps/default.jpg</v>
      </c>
      <c r="G270" s="67"/>
      <c r="H270" s="71" t="s">
        <v>930</v>
      </c>
      <c r="I270" s="72"/>
      <c r="J270" s="72" t="s">
        <v>159</v>
      </c>
      <c r="K270" s="71" t="s">
        <v>930</v>
      </c>
      <c r="L270" s="75">
        <v>1250.75</v>
      </c>
      <c r="M270" s="76">
        <v>2903.293701171875</v>
      </c>
      <c r="N270" s="76">
        <v>9272.5712890625</v>
      </c>
      <c r="O270" s="77"/>
      <c r="P270" s="78"/>
      <c r="Q270" s="78"/>
      <c r="R270" s="82"/>
      <c r="S270" s="48">
        <v>1</v>
      </c>
      <c r="T270" s="48">
        <v>0</v>
      </c>
      <c r="U270" s="49">
        <v>0</v>
      </c>
      <c r="V270" s="49">
        <v>0.001015</v>
      </c>
      <c r="W270" s="49">
        <v>0.002548</v>
      </c>
      <c r="X270" s="49">
        <v>0.401103</v>
      </c>
      <c r="Y270" s="49">
        <v>0</v>
      </c>
      <c r="Z270" s="49">
        <v>0</v>
      </c>
      <c r="AA270" s="73">
        <v>270</v>
      </c>
      <c r="AB270" s="73"/>
      <c r="AC270" s="74"/>
      <c r="AD270" s="80" t="s">
        <v>930</v>
      </c>
      <c r="AE270" s="80" t="s">
        <v>1258</v>
      </c>
      <c r="AF270" s="80" t="s">
        <v>1571</v>
      </c>
      <c r="AG270" s="80" t="s">
        <v>1655</v>
      </c>
      <c r="AH270" s="80" t="s">
        <v>1983</v>
      </c>
      <c r="AI270" s="80">
        <v>13165191</v>
      </c>
      <c r="AJ270" s="80">
        <v>19227</v>
      </c>
      <c r="AK270" s="80">
        <v>413716</v>
      </c>
      <c r="AL270" s="80">
        <v>8131</v>
      </c>
      <c r="AM270" s="80" t="s">
        <v>2047</v>
      </c>
      <c r="AN270" s="98" t="str">
        <f>HYPERLINK("https://www.youtube.com/watch?v=sk00epALZps")</f>
        <v>https://www.youtube.com/watch?v=sk00epALZps</v>
      </c>
      <c r="AO270" s="80" t="str">
        <f>REPLACE(INDEX(GroupVertices[Group],MATCH(Vertices[[#This Row],[Vertex]],GroupVertices[Vertex],0)),1,1,"")</f>
        <v>1</v>
      </c>
      <c r="AP270" s="48">
        <v>1</v>
      </c>
      <c r="AQ270" s="49">
        <v>2.1739130434782608</v>
      </c>
      <c r="AR270" s="48">
        <v>1</v>
      </c>
      <c r="AS270" s="49">
        <v>2.1739130434782608</v>
      </c>
      <c r="AT270" s="48">
        <v>0</v>
      </c>
      <c r="AU270" s="49">
        <v>0</v>
      </c>
      <c r="AV270" s="48">
        <v>44</v>
      </c>
      <c r="AW270" s="49">
        <v>95.65217391304348</v>
      </c>
      <c r="AX270" s="48">
        <v>46</v>
      </c>
      <c r="AY270" s="48"/>
      <c r="AZ270" s="48"/>
      <c r="BA270" s="48"/>
      <c r="BB270" s="48"/>
      <c r="BC270" s="2"/>
      <c r="BD270" s="3"/>
      <c r="BE270" s="3"/>
      <c r="BF270" s="3"/>
      <c r="BG270" s="3"/>
    </row>
    <row r="271" spans="1:59" ht="15">
      <c r="A271" s="66" t="s">
        <v>589</v>
      </c>
      <c r="B271" s="67"/>
      <c r="C271" s="67"/>
      <c r="D271" s="68">
        <v>382.3681989732984</v>
      </c>
      <c r="E271" s="70"/>
      <c r="F271" s="96" t="str">
        <f>HYPERLINK("https://i.ytimg.com/vi/ZdT6AOQsH2M/default.jpg")</f>
        <v>https://i.ytimg.com/vi/ZdT6AOQsH2M/default.jpg</v>
      </c>
      <c r="G271" s="67"/>
      <c r="H271" s="71" t="s">
        <v>931</v>
      </c>
      <c r="I271" s="72"/>
      <c r="J271" s="72" t="s">
        <v>75</v>
      </c>
      <c r="K271" s="71" t="s">
        <v>931</v>
      </c>
      <c r="L271" s="75">
        <v>2500.5</v>
      </c>
      <c r="M271" s="76">
        <v>1523.1514892578125</v>
      </c>
      <c r="N271" s="76">
        <v>5783.892578125</v>
      </c>
      <c r="O271" s="77"/>
      <c r="P271" s="78"/>
      <c r="Q271" s="78"/>
      <c r="R271" s="82"/>
      <c r="S271" s="48">
        <v>2</v>
      </c>
      <c r="T271" s="48">
        <v>0</v>
      </c>
      <c r="U271" s="49">
        <v>0</v>
      </c>
      <c r="V271" s="49">
        <v>0.001044</v>
      </c>
      <c r="W271" s="49">
        <v>0.004877</v>
      </c>
      <c r="X271" s="49">
        <v>0.656677</v>
      </c>
      <c r="Y271" s="49">
        <v>1</v>
      </c>
      <c r="Z271" s="49">
        <v>0</v>
      </c>
      <c r="AA271" s="73">
        <v>271</v>
      </c>
      <c r="AB271" s="73"/>
      <c r="AC271" s="74"/>
      <c r="AD271" s="80" t="s">
        <v>931</v>
      </c>
      <c r="AE271" s="80" t="s">
        <v>1259</v>
      </c>
      <c r="AF271" s="80" t="s">
        <v>1572</v>
      </c>
      <c r="AG271" s="80" t="s">
        <v>1655</v>
      </c>
      <c r="AH271" s="80" t="s">
        <v>1984</v>
      </c>
      <c r="AI271" s="80">
        <v>3401351</v>
      </c>
      <c r="AJ271" s="80">
        <v>3077</v>
      </c>
      <c r="AK271" s="80">
        <v>56630</v>
      </c>
      <c r="AL271" s="80">
        <v>1840</v>
      </c>
      <c r="AM271" s="80" t="s">
        <v>2047</v>
      </c>
      <c r="AN271" s="98" t="str">
        <f>HYPERLINK("https://www.youtube.com/watch?v=ZdT6AOQsH2M")</f>
        <v>https://www.youtube.com/watch?v=ZdT6AOQsH2M</v>
      </c>
      <c r="AO271" s="80" t="str">
        <f>REPLACE(INDEX(GroupVertices[Group],MATCH(Vertices[[#This Row],[Vertex]],GroupVertices[Vertex],0)),1,1,"")</f>
        <v>1</v>
      </c>
      <c r="AP271" s="48">
        <v>0</v>
      </c>
      <c r="AQ271" s="49">
        <v>0</v>
      </c>
      <c r="AR271" s="48">
        <v>1</v>
      </c>
      <c r="AS271" s="49">
        <v>2.0833333333333335</v>
      </c>
      <c r="AT271" s="48">
        <v>0</v>
      </c>
      <c r="AU271" s="49">
        <v>0</v>
      </c>
      <c r="AV271" s="48">
        <v>47</v>
      </c>
      <c r="AW271" s="49">
        <v>97.91666666666667</v>
      </c>
      <c r="AX271" s="48">
        <v>48</v>
      </c>
      <c r="AY271" s="48"/>
      <c r="AZ271" s="48"/>
      <c r="BA271" s="48"/>
      <c r="BB271" s="48"/>
      <c r="BC271" s="2"/>
      <c r="BD271" s="3"/>
      <c r="BE271" s="3"/>
      <c r="BF271" s="3"/>
      <c r="BG271" s="3"/>
    </row>
    <row r="272" spans="1:59" ht="15">
      <c r="A272" s="66" t="s">
        <v>590</v>
      </c>
      <c r="B272" s="67"/>
      <c r="C272" s="67"/>
      <c r="D272" s="68">
        <v>234.95336466496647</v>
      </c>
      <c r="E272" s="70"/>
      <c r="F272" s="96" t="str">
        <f>HYPERLINK("https://i.ytimg.com/vi/5QY5pLQqIYM/default.jpg")</f>
        <v>https://i.ytimg.com/vi/5QY5pLQqIYM/default.jpg</v>
      </c>
      <c r="G272" s="67"/>
      <c r="H272" s="71" t="s">
        <v>932</v>
      </c>
      <c r="I272" s="72"/>
      <c r="J272" s="72" t="s">
        <v>159</v>
      </c>
      <c r="K272" s="71" t="s">
        <v>932</v>
      </c>
      <c r="L272" s="75">
        <v>1250.75</v>
      </c>
      <c r="M272" s="76">
        <v>3004.100830078125</v>
      </c>
      <c r="N272" s="76">
        <v>8144.15087890625</v>
      </c>
      <c r="O272" s="77"/>
      <c r="P272" s="78"/>
      <c r="Q272" s="78"/>
      <c r="R272" s="82"/>
      <c r="S272" s="48">
        <v>1</v>
      </c>
      <c r="T272" s="48">
        <v>0</v>
      </c>
      <c r="U272" s="49">
        <v>0</v>
      </c>
      <c r="V272" s="49">
        <v>0.001015</v>
      </c>
      <c r="W272" s="49">
        <v>0.002548</v>
      </c>
      <c r="X272" s="49">
        <v>0.401103</v>
      </c>
      <c r="Y272" s="49">
        <v>0</v>
      </c>
      <c r="Z272" s="49">
        <v>0</v>
      </c>
      <c r="AA272" s="73">
        <v>272</v>
      </c>
      <c r="AB272" s="73"/>
      <c r="AC272" s="74"/>
      <c r="AD272" s="80" t="s">
        <v>932</v>
      </c>
      <c r="AE272" s="80" t="s">
        <v>1260</v>
      </c>
      <c r="AF272" s="80" t="s">
        <v>1573</v>
      </c>
      <c r="AG272" s="80" t="s">
        <v>1655</v>
      </c>
      <c r="AH272" s="80" t="s">
        <v>1985</v>
      </c>
      <c r="AI272" s="80">
        <v>1746424</v>
      </c>
      <c r="AJ272" s="80">
        <v>0</v>
      </c>
      <c r="AK272" s="80">
        <v>28806</v>
      </c>
      <c r="AL272" s="80">
        <v>8470</v>
      </c>
      <c r="AM272" s="80" t="s">
        <v>2047</v>
      </c>
      <c r="AN272" s="98" t="str">
        <f>HYPERLINK("https://www.youtube.com/watch?v=5QY5pLQqIYM")</f>
        <v>https://www.youtube.com/watch?v=5QY5pLQqIYM</v>
      </c>
      <c r="AO272" s="80" t="str">
        <f>REPLACE(INDEX(GroupVertices[Group],MATCH(Vertices[[#This Row],[Vertex]],GroupVertices[Vertex],0)),1,1,"")</f>
        <v>1</v>
      </c>
      <c r="AP272" s="48">
        <v>0</v>
      </c>
      <c r="AQ272" s="49">
        <v>0</v>
      </c>
      <c r="AR272" s="48">
        <v>1</v>
      </c>
      <c r="AS272" s="49">
        <v>4.545454545454546</v>
      </c>
      <c r="AT272" s="48">
        <v>0</v>
      </c>
      <c r="AU272" s="49">
        <v>0</v>
      </c>
      <c r="AV272" s="48">
        <v>21</v>
      </c>
      <c r="AW272" s="49">
        <v>95.45454545454545</v>
      </c>
      <c r="AX272" s="48">
        <v>22</v>
      </c>
      <c r="AY272" s="48"/>
      <c r="AZ272" s="48"/>
      <c r="BA272" s="48"/>
      <c r="BB272" s="48"/>
      <c r="BC272" s="2"/>
      <c r="BD272" s="3"/>
      <c r="BE272" s="3"/>
      <c r="BF272" s="3"/>
      <c r="BG272" s="3"/>
    </row>
    <row r="273" spans="1:59" ht="15">
      <c r="A273" s="66" t="s">
        <v>591</v>
      </c>
      <c r="B273" s="67"/>
      <c r="C273" s="67"/>
      <c r="D273" s="68">
        <v>174.114048693773</v>
      </c>
      <c r="E273" s="70"/>
      <c r="F273" s="96" t="str">
        <f>HYPERLINK("https://i.ytimg.com/vi/pYE2FnDsevM/default.jpg")</f>
        <v>https://i.ytimg.com/vi/pYE2FnDsevM/default.jpg</v>
      </c>
      <c r="G273" s="67"/>
      <c r="H273" s="71" t="s">
        <v>933</v>
      </c>
      <c r="I273" s="72"/>
      <c r="J273" s="72" t="s">
        <v>159</v>
      </c>
      <c r="K273" s="71" t="s">
        <v>933</v>
      </c>
      <c r="L273" s="75">
        <v>1250.75</v>
      </c>
      <c r="M273" s="76">
        <v>3070.4111328125</v>
      </c>
      <c r="N273" s="76">
        <v>7426.66748046875</v>
      </c>
      <c r="O273" s="77"/>
      <c r="P273" s="78"/>
      <c r="Q273" s="78"/>
      <c r="R273" s="82"/>
      <c r="S273" s="48">
        <v>1</v>
      </c>
      <c r="T273" s="48">
        <v>0</v>
      </c>
      <c r="U273" s="49">
        <v>0</v>
      </c>
      <c r="V273" s="49">
        <v>0.001015</v>
      </c>
      <c r="W273" s="49">
        <v>0.002548</v>
      </c>
      <c r="X273" s="49">
        <v>0.401103</v>
      </c>
      <c r="Y273" s="49">
        <v>0</v>
      </c>
      <c r="Z273" s="49">
        <v>0</v>
      </c>
      <c r="AA273" s="73">
        <v>273</v>
      </c>
      <c r="AB273" s="73"/>
      <c r="AC273" s="74"/>
      <c r="AD273" s="80" t="s">
        <v>933</v>
      </c>
      <c r="AE273" s="80" t="s">
        <v>1261</v>
      </c>
      <c r="AF273" s="80" t="s">
        <v>1574</v>
      </c>
      <c r="AG273" s="80" t="s">
        <v>1655</v>
      </c>
      <c r="AH273" s="80" t="s">
        <v>1986</v>
      </c>
      <c r="AI273" s="80">
        <v>1063422</v>
      </c>
      <c r="AJ273" s="80">
        <v>2022</v>
      </c>
      <c r="AK273" s="80">
        <v>16837</v>
      </c>
      <c r="AL273" s="80">
        <v>878</v>
      </c>
      <c r="AM273" s="80" t="s">
        <v>2047</v>
      </c>
      <c r="AN273" s="98" t="str">
        <f>HYPERLINK("https://www.youtube.com/watch?v=pYE2FnDsevM")</f>
        <v>https://www.youtube.com/watch?v=pYE2FnDsevM</v>
      </c>
      <c r="AO273" s="80" t="str">
        <f>REPLACE(INDEX(GroupVertices[Group],MATCH(Vertices[[#This Row],[Vertex]],GroupVertices[Vertex],0)),1,1,"")</f>
        <v>1</v>
      </c>
      <c r="AP273" s="48">
        <v>0</v>
      </c>
      <c r="AQ273" s="49">
        <v>0</v>
      </c>
      <c r="AR273" s="48">
        <v>2</v>
      </c>
      <c r="AS273" s="49">
        <v>4.081632653061225</v>
      </c>
      <c r="AT273" s="48">
        <v>0</v>
      </c>
      <c r="AU273" s="49">
        <v>0</v>
      </c>
      <c r="AV273" s="48">
        <v>47</v>
      </c>
      <c r="AW273" s="49">
        <v>95.91836734693878</v>
      </c>
      <c r="AX273" s="48">
        <v>49</v>
      </c>
      <c r="AY273" s="48"/>
      <c r="AZ273" s="48"/>
      <c r="BA273" s="48"/>
      <c r="BB273" s="48"/>
      <c r="BC273" s="2"/>
      <c r="BD273" s="3"/>
      <c r="BE273" s="3"/>
      <c r="BF273" s="3"/>
      <c r="BG273" s="3"/>
    </row>
    <row r="274" spans="1:59" ht="15">
      <c r="A274" s="66" t="s">
        <v>592</v>
      </c>
      <c r="B274" s="67"/>
      <c r="C274" s="67"/>
      <c r="D274" s="68">
        <v>1000</v>
      </c>
      <c r="E274" s="70"/>
      <c r="F274" s="96" t="str">
        <f>HYPERLINK("https://i.ytimg.com/vi/jtAkNf_b_TM/default.jpg")</f>
        <v>https://i.ytimg.com/vi/jtAkNf_b_TM/default.jpg</v>
      </c>
      <c r="G274" s="67"/>
      <c r="H274" s="71" t="s">
        <v>934</v>
      </c>
      <c r="I274" s="72"/>
      <c r="J274" s="72" t="s">
        <v>159</v>
      </c>
      <c r="K274" s="71" t="s">
        <v>934</v>
      </c>
      <c r="L274" s="75">
        <v>1250.75</v>
      </c>
      <c r="M274" s="76">
        <v>3311.154052734375</v>
      </c>
      <c r="N274" s="76">
        <v>6988.380859375</v>
      </c>
      <c r="O274" s="77"/>
      <c r="P274" s="78"/>
      <c r="Q274" s="78"/>
      <c r="R274" s="82"/>
      <c r="S274" s="48">
        <v>1</v>
      </c>
      <c r="T274" s="48">
        <v>0</v>
      </c>
      <c r="U274" s="49">
        <v>0</v>
      </c>
      <c r="V274" s="49">
        <v>0.001015</v>
      </c>
      <c r="W274" s="49">
        <v>0.002548</v>
      </c>
      <c r="X274" s="49">
        <v>0.401103</v>
      </c>
      <c r="Y274" s="49">
        <v>0</v>
      </c>
      <c r="Z274" s="49">
        <v>0</v>
      </c>
      <c r="AA274" s="73">
        <v>274</v>
      </c>
      <c r="AB274" s="73"/>
      <c r="AC274" s="74"/>
      <c r="AD274" s="80" t="s">
        <v>934</v>
      </c>
      <c r="AE274" s="80" t="s">
        <v>1262</v>
      </c>
      <c r="AF274" s="80" t="s">
        <v>1575</v>
      </c>
      <c r="AG274" s="80" t="s">
        <v>1655</v>
      </c>
      <c r="AH274" s="80" t="s">
        <v>1987</v>
      </c>
      <c r="AI274" s="80">
        <v>18436102</v>
      </c>
      <c r="AJ274" s="80">
        <v>11664</v>
      </c>
      <c r="AK274" s="80">
        <v>185241</v>
      </c>
      <c r="AL274" s="80">
        <v>5679</v>
      </c>
      <c r="AM274" s="80" t="s">
        <v>2047</v>
      </c>
      <c r="AN274" s="98" t="str">
        <f>HYPERLINK("https://www.youtube.com/watch?v=jtAkNf_b_TM")</f>
        <v>https://www.youtube.com/watch?v=jtAkNf_b_TM</v>
      </c>
      <c r="AO274" s="80" t="str">
        <f>REPLACE(INDEX(GroupVertices[Group],MATCH(Vertices[[#This Row],[Vertex]],GroupVertices[Vertex],0)),1,1,"")</f>
        <v>1</v>
      </c>
      <c r="AP274" s="48">
        <v>2</v>
      </c>
      <c r="AQ274" s="49">
        <v>4</v>
      </c>
      <c r="AR274" s="48">
        <v>5</v>
      </c>
      <c r="AS274" s="49">
        <v>10</v>
      </c>
      <c r="AT274" s="48">
        <v>0</v>
      </c>
      <c r="AU274" s="49">
        <v>0</v>
      </c>
      <c r="AV274" s="48">
        <v>43</v>
      </c>
      <c r="AW274" s="49">
        <v>86</v>
      </c>
      <c r="AX274" s="48">
        <v>50</v>
      </c>
      <c r="AY274" s="48"/>
      <c r="AZ274" s="48"/>
      <c r="BA274" s="48"/>
      <c r="BB274" s="48"/>
      <c r="BC274" s="2"/>
      <c r="BD274" s="3"/>
      <c r="BE274" s="3"/>
      <c r="BF274" s="3"/>
      <c r="BG274" s="3"/>
    </row>
    <row r="275" spans="1:59" ht="15">
      <c r="A275" s="66" t="s">
        <v>593</v>
      </c>
      <c r="B275" s="67"/>
      <c r="C275" s="67"/>
      <c r="D275" s="68">
        <v>517.1739215469848</v>
      </c>
      <c r="E275" s="70"/>
      <c r="F275" s="96" t="str">
        <f>HYPERLINK("https://i.ytimg.com/vi/AtCLwYFRp4o/default.jpg")</f>
        <v>https://i.ytimg.com/vi/AtCLwYFRp4o/default.jpg</v>
      </c>
      <c r="G275" s="67"/>
      <c r="H275" s="71" t="s">
        <v>935</v>
      </c>
      <c r="I275" s="72"/>
      <c r="J275" s="72" t="s">
        <v>159</v>
      </c>
      <c r="K275" s="71" t="s">
        <v>935</v>
      </c>
      <c r="L275" s="75">
        <v>1250.75</v>
      </c>
      <c r="M275" s="76">
        <v>2713.053955078125</v>
      </c>
      <c r="N275" s="76">
        <v>9499.9794921875</v>
      </c>
      <c r="O275" s="77"/>
      <c r="P275" s="78"/>
      <c r="Q275" s="78"/>
      <c r="R275" s="82"/>
      <c r="S275" s="48">
        <v>1</v>
      </c>
      <c r="T275" s="48">
        <v>0</v>
      </c>
      <c r="U275" s="49">
        <v>0</v>
      </c>
      <c r="V275" s="49">
        <v>0.001015</v>
      </c>
      <c r="W275" s="49">
        <v>0.002548</v>
      </c>
      <c r="X275" s="49">
        <v>0.401103</v>
      </c>
      <c r="Y275" s="49">
        <v>0</v>
      </c>
      <c r="Z275" s="49">
        <v>0</v>
      </c>
      <c r="AA275" s="73">
        <v>275</v>
      </c>
      <c r="AB275" s="73"/>
      <c r="AC275" s="74"/>
      <c r="AD275" s="80" t="s">
        <v>935</v>
      </c>
      <c r="AE275" s="80" t="s">
        <v>1263</v>
      </c>
      <c r="AF275" s="80" t="s">
        <v>1576</v>
      </c>
      <c r="AG275" s="80" t="s">
        <v>1655</v>
      </c>
      <c r="AH275" s="80" t="s">
        <v>1988</v>
      </c>
      <c r="AI275" s="80">
        <v>4914724</v>
      </c>
      <c r="AJ275" s="80">
        <v>8214</v>
      </c>
      <c r="AK275" s="80">
        <v>54639</v>
      </c>
      <c r="AL275" s="80">
        <v>9034</v>
      </c>
      <c r="AM275" s="80" t="s">
        <v>2047</v>
      </c>
      <c r="AN275" s="98" t="str">
        <f>HYPERLINK("https://www.youtube.com/watch?v=AtCLwYFRp4o")</f>
        <v>https://www.youtube.com/watch?v=AtCLwYFRp4o</v>
      </c>
      <c r="AO275" s="80" t="str">
        <f>REPLACE(INDEX(GroupVertices[Group],MATCH(Vertices[[#This Row],[Vertex]],GroupVertices[Vertex],0)),1,1,"")</f>
        <v>1</v>
      </c>
      <c r="AP275" s="48">
        <v>0</v>
      </c>
      <c r="AQ275" s="49">
        <v>0</v>
      </c>
      <c r="AR275" s="48">
        <v>1</v>
      </c>
      <c r="AS275" s="49">
        <v>3.225806451612903</v>
      </c>
      <c r="AT275" s="48">
        <v>0</v>
      </c>
      <c r="AU275" s="49">
        <v>0</v>
      </c>
      <c r="AV275" s="48">
        <v>30</v>
      </c>
      <c r="AW275" s="49">
        <v>96.7741935483871</v>
      </c>
      <c r="AX275" s="48">
        <v>31</v>
      </c>
      <c r="AY275" s="48"/>
      <c r="AZ275" s="48"/>
      <c r="BA275" s="48"/>
      <c r="BB275" s="48"/>
      <c r="BC275" s="2"/>
      <c r="BD275" s="3"/>
      <c r="BE275" s="3"/>
      <c r="BF275" s="3"/>
      <c r="BG275" s="3"/>
    </row>
    <row r="276" spans="1:59" ht="15">
      <c r="A276" s="66" t="s">
        <v>594</v>
      </c>
      <c r="B276" s="67"/>
      <c r="C276" s="67"/>
      <c r="D276" s="68">
        <v>100.21961577115903</v>
      </c>
      <c r="E276" s="70"/>
      <c r="F276" s="96" t="str">
        <f>HYPERLINK("https://i.ytimg.com/vi/3DeZk8pzx8c/default.jpg")</f>
        <v>https://i.ytimg.com/vi/3DeZk8pzx8c/default.jpg</v>
      </c>
      <c r="G276" s="67"/>
      <c r="H276" s="71" t="s">
        <v>936</v>
      </c>
      <c r="I276" s="72"/>
      <c r="J276" s="72" t="s">
        <v>159</v>
      </c>
      <c r="K276" s="71" t="s">
        <v>936</v>
      </c>
      <c r="L276" s="75">
        <v>1250.75</v>
      </c>
      <c r="M276" s="76">
        <v>2984.251953125</v>
      </c>
      <c r="N276" s="76">
        <v>5381.1904296875</v>
      </c>
      <c r="O276" s="77"/>
      <c r="P276" s="78"/>
      <c r="Q276" s="78"/>
      <c r="R276" s="82"/>
      <c r="S276" s="48">
        <v>1</v>
      </c>
      <c r="T276" s="48">
        <v>0</v>
      </c>
      <c r="U276" s="49">
        <v>0</v>
      </c>
      <c r="V276" s="49">
        <v>0.001015</v>
      </c>
      <c r="W276" s="49">
        <v>0.002548</v>
      </c>
      <c r="X276" s="49">
        <v>0.401103</v>
      </c>
      <c r="Y276" s="49">
        <v>0</v>
      </c>
      <c r="Z276" s="49">
        <v>0</v>
      </c>
      <c r="AA276" s="73">
        <v>276</v>
      </c>
      <c r="AB276" s="73"/>
      <c r="AC276" s="74"/>
      <c r="AD276" s="80" t="s">
        <v>936</v>
      </c>
      <c r="AE276" s="80" t="s">
        <v>1264</v>
      </c>
      <c r="AF276" s="80"/>
      <c r="AG276" s="80" t="s">
        <v>1712</v>
      </c>
      <c r="AH276" s="80" t="s">
        <v>1989</v>
      </c>
      <c r="AI276" s="80">
        <v>233859</v>
      </c>
      <c r="AJ276" s="80">
        <v>2092</v>
      </c>
      <c r="AK276" s="80">
        <v>1801</v>
      </c>
      <c r="AL276" s="80">
        <v>364</v>
      </c>
      <c r="AM276" s="80" t="s">
        <v>2047</v>
      </c>
      <c r="AN276" s="98" t="str">
        <f>HYPERLINK("https://www.youtube.com/watch?v=3DeZk8pzx8c")</f>
        <v>https://www.youtube.com/watch?v=3DeZk8pzx8c</v>
      </c>
      <c r="AO276" s="80" t="str">
        <f>REPLACE(INDEX(GroupVertices[Group],MATCH(Vertices[[#This Row],[Vertex]],GroupVertices[Vertex],0)),1,1,"")</f>
        <v>1</v>
      </c>
      <c r="AP276" s="48"/>
      <c r="AQ276" s="49"/>
      <c r="AR276" s="48"/>
      <c r="AS276" s="49"/>
      <c r="AT276" s="48"/>
      <c r="AU276" s="49"/>
      <c r="AV276" s="48"/>
      <c r="AW276" s="49"/>
      <c r="AX276" s="48"/>
      <c r="AY276" s="48"/>
      <c r="AZ276" s="48"/>
      <c r="BA276" s="48"/>
      <c r="BB276" s="48"/>
      <c r="BC276" s="2"/>
      <c r="BD276" s="3"/>
      <c r="BE276" s="3"/>
      <c r="BF276" s="3"/>
      <c r="BG276" s="3"/>
    </row>
    <row r="277" spans="1:59" ht="15">
      <c r="A277" s="66" t="s">
        <v>595</v>
      </c>
      <c r="B277" s="67"/>
      <c r="C277" s="67"/>
      <c r="D277" s="68">
        <v>325.73658190859607</v>
      </c>
      <c r="E277" s="70"/>
      <c r="F277" s="96" t="str">
        <f>HYPERLINK("https://i.ytimg.com/vi/HSQvwkVLPDM/default.jpg")</f>
        <v>https://i.ytimg.com/vi/HSQvwkVLPDM/default.jpg</v>
      </c>
      <c r="G277" s="67"/>
      <c r="H277" s="71" t="s">
        <v>937</v>
      </c>
      <c r="I277" s="72"/>
      <c r="J277" s="72" t="s">
        <v>75</v>
      </c>
      <c r="K277" s="71" t="s">
        <v>937</v>
      </c>
      <c r="L277" s="75">
        <v>2500.5</v>
      </c>
      <c r="M277" s="76">
        <v>1724.1461181640625</v>
      </c>
      <c r="N277" s="76">
        <v>6238.8388671875</v>
      </c>
      <c r="O277" s="77"/>
      <c r="P277" s="78"/>
      <c r="Q277" s="78"/>
      <c r="R277" s="82"/>
      <c r="S277" s="48">
        <v>2</v>
      </c>
      <c r="T277" s="48">
        <v>0</v>
      </c>
      <c r="U277" s="49">
        <v>0</v>
      </c>
      <c r="V277" s="49">
        <v>0.001044</v>
      </c>
      <c r="W277" s="49">
        <v>0.004877</v>
      </c>
      <c r="X277" s="49">
        <v>0.656677</v>
      </c>
      <c r="Y277" s="49">
        <v>1</v>
      </c>
      <c r="Z277" s="49">
        <v>0</v>
      </c>
      <c r="AA277" s="73">
        <v>277</v>
      </c>
      <c r="AB277" s="73"/>
      <c r="AC277" s="74"/>
      <c r="AD277" s="80" t="s">
        <v>937</v>
      </c>
      <c r="AE277" s="80" t="s">
        <v>1265</v>
      </c>
      <c r="AF277" s="80" t="s">
        <v>1577</v>
      </c>
      <c r="AG277" s="80" t="s">
        <v>1655</v>
      </c>
      <c r="AH277" s="80" t="s">
        <v>1990</v>
      </c>
      <c r="AI277" s="80">
        <v>2765586</v>
      </c>
      <c r="AJ277" s="80">
        <v>7470</v>
      </c>
      <c r="AK277" s="80">
        <v>40210</v>
      </c>
      <c r="AL277" s="80">
        <v>5246</v>
      </c>
      <c r="AM277" s="80" t="s">
        <v>2047</v>
      </c>
      <c r="AN277" s="98" t="str">
        <f>HYPERLINK("https://www.youtube.com/watch?v=HSQvwkVLPDM")</f>
        <v>https://www.youtube.com/watch?v=HSQvwkVLPDM</v>
      </c>
      <c r="AO277" s="80" t="str">
        <f>REPLACE(INDEX(GroupVertices[Group],MATCH(Vertices[[#This Row],[Vertex]],GroupVertices[Vertex],0)),1,1,"")</f>
        <v>1</v>
      </c>
      <c r="AP277" s="48">
        <v>0</v>
      </c>
      <c r="AQ277" s="49">
        <v>0</v>
      </c>
      <c r="AR277" s="48">
        <v>1</v>
      </c>
      <c r="AS277" s="49">
        <v>1.4705882352941178</v>
      </c>
      <c r="AT277" s="48">
        <v>0</v>
      </c>
      <c r="AU277" s="49">
        <v>0</v>
      </c>
      <c r="AV277" s="48">
        <v>67</v>
      </c>
      <c r="AW277" s="49">
        <v>98.52941176470588</v>
      </c>
      <c r="AX277" s="48">
        <v>68</v>
      </c>
      <c r="AY277" s="48"/>
      <c r="AZ277" s="48"/>
      <c r="BA277" s="48"/>
      <c r="BB277" s="48"/>
      <c r="BC277" s="2"/>
      <c r="BD277" s="3"/>
      <c r="BE277" s="3"/>
      <c r="BF277" s="3"/>
      <c r="BG277" s="3"/>
    </row>
    <row r="278" spans="1:59" ht="15">
      <c r="A278" s="66" t="s">
        <v>596</v>
      </c>
      <c r="B278" s="67"/>
      <c r="C278" s="67"/>
      <c r="D278" s="68">
        <v>406.77395717751943</v>
      </c>
      <c r="E278" s="70"/>
      <c r="F278" s="96" t="str">
        <f>HYPERLINK("https://i.ytimg.com/vi/wsR6FUn5pgM/default.jpg")</f>
        <v>https://i.ytimg.com/vi/wsR6FUn5pgM/default.jpg</v>
      </c>
      <c r="G278" s="67"/>
      <c r="H278" s="71" t="s">
        <v>938</v>
      </c>
      <c r="I278" s="72"/>
      <c r="J278" s="72" t="s">
        <v>75</v>
      </c>
      <c r="K278" s="71" t="s">
        <v>938</v>
      </c>
      <c r="L278" s="75">
        <v>2500.5</v>
      </c>
      <c r="M278" s="76">
        <v>1434.9541015625</v>
      </c>
      <c r="N278" s="76">
        <v>6381.40771484375</v>
      </c>
      <c r="O278" s="77"/>
      <c r="P278" s="78"/>
      <c r="Q278" s="78"/>
      <c r="R278" s="82"/>
      <c r="S278" s="48">
        <v>2</v>
      </c>
      <c r="T278" s="48">
        <v>0</v>
      </c>
      <c r="U278" s="49">
        <v>0</v>
      </c>
      <c r="V278" s="49">
        <v>0.001044</v>
      </c>
      <c r="W278" s="49">
        <v>0.004877</v>
      </c>
      <c r="X278" s="49">
        <v>0.656677</v>
      </c>
      <c r="Y278" s="49">
        <v>1</v>
      </c>
      <c r="Z278" s="49">
        <v>0</v>
      </c>
      <c r="AA278" s="73">
        <v>278</v>
      </c>
      <c r="AB278" s="73"/>
      <c r="AC278" s="74"/>
      <c r="AD278" s="80" t="s">
        <v>938</v>
      </c>
      <c r="AE278" s="80" t="s">
        <v>1266</v>
      </c>
      <c r="AF278" s="80" t="s">
        <v>1578</v>
      </c>
      <c r="AG278" s="80" t="s">
        <v>1655</v>
      </c>
      <c r="AH278" s="80" t="s">
        <v>1991</v>
      </c>
      <c r="AI278" s="80">
        <v>3675338</v>
      </c>
      <c r="AJ278" s="80">
        <v>1232</v>
      </c>
      <c r="AK278" s="80">
        <v>43197</v>
      </c>
      <c r="AL278" s="80">
        <v>538</v>
      </c>
      <c r="AM278" s="80" t="s">
        <v>2047</v>
      </c>
      <c r="AN278" s="98" t="str">
        <f>HYPERLINK("https://www.youtube.com/watch?v=wsR6FUn5pgM")</f>
        <v>https://www.youtube.com/watch?v=wsR6FUn5pgM</v>
      </c>
      <c r="AO278" s="80" t="str">
        <f>REPLACE(INDEX(GroupVertices[Group],MATCH(Vertices[[#This Row],[Vertex]],GroupVertices[Vertex],0)),1,1,"")</f>
        <v>1</v>
      </c>
      <c r="AP278" s="48">
        <v>3</v>
      </c>
      <c r="AQ278" s="49">
        <v>6</v>
      </c>
      <c r="AR278" s="48">
        <v>3</v>
      </c>
      <c r="AS278" s="49">
        <v>6</v>
      </c>
      <c r="AT278" s="48">
        <v>0</v>
      </c>
      <c r="AU278" s="49">
        <v>0</v>
      </c>
      <c r="AV278" s="48">
        <v>44</v>
      </c>
      <c r="AW278" s="49">
        <v>88</v>
      </c>
      <c r="AX278" s="48">
        <v>50</v>
      </c>
      <c r="AY278" s="48"/>
      <c r="AZ278" s="48"/>
      <c r="BA278" s="48"/>
      <c r="BB278" s="48"/>
      <c r="BC278" s="2"/>
      <c r="BD278" s="3"/>
      <c r="BE278" s="3"/>
      <c r="BF278" s="3"/>
      <c r="BG278" s="3"/>
    </row>
    <row r="279" spans="1:59" ht="15">
      <c r="A279" s="66" t="s">
        <v>597</v>
      </c>
      <c r="B279" s="67"/>
      <c r="C279" s="67"/>
      <c r="D279" s="68">
        <v>97.08386149791542</v>
      </c>
      <c r="E279" s="70"/>
      <c r="F279" s="96" t="str">
        <f>HYPERLINK("https://i.ytimg.com/vi/zyxEo2kqo08/default.jpg")</f>
        <v>https://i.ytimg.com/vi/zyxEo2kqo08/default.jpg</v>
      </c>
      <c r="G279" s="67"/>
      <c r="H279" s="71" t="s">
        <v>939</v>
      </c>
      <c r="I279" s="72"/>
      <c r="J279" s="72" t="s">
        <v>159</v>
      </c>
      <c r="K279" s="71" t="s">
        <v>939</v>
      </c>
      <c r="L279" s="75">
        <v>1250.75</v>
      </c>
      <c r="M279" s="76">
        <v>2688.22021484375</v>
      </c>
      <c r="N279" s="76">
        <v>4869.93115234375</v>
      </c>
      <c r="O279" s="77"/>
      <c r="P279" s="78"/>
      <c r="Q279" s="78"/>
      <c r="R279" s="82"/>
      <c r="S279" s="48">
        <v>1</v>
      </c>
      <c r="T279" s="48">
        <v>0</v>
      </c>
      <c r="U279" s="49">
        <v>0</v>
      </c>
      <c r="V279" s="49">
        <v>0.001015</v>
      </c>
      <c r="W279" s="49">
        <v>0.002548</v>
      </c>
      <c r="X279" s="49">
        <v>0.401103</v>
      </c>
      <c r="Y279" s="49">
        <v>0</v>
      </c>
      <c r="Z279" s="49">
        <v>0</v>
      </c>
      <c r="AA279" s="73">
        <v>279</v>
      </c>
      <c r="AB279" s="73"/>
      <c r="AC279" s="74"/>
      <c r="AD279" s="80" t="s">
        <v>939</v>
      </c>
      <c r="AE279" s="80" t="s">
        <v>1267</v>
      </c>
      <c r="AF279" s="80" t="s">
        <v>1579</v>
      </c>
      <c r="AG279" s="80" t="s">
        <v>1713</v>
      </c>
      <c r="AH279" s="80" t="s">
        <v>1992</v>
      </c>
      <c r="AI279" s="80">
        <v>198656</v>
      </c>
      <c r="AJ279" s="80">
        <v>1072</v>
      </c>
      <c r="AK279" s="80">
        <v>3864</v>
      </c>
      <c r="AL279" s="80">
        <v>269</v>
      </c>
      <c r="AM279" s="80" t="s">
        <v>2047</v>
      </c>
      <c r="AN279" s="98" t="str">
        <f>HYPERLINK("https://www.youtube.com/watch?v=zyxEo2kqo08")</f>
        <v>https://www.youtube.com/watch?v=zyxEo2kqo08</v>
      </c>
      <c r="AO279" s="80" t="str">
        <f>REPLACE(INDEX(GroupVertices[Group],MATCH(Vertices[[#This Row],[Vertex]],GroupVertices[Vertex],0)),1,1,"")</f>
        <v>1</v>
      </c>
      <c r="AP279" s="48">
        <v>1</v>
      </c>
      <c r="AQ279" s="49">
        <v>1.8867924528301887</v>
      </c>
      <c r="AR279" s="48">
        <v>0</v>
      </c>
      <c r="AS279" s="49">
        <v>0</v>
      </c>
      <c r="AT279" s="48">
        <v>0</v>
      </c>
      <c r="AU279" s="49">
        <v>0</v>
      </c>
      <c r="AV279" s="48">
        <v>52</v>
      </c>
      <c r="AW279" s="49">
        <v>98.11320754716981</v>
      </c>
      <c r="AX279" s="48">
        <v>53</v>
      </c>
      <c r="AY279" s="48"/>
      <c r="AZ279" s="48"/>
      <c r="BA279" s="48"/>
      <c r="BB279" s="48"/>
      <c r="BC279" s="2"/>
      <c r="BD279" s="3"/>
      <c r="BE279" s="3"/>
      <c r="BF279" s="3"/>
      <c r="BG279" s="3"/>
    </row>
    <row r="280" spans="1:59" ht="15">
      <c r="A280" s="66" t="s">
        <v>598</v>
      </c>
      <c r="B280" s="67"/>
      <c r="C280" s="67"/>
      <c r="D280" s="68">
        <v>86.38588256253256</v>
      </c>
      <c r="E280" s="70"/>
      <c r="F280" s="96" t="str">
        <f>HYPERLINK("https://i.ytimg.com/vi/JK_nMe-kU9Q/default.jpg")</f>
        <v>https://i.ytimg.com/vi/JK_nMe-kU9Q/default.jpg</v>
      </c>
      <c r="G280" s="67"/>
      <c r="H280" s="71" t="s">
        <v>940</v>
      </c>
      <c r="I280" s="72"/>
      <c r="J280" s="72" t="s">
        <v>75</v>
      </c>
      <c r="K280" s="71" t="s">
        <v>940</v>
      </c>
      <c r="L280" s="75">
        <v>2500.5</v>
      </c>
      <c r="M280" s="76">
        <v>1544.920166015625</v>
      </c>
      <c r="N280" s="76">
        <v>7623.48193359375</v>
      </c>
      <c r="O280" s="77"/>
      <c r="P280" s="78"/>
      <c r="Q280" s="78"/>
      <c r="R280" s="82"/>
      <c r="S280" s="48">
        <v>2</v>
      </c>
      <c r="T280" s="48">
        <v>0</v>
      </c>
      <c r="U280" s="49">
        <v>0</v>
      </c>
      <c r="V280" s="49">
        <v>0.001044</v>
      </c>
      <c r="W280" s="49">
        <v>0.004877</v>
      </c>
      <c r="X280" s="49">
        <v>0.656677</v>
      </c>
      <c r="Y280" s="49">
        <v>1</v>
      </c>
      <c r="Z280" s="49">
        <v>0</v>
      </c>
      <c r="AA280" s="73">
        <v>280</v>
      </c>
      <c r="AB280" s="73"/>
      <c r="AC280" s="74"/>
      <c r="AD280" s="80" t="s">
        <v>940</v>
      </c>
      <c r="AE280" s="80" t="s">
        <v>1268</v>
      </c>
      <c r="AF280" s="80" t="s">
        <v>1580</v>
      </c>
      <c r="AG280" s="80" t="s">
        <v>1680</v>
      </c>
      <c r="AH280" s="80" t="s">
        <v>1993</v>
      </c>
      <c r="AI280" s="80">
        <v>78557</v>
      </c>
      <c r="AJ280" s="80">
        <v>575</v>
      </c>
      <c r="AK280" s="80">
        <v>897</v>
      </c>
      <c r="AL280" s="80">
        <v>114</v>
      </c>
      <c r="AM280" s="80" t="s">
        <v>2047</v>
      </c>
      <c r="AN280" s="98" t="str">
        <f>HYPERLINK("https://www.youtube.com/watch?v=JK_nMe-kU9Q")</f>
        <v>https://www.youtube.com/watch?v=JK_nMe-kU9Q</v>
      </c>
      <c r="AO280" s="80" t="str">
        <f>REPLACE(INDEX(GroupVertices[Group],MATCH(Vertices[[#This Row],[Vertex]],GroupVertices[Vertex],0)),1,1,"")</f>
        <v>1</v>
      </c>
      <c r="AP280" s="48">
        <v>1</v>
      </c>
      <c r="AQ280" s="49">
        <v>2.7027027027027026</v>
      </c>
      <c r="AR280" s="48">
        <v>1</v>
      </c>
      <c r="AS280" s="49">
        <v>2.7027027027027026</v>
      </c>
      <c r="AT280" s="48">
        <v>0</v>
      </c>
      <c r="AU280" s="49">
        <v>0</v>
      </c>
      <c r="AV280" s="48">
        <v>35</v>
      </c>
      <c r="AW280" s="49">
        <v>94.5945945945946</v>
      </c>
      <c r="AX280" s="48">
        <v>37</v>
      </c>
      <c r="AY280" s="48"/>
      <c r="AZ280" s="48"/>
      <c r="BA280" s="48"/>
      <c r="BB280" s="48"/>
      <c r="BC280" s="2"/>
      <c r="BD280" s="3"/>
      <c r="BE280" s="3"/>
      <c r="BF280" s="3"/>
      <c r="BG280" s="3"/>
    </row>
    <row r="281" spans="1:59" ht="15">
      <c r="A281" s="66" t="s">
        <v>599</v>
      </c>
      <c r="B281" s="67"/>
      <c r="C281" s="67"/>
      <c r="D281" s="68">
        <v>388.8595479182279</v>
      </c>
      <c r="E281" s="70"/>
      <c r="F281" s="96" t="str">
        <f>HYPERLINK("https://i.ytimg.com/vi/G3fBWRol7Fs/default.jpg")</f>
        <v>https://i.ytimg.com/vi/G3fBWRol7Fs/default.jpg</v>
      </c>
      <c r="G281" s="67"/>
      <c r="H281" s="71" t="s">
        <v>941</v>
      </c>
      <c r="I281" s="72"/>
      <c r="J281" s="72" t="s">
        <v>159</v>
      </c>
      <c r="K281" s="71" t="s">
        <v>941</v>
      </c>
      <c r="L281" s="75">
        <v>1250.75</v>
      </c>
      <c r="M281" s="76">
        <v>3153.6015625</v>
      </c>
      <c r="N281" s="76">
        <v>5883.37353515625</v>
      </c>
      <c r="O281" s="77"/>
      <c r="P281" s="78"/>
      <c r="Q281" s="78"/>
      <c r="R281" s="82"/>
      <c r="S281" s="48">
        <v>1</v>
      </c>
      <c r="T281" s="48">
        <v>0</v>
      </c>
      <c r="U281" s="49">
        <v>0</v>
      </c>
      <c r="V281" s="49">
        <v>0.001015</v>
      </c>
      <c r="W281" s="49">
        <v>0.002548</v>
      </c>
      <c r="X281" s="49">
        <v>0.401103</v>
      </c>
      <c r="Y281" s="49">
        <v>0</v>
      </c>
      <c r="Z281" s="49">
        <v>0</v>
      </c>
      <c r="AA281" s="73">
        <v>281</v>
      </c>
      <c r="AB281" s="73"/>
      <c r="AC281" s="74"/>
      <c r="AD281" s="80" t="s">
        <v>941</v>
      </c>
      <c r="AE281" s="80" t="s">
        <v>1269</v>
      </c>
      <c r="AF281" s="80" t="s">
        <v>1581</v>
      </c>
      <c r="AG281" s="80" t="s">
        <v>1648</v>
      </c>
      <c r="AH281" s="80" t="s">
        <v>1994</v>
      </c>
      <c r="AI281" s="80">
        <v>3474225</v>
      </c>
      <c r="AJ281" s="80">
        <v>23151</v>
      </c>
      <c r="AK281" s="80">
        <v>97093</v>
      </c>
      <c r="AL281" s="80">
        <v>2091</v>
      </c>
      <c r="AM281" s="80" t="s">
        <v>2047</v>
      </c>
      <c r="AN281" s="98" t="str">
        <f>HYPERLINK("https://www.youtube.com/watch?v=G3fBWRol7Fs")</f>
        <v>https://www.youtube.com/watch?v=G3fBWRol7Fs</v>
      </c>
      <c r="AO281" s="80" t="str">
        <f>REPLACE(INDEX(GroupVertices[Group],MATCH(Vertices[[#This Row],[Vertex]],GroupVertices[Vertex],0)),1,1,"")</f>
        <v>1</v>
      </c>
      <c r="AP281" s="48">
        <v>4</v>
      </c>
      <c r="AQ281" s="49">
        <v>6.25</v>
      </c>
      <c r="AR281" s="48">
        <v>3</v>
      </c>
      <c r="AS281" s="49">
        <v>4.6875</v>
      </c>
      <c r="AT281" s="48">
        <v>0</v>
      </c>
      <c r="AU281" s="49">
        <v>0</v>
      </c>
      <c r="AV281" s="48">
        <v>57</v>
      </c>
      <c r="AW281" s="49">
        <v>89.0625</v>
      </c>
      <c r="AX281" s="48">
        <v>64</v>
      </c>
      <c r="AY281" s="48"/>
      <c r="AZ281" s="48"/>
      <c r="BA281" s="48"/>
      <c r="BB281" s="48"/>
      <c r="BC281" s="2"/>
      <c r="BD281" s="3"/>
      <c r="BE281" s="3"/>
      <c r="BF281" s="3"/>
      <c r="BG281" s="3"/>
    </row>
    <row r="282" spans="1:59" ht="15">
      <c r="A282" s="66" t="s">
        <v>600</v>
      </c>
      <c r="B282" s="67"/>
      <c r="C282" s="67"/>
      <c r="D282" s="68">
        <v>408.5155777084531</v>
      </c>
      <c r="E282" s="70"/>
      <c r="F282" s="96" t="str">
        <f>HYPERLINK("https://i.ytimg.com/vi/EzEr23XJwFY/default.jpg")</f>
        <v>https://i.ytimg.com/vi/EzEr23XJwFY/default.jpg</v>
      </c>
      <c r="G282" s="67"/>
      <c r="H282" s="71" t="s">
        <v>942</v>
      </c>
      <c r="I282" s="72"/>
      <c r="J282" s="72" t="s">
        <v>75</v>
      </c>
      <c r="K282" s="71" t="s">
        <v>942</v>
      </c>
      <c r="L282" s="75">
        <v>2500.5</v>
      </c>
      <c r="M282" s="76">
        <v>1538.3863525390625</v>
      </c>
      <c r="N282" s="76">
        <v>6946.71240234375</v>
      </c>
      <c r="O282" s="77"/>
      <c r="P282" s="78"/>
      <c r="Q282" s="78"/>
      <c r="R282" s="82"/>
      <c r="S282" s="48">
        <v>2</v>
      </c>
      <c r="T282" s="48">
        <v>0</v>
      </c>
      <c r="U282" s="49">
        <v>0</v>
      </c>
      <c r="V282" s="49">
        <v>0.001044</v>
      </c>
      <c r="W282" s="49">
        <v>0.004877</v>
      </c>
      <c r="X282" s="49">
        <v>0.656677</v>
      </c>
      <c r="Y282" s="49">
        <v>1</v>
      </c>
      <c r="Z282" s="49">
        <v>0</v>
      </c>
      <c r="AA282" s="73">
        <v>282</v>
      </c>
      <c r="AB282" s="73"/>
      <c r="AC282" s="74"/>
      <c r="AD282" s="80" t="s">
        <v>942</v>
      </c>
      <c r="AE282" s="80" t="s">
        <v>1270</v>
      </c>
      <c r="AF282" s="80" t="s">
        <v>1582</v>
      </c>
      <c r="AG282" s="80" t="s">
        <v>1655</v>
      </c>
      <c r="AH282" s="80" t="s">
        <v>1995</v>
      </c>
      <c r="AI282" s="80">
        <v>3694890</v>
      </c>
      <c r="AJ282" s="80">
        <v>5601</v>
      </c>
      <c r="AK282" s="80">
        <v>13257</v>
      </c>
      <c r="AL282" s="80">
        <v>927</v>
      </c>
      <c r="AM282" s="80" t="s">
        <v>2047</v>
      </c>
      <c r="AN282" s="98" t="str">
        <f>HYPERLINK("https://www.youtube.com/watch?v=EzEr23XJwFY")</f>
        <v>https://www.youtube.com/watch?v=EzEr23XJwFY</v>
      </c>
      <c r="AO282" s="80" t="str">
        <f>REPLACE(INDEX(GroupVertices[Group],MATCH(Vertices[[#This Row],[Vertex]],GroupVertices[Vertex],0)),1,1,"")</f>
        <v>1</v>
      </c>
      <c r="AP282" s="48">
        <v>2</v>
      </c>
      <c r="AQ282" s="49">
        <v>3.4482758620689653</v>
      </c>
      <c r="AR282" s="48">
        <v>2</v>
      </c>
      <c r="AS282" s="49">
        <v>3.4482758620689653</v>
      </c>
      <c r="AT282" s="48">
        <v>0</v>
      </c>
      <c r="AU282" s="49">
        <v>0</v>
      </c>
      <c r="AV282" s="48">
        <v>54</v>
      </c>
      <c r="AW282" s="49">
        <v>93.10344827586206</v>
      </c>
      <c r="AX282" s="48">
        <v>58</v>
      </c>
      <c r="AY282" s="48"/>
      <c r="AZ282" s="48"/>
      <c r="BA282" s="48"/>
      <c r="BB282" s="48"/>
      <c r="BC282" s="2"/>
      <c r="BD282" s="3"/>
      <c r="BE282" s="3"/>
      <c r="BF282" s="3"/>
      <c r="BG282" s="3"/>
    </row>
    <row r="283" spans="1:59" ht="15">
      <c r="A283" s="66" t="s">
        <v>601</v>
      </c>
      <c r="B283" s="67"/>
      <c r="C283" s="67"/>
      <c r="D283" s="68">
        <v>143.77669724308737</v>
      </c>
      <c r="E283" s="70"/>
      <c r="F283" s="96" t="str">
        <f>HYPERLINK("https://i.ytimg.com/vi/2lBqbREuyD8/default.jpg")</f>
        <v>https://i.ytimg.com/vi/2lBqbREuyD8/default.jpg</v>
      </c>
      <c r="G283" s="67"/>
      <c r="H283" s="71" t="s">
        <v>943</v>
      </c>
      <c r="I283" s="72"/>
      <c r="J283" s="72" t="s">
        <v>75</v>
      </c>
      <c r="K283" s="71" t="s">
        <v>943</v>
      </c>
      <c r="L283" s="75">
        <v>2500.5</v>
      </c>
      <c r="M283" s="76">
        <v>2023.41064453125</v>
      </c>
      <c r="N283" s="76">
        <v>6135.52001953125</v>
      </c>
      <c r="O283" s="77"/>
      <c r="P283" s="78"/>
      <c r="Q283" s="78"/>
      <c r="R283" s="82"/>
      <c r="S283" s="48">
        <v>2</v>
      </c>
      <c r="T283" s="48">
        <v>0</v>
      </c>
      <c r="U283" s="49">
        <v>0</v>
      </c>
      <c r="V283" s="49">
        <v>0.001044</v>
      </c>
      <c r="W283" s="49">
        <v>0.004877</v>
      </c>
      <c r="X283" s="49">
        <v>0.656677</v>
      </c>
      <c r="Y283" s="49">
        <v>1</v>
      </c>
      <c r="Z283" s="49">
        <v>0</v>
      </c>
      <c r="AA283" s="73">
        <v>283</v>
      </c>
      <c r="AB283" s="73"/>
      <c r="AC283" s="74"/>
      <c r="AD283" s="80" t="s">
        <v>943</v>
      </c>
      <c r="AE283" s="80" t="s">
        <v>1271</v>
      </c>
      <c r="AF283" s="80" t="s">
        <v>1583</v>
      </c>
      <c r="AG283" s="80" t="s">
        <v>1655</v>
      </c>
      <c r="AH283" s="80" t="s">
        <v>1865</v>
      </c>
      <c r="AI283" s="80">
        <v>722845</v>
      </c>
      <c r="AJ283" s="80">
        <v>248</v>
      </c>
      <c r="AK283" s="80">
        <v>6956</v>
      </c>
      <c r="AL283" s="80">
        <v>89</v>
      </c>
      <c r="AM283" s="80" t="s">
        <v>2047</v>
      </c>
      <c r="AN283" s="98" t="str">
        <f>HYPERLINK("https://www.youtube.com/watch?v=2lBqbREuyD8")</f>
        <v>https://www.youtube.com/watch?v=2lBqbREuyD8</v>
      </c>
      <c r="AO283" s="80" t="str">
        <f>REPLACE(INDEX(GroupVertices[Group],MATCH(Vertices[[#This Row],[Vertex]],GroupVertices[Vertex],0)),1,1,"")</f>
        <v>1</v>
      </c>
      <c r="AP283" s="48">
        <v>2</v>
      </c>
      <c r="AQ283" s="49">
        <v>3.7735849056603774</v>
      </c>
      <c r="AR283" s="48">
        <v>3</v>
      </c>
      <c r="AS283" s="49">
        <v>5.660377358490566</v>
      </c>
      <c r="AT283" s="48">
        <v>0</v>
      </c>
      <c r="AU283" s="49">
        <v>0</v>
      </c>
      <c r="AV283" s="48">
        <v>48</v>
      </c>
      <c r="AW283" s="49">
        <v>90.56603773584905</v>
      </c>
      <c r="AX283" s="48">
        <v>53</v>
      </c>
      <c r="AY283" s="48"/>
      <c r="AZ283" s="48"/>
      <c r="BA283" s="48"/>
      <c r="BB283" s="48"/>
      <c r="BC283" s="2"/>
      <c r="BD283" s="3"/>
      <c r="BE283" s="3"/>
      <c r="BF283" s="3"/>
      <c r="BG283" s="3"/>
    </row>
    <row r="284" spans="1:59" ht="15">
      <c r="A284" s="66" t="s">
        <v>602</v>
      </c>
      <c r="B284" s="67"/>
      <c r="C284" s="67"/>
      <c r="D284" s="68">
        <v>250.9993086901712</v>
      </c>
      <c r="E284" s="70"/>
      <c r="F284" s="96" t="str">
        <f>HYPERLINK("https://i.ytimg.com/vi/-jtALmT--rQ/default.jpg")</f>
        <v>https://i.ytimg.com/vi/-jtALmT--rQ/default.jpg</v>
      </c>
      <c r="G284" s="67"/>
      <c r="H284" s="71" t="s">
        <v>944</v>
      </c>
      <c r="I284" s="72"/>
      <c r="J284" s="72" t="s">
        <v>159</v>
      </c>
      <c r="K284" s="71" t="s">
        <v>944</v>
      </c>
      <c r="L284" s="75">
        <v>1250.75</v>
      </c>
      <c r="M284" s="76">
        <v>2881.896484375</v>
      </c>
      <c r="N284" s="76">
        <v>8817.20703125</v>
      </c>
      <c r="O284" s="77"/>
      <c r="P284" s="78"/>
      <c r="Q284" s="78"/>
      <c r="R284" s="82"/>
      <c r="S284" s="48">
        <v>1</v>
      </c>
      <c r="T284" s="48">
        <v>0</v>
      </c>
      <c r="U284" s="49">
        <v>0</v>
      </c>
      <c r="V284" s="49">
        <v>0.001015</v>
      </c>
      <c r="W284" s="49">
        <v>0.002548</v>
      </c>
      <c r="X284" s="49">
        <v>0.401103</v>
      </c>
      <c r="Y284" s="49">
        <v>0</v>
      </c>
      <c r="Z284" s="49">
        <v>0</v>
      </c>
      <c r="AA284" s="73">
        <v>284</v>
      </c>
      <c r="AB284" s="73"/>
      <c r="AC284" s="74"/>
      <c r="AD284" s="80" t="s">
        <v>944</v>
      </c>
      <c r="AE284" s="80" t="s">
        <v>1272</v>
      </c>
      <c r="AF284" s="80" t="s">
        <v>1584</v>
      </c>
      <c r="AG284" s="80" t="s">
        <v>1655</v>
      </c>
      <c r="AH284" s="80" t="s">
        <v>1996</v>
      </c>
      <c r="AI284" s="80">
        <v>1926561</v>
      </c>
      <c r="AJ284" s="80">
        <v>811</v>
      </c>
      <c r="AK284" s="80">
        <v>22661</v>
      </c>
      <c r="AL284" s="80">
        <v>305</v>
      </c>
      <c r="AM284" s="80" t="s">
        <v>2047</v>
      </c>
      <c r="AN284" s="98" t="str">
        <f>HYPERLINK("https://www.youtube.com/watch?v=-jtALmT--rQ")</f>
        <v>https://www.youtube.com/watch?v=-jtALmT--rQ</v>
      </c>
      <c r="AO284" s="80" t="str">
        <f>REPLACE(INDEX(GroupVertices[Group],MATCH(Vertices[[#This Row],[Vertex]],GroupVertices[Vertex],0)),1,1,"")</f>
        <v>1</v>
      </c>
      <c r="AP284" s="48">
        <v>0</v>
      </c>
      <c r="AQ284" s="49">
        <v>0</v>
      </c>
      <c r="AR284" s="48">
        <v>2</v>
      </c>
      <c r="AS284" s="49">
        <v>10</v>
      </c>
      <c r="AT284" s="48">
        <v>0</v>
      </c>
      <c r="AU284" s="49">
        <v>0</v>
      </c>
      <c r="AV284" s="48">
        <v>18</v>
      </c>
      <c r="AW284" s="49">
        <v>90</v>
      </c>
      <c r="AX284" s="48">
        <v>20</v>
      </c>
      <c r="AY284" s="48"/>
      <c r="AZ284" s="48"/>
      <c r="BA284" s="48"/>
      <c r="BB284" s="48"/>
      <c r="BC284" s="2"/>
      <c r="BD284" s="3"/>
      <c r="BE284" s="3"/>
      <c r="BF284" s="3"/>
      <c r="BG284" s="3"/>
    </row>
    <row r="285" spans="1:59" ht="15">
      <c r="A285" s="66" t="s">
        <v>603</v>
      </c>
      <c r="B285" s="67"/>
      <c r="C285" s="67"/>
      <c r="D285" s="68">
        <v>991.6782214166623</v>
      </c>
      <c r="E285" s="70"/>
      <c r="F285" s="96" t="str">
        <f>HYPERLINK("https://i.ytimg.com/vi/QNDLZoi3lo0/default.jpg")</f>
        <v>https://i.ytimg.com/vi/QNDLZoi3lo0/default.jpg</v>
      </c>
      <c r="G285" s="67"/>
      <c r="H285" s="71" t="s">
        <v>945</v>
      </c>
      <c r="I285" s="72"/>
      <c r="J285" s="72" t="s">
        <v>75</v>
      </c>
      <c r="K285" s="71" t="s">
        <v>945</v>
      </c>
      <c r="L285" s="75">
        <v>2500.5</v>
      </c>
      <c r="M285" s="76">
        <v>1660.628662109375</v>
      </c>
      <c r="N285" s="76">
        <v>9168.287109375</v>
      </c>
      <c r="O285" s="77"/>
      <c r="P285" s="78"/>
      <c r="Q285" s="78"/>
      <c r="R285" s="82"/>
      <c r="S285" s="48">
        <v>2</v>
      </c>
      <c r="T285" s="48">
        <v>0</v>
      </c>
      <c r="U285" s="49">
        <v>0</v>
      </c>
      <c r="V285" s="49">
        <v>0.001044</v>
      </c>
      <c r="W285" s="49">
        <v>0.004877</v>
      </c>
      <c r="X285" s="49">
        <v>0.656677</v>
      </c>
      <c r="Y285" s="49">
        <v>1</v>
      </c>
      <c r="Z285" s="49">
        <v>0</v>
      </c>
      <c r="AA285" s="73">
        <v>285</v>
      </c>
      <c r="AB285" s="73"/>
      <c r="AC285" s="74"/>
      <c r="AD285" s="80" t="s">
        <v>945</v>
      </c>
      <c r="AE285" s="80" t="s">
        <v>1273</v>
      </c>
      <c r="AF285" s="80" t="s">
        <v>1585</v>
      </c>
      <c r="AG285" s="80" t="s">
        <v>1655</v>
      </c>
      <c r="AH285" s="80" t="s">
        <v>1997</v>
      </c>
      <c r="AI285" s="80">
        <v>10241664</v>
      </c>
      <c r="AJ285" s="80">
        <v>3836</v>
      </c>
      <c r="AK285" s="80">
        <v>94414</v>
      </c>
      <c r="AL285" s="80">
        <v>5087</v>
      </c>
      <c r="AM285" s="80" t="s">
        <v>2047</v>
      </c>
      <c r="AN285" s="98" t="str">
        <f>HYPERLINK("https://www.youtube.com/watch?v=QNDLZoi3lo0")</f>
        <v>https://www.youtube.com/watch?v=QNDLZoi3lo0</v>
      </c>
      <c r="AO285" s="80" t="str">
        <f>REPLACE(INDEX(GroupVertices[Group],MATCH(Vertices[[#This Row],[Vertex]],GroupVertices[Vertex],0)),1,1,"")</f>
        <v>1</v>
      </c>
      <c r="AP285" s="48">
        <v>1</v>
      </c>
      <c r="AQ285" s="49">
        <v>2</v>
      </c>
      <c r="AR285" s="48">
        <v>3</v>
      </c>
      <c r="AS285" s="49">
        <v>6</v>
      </c>
      <c r="AT285" s="48">
        <v>0</v>
      </c>
      <c r="AU285" s="49">
        <v>0</v>
      </c>
      <c r="AV285" s="48">
        <v>46</v>
      </c>
      <c r="AW285" s="49">
        <v>92</v>
      </c>
      <c r="AX285" s="48">
        <v>50</v>
      </c>
      <c r="AY285" s="48"/>
      <c r="AZ285" s="48"/>
      <c r="BA285" s="48"/>
      <c r="BB285" s="48"/>
      <c r="BC285" s="2"/>
      <c r="BD285" s="3"/>
      <c r="BE285" s="3"/>
      <c r="BF285" s="3"/>
      <c r="BG285" s="3"/>
    </row>
    <row r="286" spans="1:59" ht="15">
      <c r="A286" s="66" t="s">
        <v>604</v>
      </c>
      <c r="B286" s="67"/>
      <c r="C286" s="67"/>
      <c r="D286" s="68">
        <v>1000</v>
      </c>
      <c r="E286" s="70"/>
      <c r="F286" s="96" t="str">
        <f>HYPERLINK("https://i.ytimg.com/vi/XYviM5xevC8/default.jpg")</f>
        <v>https://i.ytimg.com/vi/XYviM5xevC8/default.jpg</v>
      </c>
      <c r="G286" s="67"/>
      <c r="H286" s="71" t="s">
        <v>946</v>
      </c>
      <c r="I286" s="72"/>
      <c r="J286" s="72" t="s">
        <v>159</v>
      </c>
      <c r="K286" s="71" t="s">
        <v>946</v>
      </c>
      <c r="L286" s="75">
        <v>1250.75</v>
      </c>
      <c r="M286" s="76">
        <v>2497.466552734375</v>
      </c>
      <c r="N286" s="76">
        <v>4667.1630859375</v>
      </c>
      <c r="O286" s="77"/>
      <c r="P286" s="78"/>
      <c r="Q286" s="78"/>
      <c r="R286" s="82"/>
      <c r="S286" s="48">
        <v>1</v>
      </c>
      <c r="T286" s="48">
        <v>0</v>
      </c>
      <c r="U286" s="49">
        <v>0</v>
      </c>
      <c r="V286" s="49">
        <v>0.001015</v>
      </c>
      <c r="W286" s="49">
        <v>0.002548</v>
      </c>
      <c r="X286" s="49">
        <v>0.401103</v>
      </c>
      <c r="Y286" s="49">
        <v>0</v>
      </c>
      <c r="Z286" s="49">
        <v>0</v>
      </c>
      <c r="AA286" s="73">
        <v>286</v>
      </c>
      <c r="AB286" s="73"/>
      <c r="AC286" s="74"/>
      <c r="AD286" s="80" t="s">
        <v>946</v>
      </c>
      <c r="AE286" s="80" t="s">
        <v>1274</v>
      </c>
      <c r="AF286" s="80" t="s">
        <v>1586</v>
      </c>
      <c r="AG286" s="80" t="s">
        <v>1655</v>
      </c>
      <c r="AH286" s="80" t="s">
        <v>1998</v>
      </c>
      <c r="AI286" s="80">
        <v>32692576</v>
      </c>
      <c r="AJ286" s="80">
        <v>0</v>
      </c>
      <c r="AK286" s="80">
        <v>654802</v>
      </c>
      <c r="AL286" s="80">
        <v>45043</v>
      </c>
      <c r="AM286" s="80" t="s">
        <v>2047</v>
      </c>
      <c r="AN286" s="98" t="str">
        <f>HYPERLINK("https://www.youtube.com/watch?v=XYviM5xevC8")</f>
        <v>https://www.youtube.com/watch?v=XYviM5xevC8</v>
      </c>
      <c r="AO286" s="80" t="str">
        <f>REPLACE(INDEX(GroupVertices[Group],MATCH(Vertices[[#This Row],[Vertex]],GroupVertices[Vertex],0)),1,1,"")</f>
        <v>1</v>
      </c>
      <c r="AP286" s="48">
        <v>0</v>
      </c>
      <c r="AQ286" s="49">
        <v>0</v>
      </c>
      <c r="AR286" s="48">
        <v>1</v>
      </c>
      <c r="AS286" s="49">
        <v>3.0303030303030303</v>
      </c>
      <c r="AT286" s="48">
        <v>0</v>
      </c>
      <c r="AU286" s="49">
        <v>0</v>
      </c>
      <c r="AV286" s="48">
        <v>32</v>
      </c>
      <c r="AW286" s="49">
        <v>96.96969696969697</v>
      </c>
      <c r="AX286" s="48">
        <v>33</v>
      </c>
      <c r="AY286" s="48"/>
      <c r="AZ286" s="48"/>
      <c r="BA286" s="48"/>
      <c r="BB286" s="48"/>
      <c r="BC286" s="2"/>
      <c r="BD286" s="3"/>
      <c r="BE286" s="3"/>
      <c r="BF286" s="3"/>
      <c r="BG286" s="3"/>
    </row>
    <row r="287" spans="1:59" ht="15">
      <c r="A287" s="66" t="s">
        <v>605</v>
      </c>
      <c r="B287" s="67"/>
      <c r="C287" s="67"/>
      <c r="D287" s="68">
        <v>1000</v>
      </c>
      <c r="E287" s="70"/>
      <c r="F287" s="96" t="str">
        <f>HYPERLINK("https://i.ytimg.com/vi/I2lQ_gFO3I0/default.jpg")</f>
        <v>https://i.ytimg.com/vi/I2lQ_gFO3I0/default.jpg</v>
      </c>
      <c r="G287" s="67"/>
      <c r="H287" s="71" t="s">
        <v>947</v>
      </c>
      <c r="I287" s="72"/>
      <c r="J287" s="72" t="s">
        <v>159</v>
      </c>
      <c r="K287" s="71" t="s">
        <v>947</v>
      </c>
      <c r="L287" s="75">
        <v>1250.75</v>
      </c>
      <c r="M287" s="76">
        <v>2916.155029296875</v>
      </c>
      <c r="N287" s="76">
        <v>5961.3720703125</v>
      </c>
      <c r="O287" s="77"/>
      <c r="P287" s="78"/>
      <c r="Q287" s="78"/>
      <c r="R287" s="82"/>
      <c r="S287" s="48">
        <v>1</v>
      </c>
      <c r="T287" s="48">
        <v>0</v>
      </c>
      <c r="U287" s="49">
        <v>0</v>
      </c>
      <c r="V287" s="49">
        <v>0.001015</v>
      </c>
      <c r="W287" s="49">
        <v>0.002548</v>
      </c>
      <c r="X287" s="49">
        <v>0.401103</v>
      </c>
      <c r="Y287" s="49">
        <v>0</v>
      </c>
      <c r="Z287" s="49">
        <v>0</v>
      </c>
      <c r="AA287" s="73">
        <v>287</v>
      </c>
      <c r="AB287" s="73"/>
      <c r="AC287" s="74"/>
      <c r="AD287" s="80" t="s">
        <v>947</v>
      </c>
      <c r="AE287" s="80" t="s">
        <v>1275</v>
      </c>
      <c r="AF287" s="80" t="s">
        <v>1587</v>
      </c>
      <c r="AG287" s="80" t="s">
        <v>1655</v>
      </c>
      <c r="AH287" s="80" t="s">
        <v>1999</v>
      </c>
      <c r="AI287" s="80">
        <v>11707281</v>
      </c>
      <c r="AJ287" s="80">
        <v>8141</v>
      </c>
      <c r="AK287" s="80">
        <v>155871</v>
      </c>
      <c r="AL287" s="80">
        <v>5803</v>
      </c>
      <c r="AM287" s="80" t="s">
        <v>2047</v>
      </c>
      <c r="AN287" s="98" t="str">
        <f>HYPERLINK("https://www.youtube.com/watch?v=I2lQ_gFO3I0")</f>
        <v>https://www.youtube.com/watch?v=I2lQ_gFO3I0</v>
      </c>
      <c r="AO287" s="80" t="str">
        <f>REPLACE(INDEX(GroupVertices[Group],MATCH(Vertices[[#This Row],[Vertex]],GroupVertices[Vertex],0)),1,1,"")</f>
        <v>1</v>
      </c>
      <c r="AP287" s="48">
        <v>0</v>
      </c>
      <c r="AQ287" s="49">
        <v>0</v>
      </c>
      <c r="AR287" s="48">
        <v>1</v>
      </c>
      <c r="AS287" s="49">
        <v>4</v>
      </c>
      <c r="AT287" s="48">
        <v>0</v>
      </c>
      <c r="AU287" s="49">
        <v>0</v>
      </c>
      <c r="AV287" s="48">
        <v>24</v>
      </c>
      <c r="AW287" s="49">
        <v>96</v>
      </c>
      <c r="AX287" s="48">
        <v>25</v>
      </c>
      <c r="AY287" s="48"/>
      <c r="AZ287" s="48"/>
      <c r="BA287" s="48"/>
      <c r="BB287" s="48"/>
      <c r="BC287" s="2"/>
      <c r="BD287" s="3"/>
      <c r="BE287" s="3"/>
      <c r="BF287" s="3"/>
      <c r="BG287" s="3"/>
    </row>
    <row r="288" spans="1:59" ht="15">
      <c r="A288" s="66" t="s">
        <v>606</v>
      </c>
      <c r="B288" s="67"/>
      <c r="C288" s="67"/>
      <c r="D288" s="68">
        <v>389.9469027576872</v>
      </c>
      <c r="E288" s="70"/>
      <c r="F288" s="96" t="str">
        <f>HYPERLINK("https://i.ytimg.com/vi/LyDKS5ubiDI/default.jpg")</f>
        <v>https://i.ytimg.com/vi/LyDKS5ubiDI/default.jpg</v>
      </c>
      <c r="G288" s="67"/>
      <c r="H288" s="71" t="s">
        <v>948</v>
      </c>
      <c r="I288" s="72"/>
      <c r="J288" s="72" t="s">
        <v>159</v>
      </c>
      <c r="K288" s="71" t="s">
        <v>948</v>
      </c>
      <c r="L288" s="75">
        <v>1250.75</v>
      </c>
      <c r="M288" s="76">
        <v>2776.055419921875</v>
      </c>
      <c r="N288" s="76">
        <v>5248.6201171875</v>
      </c>
      <c r="O288" s="77"/>
      <c r="P288" s="78"/>
      <c r="Q288" s="78"/>
      <c r="R288" s="82"/>
      <c r="S288" s="48">
        <v>1</v>
      </c>
      <c r="T288" s="48">
        <v>0</v>
      </c>
      <c r="U288" s="49">
        <v>0</v>
      </c>
      <c r="V288" s="49">
        <v>0.001015</v>
      </c>
      <c r="W288" s="49">
        <v>0.002548</v>
      </c>
      <c r="X288" s="49">
        <v>0.401103</v>
      </c>
      <c r="Y288" s="49">
        <v>0</v>
      </c>
      <c r="Z288" s="49">
        <v>0</v>
      </c>
      <c r="AA288" s="73">
        <v>288</v>
      </c>
      <c r="AB288" s="73"/>
      <c r="AC288" s="74"/>
      <c r="AD288" s="80" t="s">
        <v>948</v>
      </c>
      <c r="AE288" s="80" t="s">
        <v>1276</v>
      </c>
      <c r="AF288" s="80" t="s">
        <v>1588</v>
      </c>
      <c r="AG288" s="80" t="s">
        <v>1655</v>
      </c>
      <c r="AH288" s="80" t="s">
        <v>2000</v>
      </c>
      <c r="AI288" s="80">
        <v>3486432</v>
      </c>
      <c r="AJ288" s="80">
        <v>598</v>
      </c>
      <c r="AK288" s="80">
        <v>39305</v>
      </c>
      <c r="AL288" s="80">
        <v>526</v>
      </c>
      <c r="AM288" s="80" t="s">
        <v>2047</v>
      </c>
      <c r="AN288" s="98" t="str">
        <f>HYPERLINK("https://www.youtube.com/watch?v=LyDKS5ubiDI")</f>
        <v>https://www.youtube.com/watch?v=LyDKS5ubiDI</v>
      </c>
      <c r="AO288" s="80" t="str">
        <f>REPLACE(INDEX(GroupVertices[Group],MATCH(Vertices[[#This Row],[Vertex]],GroupVertices[Vertex],0)),1,1,"")</f>
        <v>1</v>
      </c>
      <c r="AP288" s="48">
        <v>2</v>
      </c>
      <c r="AQ288" s="49">
        <v>4.166666666666667</v>
      </c>
      <c r="AR288" s="48">
        <v>3</v>
      </c>
      <c r="AS288" s="49">
        <v>6.25</v>
      </c>
      <c r="AT288" s="48">
        <v>0</v>
      </c>
      <c r="AU288" s="49">
        <v>0</v>
      </c>
      <c r="AV288" s="48">
        <v>43</v>
      </c>
      <c r="AW288" s="49">
        <v>89.58333333333333</v>
      </c>
      <c r="AX288" s="48">
        <v>48</v>
      </c>
      <c r="AY288" s="48"/>
      <c r="AZ288" s="48"/>
      <c r="BA288" s="48"/>
      <c r="BB288" s="48"/>
      <c r="BC288" s="2"/>
      <c r="BD288" s="3"/>
      <c r="BE288" s="3"/>
      <c r="BF288" s="3"/>
      <c r="BG288" s="3"/>
    </row>
    <row r="289" spans="1:59" ht="15">
      <c r="A289" s="66" t="s">
        <v>607</v>
      </c>
      <c r="B289" s="67"/>
      <c r="C289" s="67"/>
      <c r="D289" s="68">
        <v>534.0632403260195</v>
      </c>
      <c r="E289" s="70"/>
      <c r="F289" s="96" t="str">
        <f>HYPERLINK("https://i.ytimg.com/vi/AdJFE1sp4Fw/default.jpg")</f>
        <v>https://i.ytimg.com/vi/AdJFE1sp4Fw/default.jpg</v>
      </c>
      <c r="G289" s="67"/>
      <c r="H289" s="71" t="s">
        <v>949</v>
      </c>
      <c r="I289" s="72"/>
      <c r="J289" s="72" t="s">
        <v>159</v>
      </c>
      <c r="K289" s="71" t="s">
        <v>949</v>
      </c>
      <c r="L289" s="75">
        <v>1250.75</v>
      </c>
      <c r="M289" s="76">
        <v>3253.644287109375</v>
      </c>
      <c r="N289" s="76">
        <v>6399.921875</v>
      </c>
      <c r="O289" s="77"/>
      <c r="P289" s="78"/>
      <c r="Q289" s="78"/>
      <c r="R289" s="82"/>
      <c r="S289" s="48">
        <v>1</v>
      </c>
      <c r="T289" s="48">
        <v>0</v>
      </c>
      <c r="U289" s="49">
        <v>0</v>
      </c>
      <c r="V289" s="49">
        <v>0.001015</v>
      </c>
      <c r="W289" s="49">
        <v>0.002548</v>
      </c>
      <c r="X289" s="49">
        <v>0.401103</v>
      </c>
      <c r="Y289" s="49">
        <v>0</v>
      </c>
      <c r="Z289" s="49">
        <v>0</v>
      </c>
      <c r="AA289" s="73">
        <v>289</v>
      </c>
      <c r="AB289" s="73"/>
      <c r="AC289" s="74"/>
      <c r="AD289" s="80" t="s">
        <v>949</v>
      </c>
      <c r="AE289" s="80" t="s">
        <v>1277</v>
      </c>
      <c r="AF289" s="80" t="s">
        <v>1589</v>
      </c>
      <c r="AG289" s="80" t="s">
        <v>1655</v>
      </c>
      <c r="AH289" s="80" t="s">
        <v>2001</v>
      </c>
      <c r="AI289" s="80">
        <v>5104329</v>
      </c>
      <c r="AJ289" s="80">
        <v>3028</v>
      </c>
      <c r="AK289" s="80">
        <v>18258</v>
      </c>
      <c r="AL289" s="80">
        <v>983</v>
      </c>
      <c r="AM289" s="80" t="s">
        <v>2047</v>
      </c>
      <c r="AN289" s="98" t="str">
        <f>HYPERLINK("https://www.youtube.com/watch?v=AdJFE1sp4Fw")</f>
        <v>https://www.youtube.com/watch?v=AdJFE1sp4Fw</v>
      </c>
      <c r="AO289" s="80" t="str">
        <f>REPLACE(INDEX(GroupVertices[Group],MATCH(Vertices[[#This Row],[Vertex]],GroupVertices[Vertex],0)),1,1,"")</f>
        <v>1</v>
      </c>
      <c r="AP289" s="48">
        <v>3</v>
      </c>
      <c r="AQ289" s="49">
        <v>6.666666666666667</v>
      </c>
      <c r="AR289" s="48">
        <v>3</v>
      </c>
      <c r="AS289" s="49">
        <v>6.666666666666667</v>
      </c>
      <c r="AT289" s="48">
        <v>0</v>
      </c>
      <c r="AU289" s="49">
        <v>0</v>
      </c>
      <c r="AV289" s="48">
        <v>39</v>
      </c>
      <c r="AW289" s="49">
        <v>86.66666666666667</v>
      </c>
      <c r="AX289" s="48">
        <v>45</v>
      </c>
      <c r="AY289" s="48"/>
      <c r="AZ289" s="48"/>
      <c r="BA289" s="48"/>
      <c r="BB289" s="48"/>
      <c r="BC289" s="2"/>
      <c r="BD289" s="3"/>
      <c r="BE289" s="3"/>
      <c r="BF289" s="3"/>
      <c r="BG289" s="3"/>
    </row>
    <row r="290" spans="1:59" ht="15">
      <c r="A290" s="66" t="s">
        <v>608</v>
      </c>
      <c r="B290" s="67"/>
      <c r="C290" s="67"/>
      <c r="D290" s="68">
        <v>841.0840745065461</v>
      </c>
      <c r="E290" s="70"/>
      <c r="F290" s="96" t="str">
        <f>HYPERLINK("https://i.ytimg.com/vi/8yqLqAlcrrE/default.jpg")</f>
        <v>https://i.ytimg.com/vi/8yqLqAlcrrE/default.jpg</v>
      </c>
      <c r="G290" s="67"/>
      <c r="H290" s="71" t="s">
        <v>950</v>
      </c>
      <c r="I290" s="72"/>
      <c r="J290" s="72" t="s">
        <v>159</v>
      </c>
      <c r="K290" s="71" t="s">
        <v>950</v>
      </c>
      <c r="L290" s="75">
        <v>1250.75</v>
      </c>
      <c r="M290" s="76">
        <v>3120.80029296875</v>
      </c>
      <c r="N290" s="76">
        <v>8732.890625</v>
      </c>
      <c r="O290" s="77"/>
      <c r="P290" s="78"/>
      <c r="Q290" s="78"/>
      <c r="R290" s="82"/>
      <c r="S290" s="48">
        <v>1</v>
      </c>
      <c r="T290" s="48">
        <v>0</v>
      </c>
      <c r="U290" s="49">
        <v>0</v>
      </c>
      <c r="V290" s="49">
        <v>0.001015</v>
      </c>
      <c r="W290" s="49">
        <v>0.002548</v>
      </c>
      <c r="X290" s="49">
        <v>0.401103</v>
      </c>
      <c r="Y290" s="49">
        <v>0</v>
      </c>
      <c r="Z290" s="49">
        <v>0</v>
      </c>
      <c r="AA290" s="73">
        <v>290</v>
      </c>
      <c r="AB290" s="73"/>
      <c r="AC290" s="74"/>
      <c r="AD290" s="80" t="s">
        <v>950</v>
      </c>
      <c r="AE290" s="80" t="s">
        <v>1278</v>
      </c>
      <c r="AF290" s="80" t="s">
        <v>1590</v>
      </c>
      <c r="AG290" s="80" t="s">
        <v>1655</v>
      </c>
      <c r="AH290" s="80" t="s">
        <v>2002</v>
      </c>
      <c r="AI290" s="80">
        <v>8551045</v>
      </c>
      <c r="AJ290" s="80">
        <v>2992</v>
      </c>
      <c r="AK290" s="80">
        <v>68219</v>
      </c>
      <c r="AL290" s="80">
        <v>1427</v>
      </c>
      <c r="AM290" s="80" t="s">
        <v>2047</v>
      </c>
      <c r="AN290" s="98" t="str">
        <f>HYPERLINK("https://www.youtube.com/watch?v=8yqLqAlcrrE")</f>
        <v>https://www.youtube.com/watch?v=8yqLqAlcrrE</v>
      </c>
      <c r="AO290" s="80" t="str">
        <f>REPLACE(INDEX(GroupVertices[Group],MATCH(Vertices[[#This Row],[Vertex]],GroupVertices[Vertex],0)),1,1,"")</f>
        <v>1</v>
      </c>
      <c r="AP290" s="48">
        <v>0</v>
      </c>
      <c r="AQ290" s="49">
        <v>0</v>
      </c>
      <c r="AR290" s="48">
        <v>2</v>
      </c>
      <c r="AS290" s="49">
        <v>3.8461538461538463</v>
      </c>
      <c r="AT290" s="48">
        <v>0</v>
      </c>
      <c r="AU290" s="49">
        <v>0</v>
      </c>
      <c r="AV290" s="48">
        <v>50</v>
      </c>
      <c r="AW290" s="49">
        <v>96.15384615384616</v>
      </c>
      <c r="AX290" s="48">
        <v>52</v>
      </c>
      <c r="AY290" s="48"/>
      <c r="AZ290" s="48"/>
      <c r="BA290" s="48"/>
      <c r="BB290" s="48"/>
      <c r="BC290" s="2"/>
      <c r="BD290" s="3"/>
      <c r="BE290" s="3"/>
      <c r="BF290" s="3"/>
      <c r="BG290" s="3"/>
    </row>
    <row r="291" spans="1:59" ht="15">
      <c r="A291" s="66" t="s">
        <v>609</v>
      </c>
      <c r="B291" s="67"/>
      <c r="C291" s="67"/>
      <c r="D291" s="68">
        <v>1000</v>
      </c>
      <c r="E291" s="70"/>
      <c r="F291" s="96" t="str">
        <f>HYPERLINK("https://i.ytimg.com/vi/Y6iila6HedI/default.jpg")</f>
        <v>https://i.ytimg.com/vi/Y6iila6HedI/default.jpg</v>
      </c>
      <c r="G291" s="67"/>
      <c r="H291" s="71" t="s">
        <v>951</v>
      </c>
      <c r="I291" s="72"/>
      <c r="J291" s="72" t="s">
        <v>75</v>
      </c>
      <c r="K291" s="71" t="s">
        <v>951</v>
      </c>
      <c r="L291" s="75">
        <v>2500.5</v>
      </c>
      <c r="M291" s="76">
        <v>1853.8154296875</v>
      </c>
      <c r="N291" s="76">
        <v>9200.267578125</v>
      </c>
      <c r="O291" s="77"/>
      <c r="P291" s="78"/>
      <c r="Q291" s="78"/>
      <c r="R291" s="82"/>
      <c r="S291" s="48">
        <v>2</v>
      </c>
      <c r="T291" s="48">
        <v>0</v>
      </c>
      <c r="U291" s="49">
        <v>0</v>
      </c>
      <c r="V291" s="49">
        <v>0.001044</v>
      </c>
      <c r="W291" s="49">
        <v>0.004877</v>
      </c>
      <c r="X291" s="49">
        <v>0.656677</v>
      </c>
      <c r="Y291" s="49">
        <v>1</v>
      </c>
      <c r="Z291" s="49">
        <v>0</v>
      </c>
      <c r="AA291" s="73">
        <v>291</v>
      </c>
      <c r="AB291" s="73"/>
      <c r="AC291" s="74"/>
      <c r="AD291" s="80" t="s">
        <v>951</v>
      </c>
      <c r="AE291" s="80" t="s">
        <v>1279</v>
      </c>
      <c r="AF291" s="80" t="s">
        <v>1591</v>
      </c>
      <c r="AG291" s="80" t="s">
        <v>1655</v>
      </c>
      <c r="AH291" s="80" t="s">
        <v>2003</v>
      </c>
      <c r="AI291" s="80">
        <v>14659464</v>
      </c>
      <c r="AJ291" s="80">
        <v>3665</v>
      </c>
      <c r="AK291" s="80">
        <v>142580</v>
      </c>
      <c r="AL291" s="80">
        <v>5734</v>
      </c>
      <c r="AM291" s="80" t="s">
        <v>2047</v>
      </c>
      <c r="AN291" s="98" t="str">
        <f>HYPERLINK("https://www.youtube.com/watch?v=Y6iila6HedI")</f>
        <v>https://www.youtube.com/watch?v=Y6iila6HedI</v>
      </c>
      <c r="AO291" s="80" t="str">
        <f>REPLACE(INDEX(GroupVertices[Group],MATCH(Vertices[[#This Row],[Vertex]],GroupVertices[Vertex],0)),1,1,"")</f>
        <v>1</v>
      </c>
      <c r="AP291" s="48">
        <v>3</v>
      </c>
      <c r="AQ291" s="49">
        <v>6.25</v>
      </c>
      <c r="AR291" s="48">
        <v>3</v>
      </c>
      <c r="AS291" s="49">
        <v>6.25</v>
      </c>
      <c r="AT291" s="48">
        <v>0</v>
      </c>
      <c r="AU291" s="49">
        <v>0</v>
      </c>
      <c r="AV291" s="48">
        <v>42</v>
      </c>
      <c r="AW291" s="49">
        <v>87.5</v>
      </c>
      <c r="AX291" s="48">
        <v>48</v>
      </c>
      <c r="AY291" s="48"/>
      <c r="AZ291" s="48"/>
      <c r="BA291" s="48"/>
      <c r="BB291" s="48"/>
      <c r="BC291" s="2"/>
      <c r="BD291" s="3"/>
      <c r="BE291" s="3"/>
      <c r="BF291" s="3"/>
      <c r="BG291" s="3"/>
    </row>
    <row r="292" spans="1:59" ht="15">
      <c r="A292" s="66" t="s">
        <v>610</v>
      </c>
      <c r="B292" s="67"/>
      <c r="C292" s="67"/>
      <c r="D292" s="68">
        <v>1000</v>
      </c>
      <c r="E292" s="70"/>
      <c r="F292" s="96" t="str">
        <f>HYPERLINK("https://i.ytimg.com/vi/yrR48pQTQhc/default.jpg")</f>
        <v>https://i.ytimg.com/vi/yrR48pQTQhc/default.jpg</v>
      </c>
      <c r="G292" s="67"/>
      <c r="H292" s="71" t="s">
        <v>952</v>
      </c>
      <c r="I292" s="72"/>
      <c r="J292" s="72" t="s">
        <v>75</v>
      </c>
      <c r="K292" s="71" t="s">
        <v>952</v>
      </c>
      <c r="L292" s="75">
        <v>2500.5</v>
      </c>
      <c r="M292" s="76">
        <v>2011.611572265625</v>
      </c>
      <c r="N292" s="76">
        <v>6696.9921875</v>
      </c>
      <c r="O292" s="77"/>
      <c r="P292" s="78"/>
      <c r="Q292" s="78"/>
      <c r="R292" s="82"/>
      <c r="S292" s="48">
        <v>2</v>
      </c>
      <c r="T292" s="48">
        <v>0</v>
      </c>
      <c r="U292" s="49">
        <v>0</v>
      </c>
      <c r="V292" s="49">
        <v>0.001044</v>
      </c>
      <c r="W292" s="49">
        <v>0.004877</v>
      </c>
      <c r="X292" s="49">
        <v>0.656677</v>
      </c>
      <c r="Y292" s="49">
        <v>1</v>
      </c>
      <c r="Z292" s="49">
        <v>0</v>
      </c>
      <c r="AA292" s="73">
        <v>292</v>
      </c>
      <c r="AB292" s="73"/>
      <c r="AC292" s="74"/>
      <c r="AD292" s="80" t="s">
        <v>952</v>
      </c>
      <c r="AE292" s="80" t="s">
        <v>1280</v>
      </c>
      <c r="AF292" s="80" t="s">
        <v>1592</v>
      </c>
      <c r="AG292" s="80" t="s">
        <v>1655</v>
      </c>
      <c r="AH292" s="80" t="s">
        <v>2004</v>
      </c>
      <c r="AI292" s="80">
        <v>15392072</v>
      </c>
      <c r="AJ292" s="80">
        <v>14696</v>
      </c>
      <c r="AK292" s="80">
        <v>131296</v>
      </c>
      <c r="AL292" s="80">
        <v>11767</v>
      </c>
      <c r="AM292" s="80" t="s">
        <v>2047</v>
      </c>
      <c r="AN292" s="98" t="str">
        <f>HYPERLINK("https://www.youtube.com/watch?v=yrR48pQTQhc")</f>
        <v>https://www.youtube.com/watch?v=yrR48pQTQhc</v>
      </c>
      <c r="AO292" s="80" t="str">
        <f>REPLACE(INDEX(GroupVertices[Group],MATCH(Vertices[[#This Row],[Vertex]],GroupVertices[Vertex],0)),1,1,"")</f>
        <v>1</v>
      </c>
      <c r="AP292" s="48">
        <v>2</v>
      </c>
      <c r="AQ292" s="49">
        <v>3.9215686274509802</v>
      </c>
      <c r="AR292" s="48">
        <v>2</v>
      </c>
      <c r="AS292" s="49">
        <v>3.9215686274509802</v>
      </c>
      <c r="AT292" s="48">
        <v>0</v>
      </c>
      <c r="AU292" s="49">
        <v>0</v>
      </c>
      <c r="AV292" s="48">
        <v>47</v>
      </c>
      <c r="AW292" s="49">
        <v>92.15686274509804</v>
      </c>
      <c r="AX292" s="48">
        <v>51</v>
      </c>
      <c r="AY292" s="48"/>
      <c r="AZ292" s="48"/>
      <c r="BA292" s="48"/>
      <c r="BB292" s="48"/>
      <c r="BC292" s="2"/>
      <c r="BD292" s="3"/>
      <c r="BE292" s="3"/>
      <c r="BF292" s="3"/>
      <c r="BG292" s="3"/>
    </row>
    <row r="293" spans="1:59" ht="15">
      <c r="A293" s="66" t="s">
        <v>611</v>
      </c>
      <c r="B293" s="67"/>
      <c r="C293" s="67"/>
      <c r="D293" s="68">
        <v>1000</v>
      </c>
      <c r="E293" s="70"/>
      <c r="F293" s="96" t="str">
        <f>HYPERLINK("https://i.ytimg.com/vi/S1Onniy08AY/default.jpg")</f>
        <v>https://i.ytimg.com/vi/S1Onniy08AY/default.jpg</v>
      </c>
      <c r="G293" s="67"/>
      <c r="H293" s="71" t="s">
        <v>953</v>
      </c>
      <c r="I293" s="72"/>
      <c r="J293" s="72" t="s">
        <v>159</v>
      </c>
      <c r="K293" s="71" t="s">
        <v>953</v>
      </c>
      <c r="L293" s="75">
        <v>1250.75</v>
      </c>
      <c r="M293" s="76">
        <v>2552.726318359375</v>
      </c>
      <c r="N293" s="76">
        <v>9770.12890625</v>
      </c>
      <c r="O293" s="77"/>
      <c r="P293" s="78"/>
      <c r="Q293" s="78"/>
      <c r="R293" s="82"/>
      <c r="S293" s="48">
        <v>1</v>
      </c>
      <c r="T293" s="48">
        <v>0</v>
      </c>
      <c r="U293" s="49">
        <v>0</v>
      </c>
      <c r="V293" s="49">
        <v>0.001015</v>
      </c>
      <c r="W293" s="49">
        <v>0.002548</v>
      </c>
      <c r="X293" s="49">
        <v>0.401103</v>
      </c>
      <c r="Y293" s="49">
        <v>0</v>
      </c>
      <c r="Z293" s="49">
        <v>0</v>
      </c>
      <c r="AA293" s="73">
        <v>293</v>
      </c>
      <c r="AB293" s="73"/>
      <c r="AC293" s="74"/>
      <c r="AD293" s="80" t="s">
        <v>953</v>
      </c>
      <c r="AE293" s="80" t="s">
        <v>1281</v>
      </c>
      <c r="AF293" s="80" t="s">
        <v>1593</v>
      </c>
      <c r="AG293" s="80" t="s">
        <v>1655</v>
      </c>
      <c r="AH293" s="80" t="s">
        <v>2005</v>
      </c>
      <c r="AI293" s="80">
        <v>12024732</v>
      </c>
      <c r="AJ293" s="80">
        <v>0</v>
      </c>
      <c r="AK293" s="80">
        <v>164793</v>
      </c>
      <c r="AL293" s="80">
        <v>41251</v>
      </c>
      <c r="AM293" s="80" t="s">
        <v>2047</v>
      </c>
      <c r="AN293" s="98" t="str">
        <f>HYPERLINK("https://www.youtube.com/watch?v=S1Onniy08AY")</f>
        <v>https://www.youtube.com/watch?v=S1Onniy08AY</v>
      </c>
      <c r="AO293" s="80" t="str">
        <f>REPLACE(INDEX(GroupVertices[Group],MATCH(Vertices[[#This Row],[Vertex]],GroupVertices[Vertex],0)),1,1,"")</f>
        <v>1</v>
      </c>
      <c r="AP293" s="48">
        <v>1</v>
      </c>
      <c r="AQ293" s="49">
        <v>2.7777777777777777</v>
      </c>
      <c r="AR293" s="48">
        <v>1</v>
      </c>
      <c r="AS293" s="49">
        <v>2.7777777777777777</v>
      </c>
      <c r="AT293" s="48">
        <v>0</v>
      </c>
      <c r="AU293" s="49">
        <v>0</v>
      </c>
      <c r="AV293" s="48">
        <v>34</v>
      </c>
      <c r="AW293" s="49">
        <v>94.44444444444444</v>
      </c>
      <c r="AX293" s="48">
        <v>36</v>
      </c>
      <c r="AY293" s="48"/>
      <c r="AZ293" s="48"/>
      <c r="BA293" s="48"/>
      <c r="BB293" s="48"/>
      <c r="BC293" s="2"/>
      <c r="BD293" s="3"/>
      <c r="BE293" s="3"/>
      <c r="BF293" s="3"/>
      <c r="BG293" s="3"/>
    </row>
    <row r="294" spans="1:59" ht="15">
      <c r="A294" s="66" t="s">
        <v>612</v>
      </c>
      <c r="B294" s="67"/>
      <c r="C294" s="67"/>
      <c r="D294" s="68">
        <v>690.7044234146832</v>
      </c>
      <c r="E294" s="70"/>
      <c r="F294" s="96" t="str">
        <f>HYPERLINK("https://i.ytimg.com/vi/onDCvHtHSkY/default.jpg")</f>
        <v>https://i.ytimg.com/vi/onDCvHtHSkY/default.jpg</v>
      </c>
      <c r="G294" s="67"/>
      <c r="H294" s="71" t="s">
        <v>954</v>
      </c>
      <c r="I294" s="72"/>
      <c r="J294" s="72" t="s">
        <v>159</v>
      </c>
      <c r="K294" s="71" t="s">
        <v>954</v>
      </c>
      <c r="L294" s="75">
        <v>1250.75</v>
      </c>
      <c r="M294" s="76">
        <v>3042.167236328125</v>
      </c>
      <c r="N294" s="76">
        <v>6711.353515625</v>
      </c>
      <c r="O294" s="77"/>
      <c r="P294" s="78"/>
      <c r="Q294" s="78"/>
      <c r="R294" s="82"/>
      <c r="S294" s="48">
        <v>1</v>
      </c>
      <c r="T294" s="48">
        <v>0</v>
      </c>
      <c r="U294" s="49">
        <v>0</v>
      </c>
      <c r="V294" s="49">
        <v>0.001015</v>
      </c>
      <c r="W294" s="49">
        <v>0.002548</v>
      </c>
      <c r="X294" s="49">
        <v>0.401103</v>
      </c>
      <c r="Y294" s="49">
        <v>0</v>
      </c>
      <c r="Z294" s="49">
        <v>0</v>
      </c>
      <c r="AA294" s="73">
        <v>294</v>
      </c>
      <c r="AB294" s="73"/>
      <c r="AC294" s="74"/>
      <c r="AD294" s="80" t="s">
        <v>954</v>
      </c>
      <c r="AE294" s="80" t="s">
        <v>1282</v>
      </c>
      <c r="AF294" s="80" t="s">
        <v>1594</v>
      </c>
      <c r="AG294" s="80" t="s">
        <v>1655</v>
      </c>
      <c r="AH294" s="80" t="s">
        <v>2006</v>
      </c>
      <c r="AI294" s="80">
        <v>6862834</v>
      </c>
      <c r="AJ294" s="80">
        <v>5157</v>
      </c>
      <c r="AK294" s="80">
        <v>79122</v>
      </c>
      <c r="AL294" s="80">
        <v>1970</v>
      </c>
      <c r="AM294" s="80" t="s">
        <v>2047</v>
      </c>
      <c r="AN294" s="98" t="str">
        <f>HYPERLINK("https://www.youtube.com/watch?v=onDCvHtHSkY")</f>
        <v>https://www.youtube.com/watch?v=onDCvHtHSkY</v>
      </c>
      <c r="AO294" s="80" t="str">
        <f>REPLACE(INDEX(GroupVertices[Group],MATCH(Vertices[[#This Row],[Vertex]],GroupVertices[Vertex],0)),1,1,"")</f>
        <v>1</v>
      </c>
      <c r="AP294" s="48">
        <v>2</v>
      </c>
      <c r="AQ294" s="49">
        <v>3.4482758620689653</v>
      </c>
      <c r="AR294" s="48">
        <v>2</v>
      </c>
      <c r="AS294" s="49">
        <v>3.4482758620689653</v>
      </c>
      <c r="AT294" s="48">
        <v>0</v>
      </c>
      <c r="AU294" s="49">
        <v>0</v>
      </c>
      <c r="AV294" s="48">
        <v>54</v>
      </c>
      <c r="AW294" s="49">
        <v>93.10344827586206</v>
      </c>
      <c r="AX294" s="48">
        <v>58</v>
      </c>
      <c r="AY294" s="48"/>
      <c r="AZ294" s="48"/>
      <c r="BA294" s="48"/>
      <c r="BB294" s="48"/>
      <c r="BC294" s="2"/>
      <c r="BD294" s="3"/>
      <c r="BE294" s="3"/>
      <c r="BF294" s="3"/>
      <c r="BG294" s="3"/>
    </row>
    <row r="295" spans="1:59" ht="15">
      <c r="A295" s="66" t="s">
        <v>613</v>
      </c>
      <c r="B295" s="67"/>
      <c r="C295" s="67"/>
      <c r="D295" s="68">
        <v>1000</v>
      </c>
      <c r="E295" s="70"/>
      <c r="F295" s="96" t="str">
        <f>HYPERLINK("https://i.ytimg.com/vi/kRh1zXFKC_o/default.jpg")</f>
        <v>https://i.ytimg.com/vi/kRh1zXFKC_o/default.jpg</v>
      </c>
      <c r="G295" s="67"/>
      <c r="H295" s="71" t="s">
        <v>955</v>
      </c>
      <c r="I295" s="72"/>
      <c r="J295" s="72" t="s">
        <v>159</v>
      </c>
      <c r="K295" s="71" t="s">
        <v>955</v>
      </c>
      <c r="L295" s="75">
        <v>1250.75</v>
      </c>
      <c r="M295" s="76">
        <v>3313.278076171875</v>
      </c>
      <c r="N295" s="76">
        <v>7589.60498046875</v>
      </c>
      <c r="O295" s="77"/>
      <c r="P295" s="78"/>
      <c r="Q295" s="78"/>
      <c r="R295" s="82"/>
      <c r="S295" s="48">
        <v>1</v>
      </c>
      <c r="T295" s="48">
        <v>0</v>
      </c>
      <c r="U295" s="49">
        <v>0</v>
      </c>
      <c r="V295" s="49">
        <v>0.001015</v>
      </c>
      <c r="W295" s="49">
        <v>0.002548</v>
      </c>
      <c r="X295" s="49">
        <v>0.401103</v>
      </c>
      <c r="Y295" s="49">
        <v>0</v>
      </c>
      <c r="Z295" s="49">
        <v>0</v>
      </c>
      <c r="AA295" s="73">
        <v>295</v>
      </c>
      <c r="AB295" s="73"/>
      <c r="AC295" s="74"/>
      <c r="AD295" s="80" t="s">
        <v>955</v>
      </c>
      <c r="AE295" s="80" t="s">
        <v>1283</v>
      </c>
      <c r="AF295" s="80" t="s">
        <v>1595</v>
      </c>
      <c r="AG295" s="80" t="s">
        <v>1655</v>
      </c>
      <c r="AH295" s="80" t="s">
        <v>2007</v>
      </c>
      <c r="AI295" s="80">
        <v>23843273</v>
      </c>
      <c r="AJ295" s="80">
        <v>106241</v>
      </c>
      <c r="AK295" s="80">
        <v>346839</v>
      </c>
      <c r="AL295" s="80">
        <v>26681</v>
      </c>
      <c r="AM295" s="80" t="s">
        <v>2047</v>
      </c>
      <c r="AN295" s="98" t="str">
        <f>HYPERLINK("https://www.youtube.com/watch?v=kRh1zXFKC_o")</f>
        <v>https://www.youtube.com/watch?v=kRh1zXFKC_o</v>
      </c>
      <c r="AO295" s="80" t="str">
        <f>REPLACE(INDEX(GroupVertices[Group],MATCH(Vertices[[#This Row],[Vertex]],GroupVertices[Vertex],0)),1,1,"")</f>
        <v>1</v>
      </c>
      <c r="AP295" s="48">
        <v>0</v>
      </c>
      <c r="AQ295" s="49">
        <v>0</v>
      </c>
      <c r="AR295" s="48">
        <v>1</v>
      </c>
      <c r="AS295" s="49">
        <v>3.7037037037037037</v>
      </c>
      <c r="AT295" s="48">
        <v>0</v>
      </c>
      <c r="AU295" s="49">
        <v>0</v>
      </c>
      <c r="AV295" s="48">
        <v>26</v>
      </c>
      <c r="AW295" s="49">
        <v>96.29629629629629</v>
      </c>
      <c r="AX295" s="48">
        <v>27</v>
      </c>
      <c r="AY295" s="48"/>
      <c r="AZ295" s="48"/>
      <c r="BA295" s="48"/>
      <c r="BB295" s="48"/>
      <c r="BC295" s="2"/>
      <c r="BD295" s="3"/>
      <c r="BE295" s="3"/>
      <c r="BF295" s="3"/>
      <c r="BG295" s="3"/>
    </row>
    <row r="296" spans="1:59" ht="15">
      <c r="A296" s="66" t="s">
        <v>614</v>
      </c>
      <c r="B296" s="67"/>
      <c r="C296" s="67"/>
      <c r="D296" s="68">
        <v>227.14707084086126</v>
      </c>
      <c r="E296" s="70"/>
      <c r="F296" s="96" t="str">
        <f>HYPERLINK("https://i.ytimg.com/vi/gxSUqr3ouYA/default.jpg")</f>
        <v>https://i.ytimg.com/vi/gxSUqr3ouYA/default.jpg</v>
      </c>
      <c r="G296" s="67"/>
      <c r="H296" s="71" t="s">
        <v>956</v>
      </c>
      <c r="I296" s="72"/>
      <c r="J296" s="72" t="s">
        <v>159</v>
      </c>
      <c r="K296" s="71" t="s">
        <v>956</v>
      </c>
      <c r="L296" s="75">
        <v>1250.75</v>
      </c>
      <c r="M296" s="76">
        <v>4379.3486328125</v>
      </c>
      <c r="N296" s="76">
        <v>3183.728271484375</v>
      </c>
      <c r="O296" s="77"/>
      <c r="P296" s="78"/>
      <c r="Q296" s="78"/>
      <c r="R296" s="82"/>
      <c r="S296" s="48">
        <v>1</v>
      </c>
      <c r="T296" s="48">
        <v>0</v>
      </c>
      <c r="U296" s="49">
        <v>0</v>
      </c>
      <c r="V296" s="49">
        <v>0.000968</v>
      </c>
      <c r="W296" s="49">
        <v>0.002101</v>
      </c>
      <c r="X296" s="49">
        <v>0.444569</v>
      </c>
      <c r="Y296" s="49">
        <v>0</v>
      </c>
      <c r="Z296" s="49">
        <v>0</v>
      </c>
      <c r="AA296" s="73">
        <v>296</v>
      </c>
      <c r="AB296" s="73"/>
      <c r="AC296" s="74"/>
      <c r="AD296" s="80" t="s">
        <v>956</v>
      </c>
      <c r="AE296" s="80" t="s">
        <v>1284</v>
      </c>
      <c r="AF296" s="80" t="s">
        <v>1596</v>
      </c>
      <c r="AG296" s="80" t="s">
        <v>1662</v>
      </c>
      <c r="AH296" s="80" t="s">
        <v>2008</v>
      </c>
      <c r="AI296" s="80">
        <v>1658788</v>
      </c>
      <c r="AJ296" s="80">
        <v>1599</v>
      </c>
      <c r="AK296" s="80">
        <v>42247</v>
      </c>
      <c r="AL296" s="80">
        <v>706</v>
      </c>
      <c r="AM296" s="80" t="s">
        <v>2047</v>
      </c>
      <c r="AN296" s="98" t="str">
        <f>HYPERLINK("https://www.youtube.com/watch?v=gxSUqr3ouYA")</f>
        <v>https://www.youtube.com/watch?v=gxSUqr3ouYA</v>
      </c>
      <c r="AO296" s="80" t="str">
        <f>REPLACE(INDEX(GroupVertices[Group],MATCH(Vertices[[#This Row],[Vertex]],GroupVertices[Vertex],0)),1,1,"")</f>
        <v>4</v>
      </c>
      <c r="AP296" s="48">
        <v>2</v>
      </c>
      <c r="AQ296" s="49">
        <v>4</v>
      </c>
      <c r="AR296" s="48">
        <v>3</v>
      </c>
      <c r="AS296" s="49">
        <v>6</v>
      </c>
      <c r="AT296" s="48">
        <v>0</v>
      </c>
      <c r="AU296" s="49">
        <v>0</v>
      </c>
      <c r="AV296" s="48">
        <v>45</v>
      </c>
      <c r="AW296" s="49">
        <v>90</v>
      </c>
      <c r="AX296" s="48">
        <v>50</v>
      </c>
      <c r="AY296" s="48"/>
      <c r="AZ296" s="48"/>
      <c r="BA296" s="48"/>
      <c r="BB296" s="48"/>
      <c r="BC296" s="2"/>
      <c r="BD296" s="3"/>
      <c r="BE296" s="3"/>
      <c r="BF296" s="3"/>
      <c r="BG296" s="3"/>
    </row>
    <row r="297" spans="1:59" ht="15">
      <c r="A297" s="66" t="s">
        <v>615</v>
      </c>
      <c r="B297" s="67"/>
      <c r="C297" s="67"/>
      <c r="D297" s="68">
        <v>168.93042944476394</v>
      </c>
      <c r="E297" s="70"/>
      <c r="F297" s="96" t="str">
        <f>HYPERLINK("https://i.ytimg.com/vi/zNUPS919HKM/default.jpg")</f>
        <v>https://i.ytimg.com/vi/zNUPS919HKM/default.jpg</v>
      </c>
      <c r="G297" s="67"/>
      <c r="H297" s="71" t="s">
        <v>957</v>
      </c>
      <c r="I297" s="72"/>
      <c r="J297" s="72" t="s">
        <v>159</v>
      </c>
      <c r="K297" s="71" t="s">
        <v>957</v>
      </c>
      <c r="L297" s="75">
        <v>1250.75</v>
      </c>
      <c r="M297" s="76">
        <v>4553.640625</v>
      </c>
      <c r="N297" s="76">
        <v>4529.91259765625</v>
      </c>
      <c r="O297" s="77"/>
      <c r="P297" s="78"/>
      <c r="Q297" s="78"/>
      <c r="R297" s="82"/>
      <c r="S297" s="48">
        <v>1</v>
      </c>
      <c r="T297" s="48">
        <v>0</v>
      </c>
      <c r="U297" s="49">
        <v>0</v>
      </c>
      <c r="V297" s="49">
        <v>0.000968</v>
      </c>
      <c r="W297" s="49">
        <v>0.002101</v>
      </c>
      <c r="X297" s="49">
        <v>0.444569</v>
      </c>
      <c r="Y297" s="49">
        <v>0</v>
      </c>
      <c r="Z297" s="49">
        <v>0</v>
      </c>
      <c r="AA297" s="73">
        <v>297</v>
      </c>
      <c r="AB297" s="73"/>
      <c r="AC297" s="74"/>
      <c r="AD297" s="80" t="s">
        <v>957</v>
      </c>
      <c r="AE297" s="80" t="s">
        <v>1285</v>
      </c>
      <c r="AF297" s="80" t="s">
        <v>1597</v>
      </c>
      <c r="AG297" s="80" t="s">
        <v>1662</v>
      </c>
      <c r="AH297" s="80" t="s">
        <v>2009</v>
      </c>
      <c r="AI297" s="80">
        <v>1005229</v>
      </c>
      <c r="AJ297" s="80">
        <v>1955</v>
      </c>
      <c r="AK297" s="80">
        <v>32711</v>
      </c>
      <c r="AL297" s="80">
        <v>1079</v>
      </c>
      <c r="AM297" s="80" t="s">
        <v>2047</v>
      </c>
      <c r="AN297" s="98" t="str">
        <f>HYPERLINK("https://www.youtube.com/watch?v=zNUPS919HKM")</f>
        <v>https://www.youtube.com/watch?v=zNUPS919HKM</v>
      </c>
      <c r="AO297" s="80" t="str">
        <f>REPLACE(INDEX(GroupVertices[Group],MATCH(Vertices[[#This Row],[Vertex]],GroupVertices[Vertex],0)),1,1,"")</f>
        <v>4</v>
      </c>
      <c r="AP297" s="48">
        <v>0</v>
      </c>
      <c r="AQ297" s="49">
        <v>0</v>
      </c>
      <c r="AR297" s="48">
        <v>0</v>
      </c>
      <c r="AS297" s="49">
        <v>0</v>
      </c>
      <c r="AT297" s="48">
        <v>0</v>
      </c>
      <c r="AU297" s="49">
        <v>0</v>
      </c>
      <c r="AV297" s="48">
        <v>52</v>
      </c>
      <c r="AW297" s="49">
        <v>100</v>
      </c>
      <c r="AX297" s="48">
        <v>52</v>
      </c>
      <c r="AY297" s="48"/>
      <c r="AZ297" s="48"/>
      <c r="BA297" s="48"/>
      <c r="BB297" s="48"/>
      <c r="BC297" s="2"/>
      <c r="BD297" s="3"/>
      <c r="BE297" s="3"/>
      <c r="BF297" s="3"/>
      <c r="BG297" s="3"/>
    </row>
    <row r="298" spans="1:59" ht="15">
      <c r="A298" s="66" t="s">
        <v>616</v>
      </c>
      <c r="B298" s="67"/>
      <c r="C298" s="67"/>
      <c r="D298" s="68">
        <v>222.85056282689564</v>
      </c>
      <c r="E298" s="70"/>
      <c r="F298" s="96" t="str">
        <f>HYPERLINK("https://i.ytimg.com/vi/TGx8rjgdIXk/default.jpg")</f>
        <v>https://i.ytimg.com/vi/TGx8rjgdIXk/default.jpg</v>
      </c>
      <c r="G298" s="67"/>
      <c r="H298" s="71" t="s">
        <v>958</v>
      </c>
      <c r="I298" s="72"/>
      <c r="J298" s="72" t="s">
        <v>159</v>
      </c>
      <c r="K298" s="71" t="s">
        <v>958</v>
      </c>
      <c r="L298" s="75">
        <v>1250.75</v>
      </c>
      <c r="M298" s="76">
        <v>4903.62353515625</v>
      </c>
      <c r="N298" s="76">
        <v>3029.90283203125</v>
      </c>
      <c r="O298" s="77"/>
      <c r="P298" s="78"/>
      <c r="Q298" s="78"/>
      <c r="R298" s="82"/>
      <c r="S298" s="48">
        <v>1</v>
      </c>
      <c r="T298" s="48">
        <v>0</v>
      </c>
      <c r="U298" s="49">
        <v>0</v>
      </c>
      <c r="V298" s="49">
        <v>0.000968</v>
      </c>
      <c r="W298" s="49">
        <v>0.002101</v>
      </c>
      <c r="X298" s="49">
        <v>0.444569</v>
      </c>
      <c r="Y298" s="49">
        <v>0</v>
      </c>
      <c r="Z298" s="49">
        <v>0</v>
      </c>
      <c r="AA298" s="73">
        <v>298</v>
      </c>
      <c r="AB298" s="73"/>
      <c r="AC298" s="74"/>
      <c r="AD298" s="80" t="s">
        <v>958</v>
      </c>
      <c r="AE298" s="80" t="s">
        <v>1286</v>
      </c>
      <c r="AF298" s="80" t="s">
        <v>1598</v>
      </c>
      <c r="AG298" s="80" t="s">
        <v>1662</v>
      </c>
      <c r="AH298" s="80" t="s">
        <v>2010</v>
      </c>
      <c r="AI298" s="80">
        <v>1610554</v>
      </c>
      <c r="AJ298" s="80">
        <v>1172</v>
      </c>
      <c r="AK298" s="80">
        <v>34891</v>
      </c>
      <c r="AL298" s="80">
        <v>467</v>
      </c>
      <c r="AM298" s="80" t="s">
        <v>2047</v>
      </c>
      <c r="AN298" s="98" t="str">
        <f>HYPERLINK("https://www.youtube.com/watch?v=TGx8rjgdIXk")</f>
        <v>https://www.youtube.com/watch?v=TGx8rjgdIXk</v>
      </c>
      <c r="AO298" s="80" t="str">
        <f>REPLACE(INDEX(GroupVertices[Group],MATCH(Vertices[[#This Row],[Vertex]],GroupVertices[Vertex],0)),1,1,"")</f>
        <v>4</v>
      </c>
      <c r="AP298" s="48">
        <v>8</v>
      </c>
      <c r="AQ298" s="49">
        <v>12.121212121212121</v>
      </c>
      <c r="AR298" s="48">
        <v>2</v>
      </c>
      <c r="AS298" s="49">
        <v>3.0303030303030303</v>
      </c>
      <c r="AT298" s="48">
        <v>0</v>
      </c>
      <c r="AU298" s="49">
        <v>0</v>
      </c>
      <c r="AV298" s="48">
        <v>56</v>
      </c>
      <c r="AW298" s="49">
        <v>84.84848484848484</v>
      </c>
      <c r="AX298" s="48">
        <v>66</v>
      </c>
      <c r="AY298" s="48"/>
      <c r="AZ298" s="48"/>
      <c r="BA298" s="48"/>
      <c r="BB298" s="48"/>
      <c r="BC298" s="2"/>
      <c r="BD298" s="3"/>
      <c r="BE298" s="3"/>
      <c r="BF298" s="3"/>
      <c r="BG298" s="3"/>
    </row>
    <row r="299" spans="1:59" ht="15">
      <c r="A299" s="66" t="s">
        <v>617</v>
      </c>
      <c r="B299" s="67"/>
      <c r="C299" s="67"/>
      <c r="D299" s="68">
        <v>1000</v>
      </c>
      <c r="E299" s="70"/>
      <c r="F299" s="96" t="str">
        <f>HYPERLINK("https://i.ytimg.com/vi/Q7yvvq-9ytE/default.jpg")</f>
        <v>https://i.ytimg.com/vi/Q7yvvq-9ytE/default.jpg</v>
      </c>
      <c r="G299" s="67"/>
      <c r="H299" s="71" t="s">
        <v>959</v>
      </c>
      <c r="I299" s="72"/>
      <c r="J299" s="72" t="s">
        <v>159</v>
      </c>
      <c r="K299" s="71" t="s">
        <v>959</v>
      </c>
      <c r="L299" s="75">
        <v>1250.75</v>
      </c>
      <c r="M299" s="76">
        <v>4859.99951171875</v>
      </c>
      <c r="N299" s="76">
        <v>3427.80517578125</v>
      </c>
      <c r="O299" s="77"/>
      <c r="P299" s="78"/>
      <c r="Q299" s="78"/>
      <c r="R299" s="82"/>
      <c r="S299" s="48">
        <v>1</v>
      </c>
      <c r="T299" s="48">
        <v>0</v>
      </c>
      <c r="U299" s="49">
        <v>0</v>
      </c>
      <c r="V299" s="49">
        <v>0.000968</v>
      </c>
      <c r="W299" s="49">
        <v>0.002101</v>
      </c>
      <c r="X299" s="49">
        <v>0.444569</v>
      </c>
      <c r="Y299" s="49">
        <v>0</v>
      </c>
      <c r="Z299" s="49">
        <v>0</v>
      </c>
      <c r="AA299" s="73">
        <v>299</v>
      </c>
      <c r="AB299" s="73"/>
      <c r="AC299" s="74"/>
      <c r="AD299" s="80" t="s">
        <v>959</v>
      </c>
      <c r="AE299" s="80" t="s">
        <v>1287</v>
      </c>
      <c r="AF299" s="80" t="s">
        <v>1599</v>
      </c>
      <c r="AG299" s="80" t="s">
        <v>1648</v>
      </c>
      <c r="AH299" s="80" t="s">
        <v>2011</v>
      </c>
      <c r="AI299" s="80">
        <v>12220665</v>
      </c>
      <c r="AJ299" s="80">
        <v>207103</v>
      </c>
      <c r="AK299" s="80">
        <v>381103</v>
      </c>
      <c r="AL299" s="80">
        <v>15347</v>
      </c>
      <c r="AM299" s="80" t="s">
        <v>2047</v>
      </c>
      <c r="AN299" s="98" t="str">
        <f>HYPERLINK("https://www.youtube.com/watch?v=Q7yvvq-9ytE")</f>
        <v>https://www.youtube.com/watch?v=Q7yvvq-9ytE</v>
      </c>
      <c r="AO299" s="80" t="str">
        <f>REPLACE(INDEX(GroupVertices[Group],MATCH(Vertices[[#This Row],[Vertex]],GroupVertices[Vertex],0)),1,1,"")</f>
        <v>4</v>
      </c>
      <c r="AP299" s="48">
        <v>3</v>
      </c>
      <c r="AQ299" s="49">
        <v>5.769230769230769</v>
      </c>
      <c r="AR299" s="48">
        <v>2</v>
      </c>
      <c r="AS299" s="49">
        <v>3.8461538461538463</v>
      </c>
      <c r="AT299" s="48">
        <v>0</v>
      </c>
      <c r="AU299" s="49">
        <v>0</v>
      </c>
      <c r="AV299" s="48">
        <v>47</v>
      </c>
      <c r="AW299" s="49">
        <v>90.38461538461539</v>
      </c>
      <c r="AX299" s="48">
        <v>52</v>
      </c>
      <c r="AY299" s="48"/>
      <c r="AZ299" s="48"/>
      <c r="BA299" s="48"/>
      <c r="BB299" s="48"/>
      <c r="BC299" s="2"/>
      <c r="BD299" s="3"/>
      <c r="BE299" s="3"/>
      <c r="BF299" s="3"/>
      <c r="BG299" s="3"/>
    </row>
    <row r="300" spans="1:59" ht="15">
      <c r="A300" s="66" t="s">
        <v>618</v>
      </c>
      <c r="B300" s="67"/>
      <c r="C300" s="67"/>
      <c r="D300" s="68">
        <v>883.9674716456466</v>
      </c>
      <c r="E300" s="70"/>
      <c r="F300" s="96" t="str">
        <f>HYPERLINK("https://i.ytimg.com/vi/Qja4z1HGDQo/default.jpg")</f>
        <v>https://i.ytimg.com/vi/Qja4z1HGDQo/default.jpg</v>
      </c>
      <c r="G300" s="67"/>
      <c r="H300" s="71" t="s">
        <v>960</v>
      </c>
      <c r="I300" s="72"/>
      <c r="J300" s="72" t="s">
        <v>159</v>
      </c>
      <c r="K300" s="71" t="s">
        <v>960</v>
      </c>
      <c r="L300" s="75">
        <v>1250.75</v>
      </c>
      <c r="M300" s="76">
        <v>6636.1953125</v>
      </c>
      <c r="N300" s="76">
        <v>4007.903076171875</v>
      </c>
      <c r="O300" s="77"/>
      <c r="P300" s="78"/>
      <c r="Q300" s="78"/>
      <c r="R300" s="82"/>
      <c r="S300" s="48">
        <v>1</v>
      </c>
      <c r="T300" s="48">
        <v>0</v>
      </c>
      <c r="U300" s="49">
        <v>0</v>
      </c>
      <c r="V300" s="49">
        <v>0.000968</v>
      </c>
      <c r="W300" s="49">
        <v>0.002101</v>
      </c>
      <c r="X300" s="49">
        <v>0.444569</v>
      </c>
      <c r="Y300" s="49">
        <v>0</v>
      </c>
      <c r="Z300" s="49">
        <v>0</v>
      </c>
      <c r="AA300" s="73">
        <v>300</v>
      </c>
      <c r="AB300" s="73"/>
      <c r="AC300" s="74"/>
      <c r="AD300" s="80" t="s">
        <v>960</v>
      </c>
      <c r="AE300" s="80" t="s">
        <v>1288</v>
      </c>
      <c r="AF300" s="80" t="s">
        <v>1600</v>
      </c>
      <c r="AG300" s="80" t="s">
        <v>1714</v>
      </c>
      <c r="AH300" s="80" t="s">
        <v>2012</v>
      </c>
      <c r="AI300" s="80">
        <v>9032468</v>
      </c>
      <c r="AJ300" s="80">
        <v>18402</v>
      </c>
      <c r="AK300" s="80">
        <v>239418</v>
      </c>
      <c r="AL300" s="80">
        <v>2968</v>
      </c>
      <c r="AM300" s="80" t="s">
        <v>2047</v>
      </c>
      <c r="AN300" s="98" t="str">
        <f>HYPERLINK("https://www.youtube.com/watch?v=Qja4z1HGDQo")</f>
        <v>https://www.youtube.com/watch?v=Qja4z1HGDQo</v>
      </c>
      <c r="AO300" s="80" t="str">
        <f>REPLACE(INDEX(GroupVertices[Group],MATCH(Vertices[[#This Row],[Vertex]],GroupVertices[Vertex],0)),1,1,"")</f>
        <v>4</v>
      </c>
      <c r="AP300" s="48">
        <v>0</v>
      </c>
      <c r="AQ300" s="49">
        <v>0</v>
      </c>
      <c r="AR300" s="48">
        <v>2</v>
      </c>
      <c r="AS300" s="49">
        <v>16.666666666666668</v>
      </c>
      <c r="AT300" s="48">
        <v>0</v>
      </c>
      <c r="AU300" s="49">
        <v>0</v>
      </c>
      <c r="AV300" s="48">
        <v>10</v>
      </c>
      <c r="AW300" s="49">
        <v>83.33333333333333</v>
      </c>
      <c r="AX300" s="48">
        <v>12</v>
      </c>
      <c r="AY300" s="48"/>
      <c r="AZ300" s="48"/>
      <c r="BA300" s="48"/>
      <c r="BB300" s="48"/>
      <c r="BC300" s="2"/>
      <c r="BD300" s="3"/>
      <c r="BE300" s="3"/>
      <c r="BF300" s="3"/>
      <c r="BG300" s="3"/>
    </row>
    <row r="301" spans="1:59" ht="15">
      <c r="A301" s="66" t="s">
        <v>619</v>
      </c>
      <c r="B301" s="67"/>
      <c r="C301" s="67"/>
      <c r="D301" s="68">
        <v>319.2060393756136</v>
      </c>
      <c r="E301" s="70"/>
      <c r="F301" s="96" t="str">
        <f>HYPERLINK("https://i.ytimg.com/vi/DZAMKuXJOcg/default.jpg")</f>
        <v>https://i.ytimg.com/vi/DZAMKuXJOcg/default.jpg</v>
      </c>
      <c r="G301" s="67"/>
      <c r="H301" s="71" t="s">
        <v>961</v>
      </c>
      <c r="I301" s="72"/>
      <c r="J301" s="72" t="s">
        <v>159</v>
      </c>
      <c r="K301" s="71" t="s">
        <v>961</v>
      </c>
      <c r="L301" s="75">
        <v>1250.75</v>
      </c>
      <c r="M301" s="76">
        <v>5972.91357421875</v>
      </c>
      <c r="N301" s="76">
        <v>5837.85009765625</v>
      </c>
      <c r="O301" s="77"/>
      <c r="P301" s="78"/>
      <c r="Q301" s="78"/>
      <c r="R301" s="82"/>
      <c r="S301" s="48">
        <v>1</v>
      </c>
      <c r="T301" s="48">
        <v>0</v>
      </c>
      <c r="U301" s="49">
        <v>0</v>
      </c>
      <c r="V301" s="49">
        <v>0.000968</v>
      </c>
      <c r="W301" s="49">
        <v>0.002101</v>
      </c>
      <c r="X301" s="49">
        <v>0.444569</v>
      </c>
      <c r="Y301" s="49">
        <v>0</v>
      </c>
      <c r="Z301" s="49">
        <v>0</v>
      </c>
      <c r="AA301" s="73">
        <v>301</v>
      </c>
      <c r="AB301" s="73"/>
      <c r="AC301" s="74"/>
      <c r="AD301" s="80" t="s">
        <v>961</v>
      </c>
      <c r="AE301" s="80" t="s">
        <v>1289</v>
      </c>
      <c r="AF301" s="80" t="s">
        <v>1601</v>
      </c>
      <c r="AG301" s="80" t="s">
        <v>1662</v>
      </c>
      <c r="AH301" s="80" t="s">
        <v>2013</v>
      </c>
      <c r="AI301" s="80">
        <v>2692272</v>
      </c>
      <c r="AJ301" s="80">
        <v>6262</v>
      </c>
      <c r="AK301" s="80">
        <v>89891</v>
      </c>
      <c r="AL301" s="80">
        <v>2788</v>
      </c>
      <c r="AM301" s="80" t="s">
        <v>2047</v>
      </c>
      <c r="AN301" s="98" t="str">
        <f>HYPERLINK("https://www.youtube.com/watch?v=DZAMKuXJOcg")</f>
        <v>https://www.youtube.com/watch?v=DZAMKuXJOcg</v>
      </c>
      <c r="AO301" s="80" t="str">
        <f>REPLACE(INDEX(GroupVertices[Group],MATCH(Vertices[[#This Row],[Vertex]],GroupVertices[Vertex],0)),1,1,"")</f>
        <v>4</v>
      </c>
      <c r="AP301" s="48">
        <v>5</v>
      </c>
      <c r="AQ301" s="49">
        <v>8.474576271186441</v>
      </c>
      <c r="AR301" s="48">
        <v>5</v>
      </c>
      <c r="AS301" s="49">
        <v>8.474576271186441</v>
      </c>
      <c r="AT301" s="48">
        <v>0</v>
      </c>
      <c r="AU301" s="49">
        <v>0</v>
      </c>
      <c r="AV301" s="48">
        <v>49</v>
      </c>
      <c r="AW301" s="49">
        <v>83.05084745762711</v>
      </c>
      <c r="AX301" s="48">
        <v>59</v>
      </c>
      <c r="AY301" s="48"/>
      <c r="AZ301" s="48"/>
      <c r="BA301" s="48"/>
      <c r="BB301" s="48"/>
      <c r="BC301" s="2"/>
      <c r="BD301" s="3"/>
      <c r="BE301" s="3"/>
      <c r="BF301" s="3"/>
      <c r="BG301" s="3"/>
    </row>
    <row r="302" spans="1:59" ht="15">
      <c r="A302" s="66" t="s">
        <v>620</v>
      </c>
      <c r="B302" s="67"/>
      <c r="C302" s="67"/>
      <c r="D302" s="68">
        <v>229.4414100396777</v>
      </c>
      <c r="E302" s="70"/>
      <c r="F302" s="96" t="str">
        <f>HYPERLINK("https://i.ytimg.com/vi/71X7a8eu73k/default.jpg")</f>
        <v>https://i.ytimg.com/vi/71X7a8eu73k/default.jpg</v>
      </c>
      <c r="G302" s="67"/>
      <c r="H302" s="71" t="s">
        <v>962</v>
      </c>
      <c r="I302" s="72"/>
      <c r="J302" s="72" t="s">
        <v>159</v>
      </c>
      <c r="K302" s="71" t="s">
        <v>962</v>
      </c>
      <c r="L302" s="75">
        <v>1250.75</v>
      </c>
      <c r="M302" s="76">
        <v>3961.79443359375</v>
      </c>
      <c r="N302" s="76">
        <v>4770.423828125</v>
      </c>
      <c r="O302" s="77"/>
      <c r="P302" s="78"/>
      <c r="Q302" s="78"/>
      <c r="R302" s="82"/>
      <c r="S302" s="48">
        <v>1</v>
      </c>
      <c r="T302" s="48">
        <v>0</v>
      </c>
      <c r="U302" s="49">
        <v>0</v>
      </c>
      <c r="V302" s="49">
        <v>0.000968</v>
      </c>
      <c r="W302" s="49">
        <v>0.002101</v>
      </c>
      <c r="X302" s="49">
        <v>0.444569</v>
      </c>
      <c r="Y302" s="49">
        <v>0</v>
      </c>
      <c r="Z302" s="49">
        <v>0</v>
      </c>
      <c r="AA302" s="73">
        <v>302</v>
      </c>
      <c r="AB302" s="73"/>
      <c r="AC302" s="74"/>
      <c r="AD302" s="80" t="s">
        <v>962</v>
      </c>
      <c r="AE302" s="80" t="s">
        <v>1290</v>
      </c>
      <c r="AF302" s="80" t="s">
        <v>1602</v>
      </c>
      <c r="AG302" s="80" t="s">
        <v>1662</v>
      </c>
      <c r="AH302" s="80" t="s">
        <v>2014</v>
      </c>
      <c r="AI302" s="80">
        <v>1684545</v>
      </c>
      <c r="AJ302" s="80">
        <v>2305</v>
      </c>
      <c r="AK302" s="80">
        <v>35028</v>
      </c>
      <c r="AL302" s="80">
        <v>1021</v>
      </c>
      <c r="AM302" s="80" t="s">
        <v>2047</v>
      </c>
      <c r="AN302" s="98" t="str">
        <f>HYPERLINK("https://www.youtube.com/watch?v=71X7a8eu73k")</f>
        <v>https://www.youtube.com/watch?v=71X7a8eu73k</v>
      </c>
      <c r="AO302" s="80" t="str">
        <f>REPLACE(INDEX(GroupVertices[Group],MATCH(Vertices[[#This Row],[Vertex]],GroupVertices[Vertex],0)),1,1,"")</f>
        <v>4</v>
      </c>
      <c r="AP302" s="48">
        <v>3</v>
      </c>
      <c r="AQ302" s="49">
        <v>4</v>
      </c>
      <c r="AR302" s="48">
        <v>1</v>
      </c>
      <c r="AS302" s="49">
        <v>1.3333333333333333</v>
      </c>
      <c r="AT302" s="48">
        <v>0</v>
      </c>
      <c r="AU302" s="49">
        <v>0</v>
      </c>
      <c r="AV302" s="48">
        <v>71</v>
      </c>
      <c r="AW302" s="49">
        <v>94.66666666666667</v>
      </c>
      <c r="AX302" s="48">
        <v>75</v>
      </c>
      <c r="AY302" s="48"/>
      <c r="AZ302" s="48"/>
      <c r="BA302" s="48"/>
      <c r="BB302" s="48"/>
      <c r="BC302" s="2"/>
      <c r="BD302" s="3"/>
      <c r="BE302" s="3"/>
      <c r="BF302" s="3"/>
      <c r="BG302" s="3"/>
    </row>
    <row r="303" spans="1:59" ht="15">
      <c r="A303" s="66" t="s">
        <v>621</v>
      </c>
      <c r="B303" s="67"/>
      <c r="C303" s="67"/>
      <c r="D303" s="68">
        <v>252.8145953513771</v>
      </c>
      <c r="E303" s="70"/>
      <c r="F303" s="96" t="str">
        <f>HYPERLINK("https://i.ytimg.com/vi/FDVNdn0CvKI/default.jpg")</f>
        <v>https://i.ytimg.com/vi/FDVNdn0CvKI/default.jpg</v>
      </c>
      <c r="G303" s="67"/>
      <c r="H303" s="71" t="s">
        <v>963</v>
      </c>
      <c r="I303" s="72"/>
      <c r="J303" s="72" t="s">
        <v>159</v>
      </c>
      <c r="K303" s="71" t="s">
        <v>963</v>
      </c>
      <c r="L303" s="75">
        <v>1250.75</v>
      </c>
      <c r="M303" s="76">
        <v>6750.54248046875</v>
      </c>
      <c r="N303" s="76">
        <v>4485.68994140625</v>
      </c>
      <c r="O303" s="77"/>
      <c r="P303" s="78"/>
      <c r="Q303" s="78"/>
      <c r="R303" s="82"/>
      <c r="S303" s="48">
        <v>1</v>
      </c>
      <c r="T303" s="48">
        <v>0</v>
      </c>
      <c r="U303" s="49">
        <v>0</v>
      </c>
      <c r="V303" s="49">
        <v>0.000968</v>
      </c>
      <c r="W303" s="49">
        <v>0.002101</v>
      </c>
      <c r="X303" s="49">
        <v>0.444569</v>
      </c>
      <c r="Y303" s="49">
        <v>0</v>
      </c>
      <c r="Z303" s="49">
        <v>0</v>
      </c>
      <c r="AA303" s="73">
        <v>303</v>
      </c>
      <c r="AB303" s="73"/>
      <c r="AC303" s="74"/>
      <c r="AD303" s="80" t="s">
        <v>963</v>
      </c>
      <c r="AE303" s="80" t="s">
        <v>1291</v>
      </c>
      <c r="AF303" s="80" t="s">
        <v>1603</v>
      </c>
      <c r="AG303" s="80" t="s">
        <v>1662</v>
      </c>
      <c r="AH303" s="80" t="s">
        <v>2015</v>
      </c>
      <c r="AI303" s="80">
        <v>1946940</v>
      </c>
      <c r="AJ303" s="80">
        <v>2018</v>
      </c>
      <c r="AK303" s="80">
        <v>42523</v>
      </c>
      <c r="AL303" s="80">
        <v>525</v>
      </c>
      <c r="AM303" s="80" t="s">
        <v>2047</v>
      </c>
      <c r="AN303" s="98" t="str">
        <f>HYPERLINK("https://www.youtube.com/watch?v=FDVNdn0CvKI")</f>
        <v>https://www.youtube.com/watch?v=FDVNdn0CvKI</v>
      </c>
      <c r="AO303" s="80" t="str">
        <f>REPLACE(INDEX(GroupVertices[Group],MATCH(Vertices[[#This Row],[Vertex]],GroupVertices[Vertex],0)),1,1,"")</f>
        <v>4</v>
      </c>
      <c r="AP303" s="48">
        <v>4</v>
      </c>
      <c r="AQ303" s="49">
        <v>5.882352941176471</v>
      </c>
      <c r="AR303" s="48">
        <v>11</v>
      </c>
      <c r="AS303" s="49">
        <v>16.176470588235293</v>
      </c>
      <c r="AT303" s="48">
        <v>0</v>
      </c>
      <c r="AU303" s="49">
        <v>0</v>
      </c>
      <c r="AV303" s="48">
        <v>53</v>
      </c>
      <c r="AW303" s="49">
        <v>77.94117647058823</v>
      </c>
      <c r="AX303" s="48">
        <v>68</v>
      </c>
      <c r="AY303" s="48"/>
      <c r="AZ303" s="48"/>
      <c r="BA303" s="48"/>
      <c r="BB303" s="48"/>
      <c r="BC303" s="2"/>
      <c r="BD303" s="3"/>
      <c r="BE303" s="3"/>
      <c r="BF303" s="3"/>
      <c r="BG303" s="3"/>
    </row>
    <row r="304" spans="1:59" ht="15">
      <c r="A304" s="66" t="s">
        <v>622</v>
      </c>
      <c r="B304" s="67"/>
      <c r="C304" s="67"/>
      <c r="D304" s="68">
        <v>242.90351677249322</v>
      </c>
      <c r="E304" s="70"/>
      <c r="F304" s="96" t="str">
        <f>HYPERLINK("https://i.ytimg.com/vi/oqtfqVsFaqc/default.jpg")</f>
        <v>https://i.ytimg.com/vi/oqtfqVsFaqc/default.jpg</v>
      </c>
      <c r="G304" s="67"/>
      <c r="H304" s="71" t="s">
        <v>964</v>
      </c>
      <c r="I304" s="72"/>
      <c r="J304" s="72" t="s">
        <v>159</v>
      </c>
      <c r="K304" s="71" t="s">
        <v>964</v>
      </c>
      <c r="L304" s="75">
        <v>1250.75</v>
      </c>
      <c r="M304" s="76">
        <v>6121.2705078125</v>
      </c>
      <c r="N304" s="76">
        <v>3708.8017578125</v>
      </c>
      <c r="O304" s="77"/>
      <c r="P304" s="78"/>
      <c r="Q304" s="78"/>
      <c r="R304" s="82"/>
      <c r="S304" s="48">
        <v>1</v>
      </c>
      <c r="T304" s="48">
        <v>0</v>
      </c>
      <c r="U304" s="49">
        <v>0</v>
      </c>
      <c r="V304" s="49">
        <v>0.000968</v>
      </c>
      <c r="W304" s="49">
        <v>0.002101</v>
      </c>
      <c r="X304" s="49">
        <v>0.444569</v>
      </c>
      <c r="Y304" s="49">
        <v>0</v>
      </c>
      <c r="Z304" s="49">
        <v>0</v>
      </c>
      <c r="AA304" s="73">
        <v>304</v>
      </c>
      <c r="AB304" s="73"/>
      <c r="AC304" s="74"/>
      <c r="AD304" s="80" t="s">
        <v>964</v>
      </c>
      <c r="AE304" s="80" t="s">
        <v>1292</v>
      </c>
      <c r="AF304" s="80" t="s">
        <v>1604</v>
      </c>
      <c r="AG304" s="80" t="s">
        <v>1662</v>
      </c>
      <c r="AH304" s="80" t="s">
        <v>2016</v>
      </c>
      <c r="AI304" s="80">
        <v>1835675</v>
      </c>
      <c r="AJ304" s="80">
        <v>4457</v>
      </c>
      <c r="AK304" s="80">
        <v>61660</v>
      </c>
      <c r="AL304" s="80">
        <v>1324</v>
      </c>
      <c r="AM304" s="80" t="s">
        <v>2047</v>
      </c>
      <c r="AN304" s="98" t="str">
        <f>HYPERLINK("https://www.youtube.com/watch?v=oqtfqVsFaqc")</f>
        <v>https://www.youtube.com/watch?v=oqtfqVsFaqc</v>
      </c>
      <c r="AO304" s="80" t="str">
        <f>REPLACE(INDEX(GroupVertices[Group],MATCH(Vertices[[#This Row],[Vertex]],GroupVertices[Vertex],0)),1,1,"")</f>
        <v>4</v>
      </c>
      <c r="AP304" s="48">
        <v>3</v>
      </c>
      <c r="AQ304" s="49">
        <v>7.894736842105263</v>
      </c>
      <c r="AR304" s="48">
        <v>1</v>
      </c>
      <c r="AS304" s="49">
        <v>2.6315789473684212</v>
      </c>
      <c r="AT304" s="48">
        <v>0</v>
      </c>
      <c r="AU304" s="49">
        <v>0</v>
      </c>
      <c r="AV304" s="48">
        <v>34</v>
      </c>
      <c r="AW304" s="49">
        <v>89.47368421052632</v>
      </c>
      <c r="AX304" s="48">
        <v>38</v>
      </c>
      <c r="AY304" s="48"/>
      <c r="AZ304" s="48"/>
      <c r="BA304" s="48"/>
      <c r="BB304" s="48"/>
      <c r="BC304" s="2"/>
      <c r="BD304" s="3"/>
      <c r="BE304" s="3"/>
      <c r="BF304" s="3"/>
      <c r="BG304" s="3"/>
    </row>
    <row r="305" spans="1:59" ht="15">
      <c r="A305" s="66" t="s">
        <v>623</v>
      </c>
      <c r="B305" s="67"/>
      <c r="C305" s="67"/>
      <c r="D305" s="68">
        <v>475.7108465931206</v>
      </c>
      <c r="E305" s="70"/>
      <c r="F305" s="96" t="str">
        <f>HYPERLINK("https://i.ytimg.com/vi/_X8XtZZYkNA/default.jpg")</f>
        <v>https://i.ytimg.com/vi/_X8XtZZYkNA/default.jpg</v>
      </c>
      <c r="G305" s="67"/>
      <c r="H305" s="71" t="s">
        <v>965</v>
      </c>
      <c r="I305" s="72"/>
      <c r="J305" s="72" t="s">
        <v>159</v>
      </c>
      <c r="K305" s="71" t="s">
        <v>965</v>
      </c>
      <c r="L305" s="75">
        <v>1250.75</v>
      </c>
      <c r="M305" s="76">
        <v>6829.41650390625</v>
      </c>
      <c r="N305" s="76">
        <v>3670.58642578125</v>
      </c>
      <c r="O305" s="77"/>
      <c r="P305" s="78"/>
      <c r="Q305" s="78"/>
      <c r="R305" s="82"/>
      <c r="S305" s="48">
        <v>1</v>
      </c>
      <c r="T305" s="48">
        <v>0</v>
      </c>
      <c r="U305" s="49">
        <v>0</v>
      </c>
      <c r="V305" s="49">
        <v>0.000968</v>
      </c>
      <c r="W305" s="49">
        <v>0.002101</v>
      </c>
      <c r="X305" s="49">
        <v>0.444569</v>
      </c>
      <c r="Y305" s="49">
        <v>0</v>
      </c>
      <c r="Z305" s="49">
        <v>0</v>
      </c>
      <c r="AA305" s="73">
        <v>305</v>
      </c>
      <c r="AB305" s="73"/>
      <c r="AC305" s="74"/>
      <c r="AD305" s="80" t="s">
        <v>965</v>
      </c>
      <c r="AE305" s="80" t="s">
        <v>1293</v>
      </c>
      <c r="AF305" s="80" t="s">
        <v>1605</v>
      </c>
      <c r="AG305" s="80" t="s">
        <v>1662</v>
      </c>
      <c r="AH305" s="80" t="s">
        <v>2017</v>
      </c>
      <c r="AI305" s="80">
        <v>4449246</v>
      </c>
      <c r="AJ305" s="80">
        <v>12144</v>
      </c>
      <c r="AK305" s="80">
        <v>69580</v>
      </c>
      <c r="AL305" s="80">
        <v>8016</v>
      </c>
      <c r="AM305" s="80" t="s">
        <v>2047</v>
      </c>
      <c r="AN305" s="98" t="str">
        <f>HYPERLINK("https://www.youtube.com/watch?v=_X8XtZZYkNA")</f>
        <v>https://www.youtube.com/watch?v=_X8XtZZYkNA</v>
      </c>
      <c r="AO305" s="80" t="str">
        <f>REPLACE(INDEX(GroupVertices[Group],MATCH(Vertices[[#This Row],[Vertex]],GroupVertices[Vertex],0)),1,1,"")</f>
        <v>4</v>
      </c>
      <c r="AP305" s="48">
        <v>14</v>
      </c>
      <c r="AQ305" s="49">
        <v>18.666666666666668</v>
      </c>
      <c r="AR305" s="48">
        <v>3</v>
      </c>
      <c r="AS305" s="49">
        <v>4</v>
      </c>
      <c r="AT305" s="48">
        <v>0</v>
      </c>
      <c r="AU305" s="49">
        <v>0</v>
      </c>
      <c r="AV305" s="48">
        <v>58</v>
      </c>
      <c r="AW305" s="49">
        <v>77.33333333333333</v>
      </c>
      <c r="AX305" s="48">
        <v>75</v>
      </c>
      <c r="AY305" s="48"/>
      <c r="AZ305" s="48"/>
      <c r="BA305" s="48"/>
      <c r="BB305" s="48"/>
      <c r="BC305" s="2"/>
      <c r="BD305" s="3"/>
      <c r="BE305" s="3"/>
      <c r="BF305" s="3"/>
      <c r="BG305" s="3"/>
    </row>
    <row r="306" spans="1:59" ht="15">
      <c r="A306" s="66" t="s">
        <v>624</v>
      </c>
      <c r="B306" s="67"/>
      <c r="C306" s="67"/>
      <c r="D306" s="68">
        <v>1000</v>
      </c>
      <c r="E306" s="70"/>
      <c r="F306" s="96" t="str">
        <f>HYPERLINK("https://i.ytimg.com/vi/OTYfke545vI/default.jpg")</f>
        <v>https://i.ytimg.com/vi/OTYfke545vI/default.jpg</v>
      </c>
      <c r="G306" s="67"/>
      <c r="H306" s="71" t="s">
        <v>966</v>
      </c>
      <c r="I306" s="72"/>
      <c r="J306" s="72" t="s">
        <v>159</v>
      </c>
      <c r="K306" s="71" t="s">
        <v>966</v>
      </c>
      <c r="L306" s="75">
        <v>1250.75</v>
      </c>
      <c r="M306" s="76">
        <v>4593.62939453125</v>
      </c>
      <c r="N306" s="76">
        <v>3876.595703125</v>
      </c>
      <c r="O306" s="77"/>
      <c r="P306" s="78"/>
      <c r="Q306" s="78"/>
      <c r="R306" s="82"/>
      <c r="S306" s="48">
        <v>1</v>
      </c>
      <c r="T306" s="48">
        <v>0</v>
      </c>
      <c r="U306" s="49">
        <v>0</v>
      </c>
      <c r="V306" s="49">
        <v>0.000968</v>
      </c>
      <c r="W306" s="49">
        <v>0.002101</v>
      </c>
      <c r="X306" s="49">
        <v>0.444569</v>
      </c>
      <c r="Y306" s="49">
        <v>0</v>
      </c>
      <c r="Z306" s="49">
        <v>0</v>
      </c>
      <c r="AA306" s="73">
        <v>306</v>
      </c>
      <c r="AB306" s="73"/>
      <c r="AC306" s="74"/>
      <c r="AD306" s="80" t="s">
        <v>966</v>
      </c>
      <c r="AE306" s="80" t="s">
        <v>1294</v>
      </c>
      <c r="AF306" s="80" t="s">
        <v>1606</v>
      </c>
      <c r="AG306" s="80" t="s">
        <v>1662</v>
      </c>
      <c r="AH306" s="80" t="s">
        <v>2018</v>
      </c>
      <c r="AI306" s="80">
        <v>12253998</v>
      </c>
      <c r="AJ306" s="80">
        <v>34742</v>
      </c>
      <c r="AK306" s="80">
        <v>435317</v>
      </c>
      <c r="AL306" s="80">
        <v>12792</v>
      </c>
      <c r="AM306" s="80" t="s">
        <v>2047</v>
      </c>
      <c r="AN306" s="98" t="str">
        <f>HYPERLINK("https://www.youtube.com/watch?v=OTYfke545vI")</f>
        <v>https://www.youtube.com/watch?v=OTYfke545vI</v>
      </c>
      <c r="AO306" s="80" t="str">
        <f>REPLACE(INDEX(GroupVertices[Group],MATCH(Vertices[[#This Row],[Vertex]],GroupVertices[Vertex],0)),1,1,"")</f>
        <v>4</v>
      </c>
      <c r="AP306" s="48">
        <v>3</v>
      </c>
      <c r="AQ306" s="49">
        <v>5.084745762711864</v>
      </c>
      <c r="AR306" s="48">
        <v>7</v>
      </c>
      <c r="AS306" s="49">
        <v>11.864406779661017</v>
      </c>
      <c r="AT306" s="48">
        <v>0</v>
      </c>
      <c r="AU306" s="49">
        <v>0</v>
      </c>
      <c r="AV306" s="48">
        <v>49</v>
      </c>
      <c r="AW306" s="49">
        <v>83.05084745762711</v>
      </c>
      <c r="AX306" s="48">
        <v>59</v>
      </c>
      <c r="AY306" s="48"/>
      <c r="AZ306" s="48"/>
      <c r="BA306" s="48"/>
      <c r="BB306" s="48"/>
      <c r="BC306" s="2"/>
      <c r="BD306" s="3"/>
      <c r="BE306" s="3"/>
      <c r="BF306" s="3"/>
      <c r="BG306" s="3"/>
    </row>
    <row r="307" spans="1:59" ht="15">
      <c r="A307" s="66" t="s">
        <v>625</v>
      </c>
      <c r="B307" s="67"/>
      <c r="C307" s="67"/>
      <c r="D307" s="68">
        <v>1000</v>
      </c>
      <c r="E307" s="70"/>
      <c r="F307" s="96" t="str">
        <f>HYPERLINK("https://i.ytimg.com/vi/Cxqca4RQd_M/default.jpg")</f>
        <v>https://i.ytimg.com/vi/Cxqca4RQd_M/default.jpg</v>
      </c>
      <c r="G307" s="67"/>
      <c r="H307" s="71" t="s">
        <v>967</v>
      </c>
      <c r="I307" s="72"/>
      <c r="J307" s="72" t="s">
        <v>159</v>
      </c>
      <c r="K307" s="71" t="s">
        <v>967</v>
      </c>
      <c r="L307" s="75">
        <v>1250.75</v>
      </c>
      <c r="M307" s="76">
        <v>5597.5224609375</v>
      </c>
      <c r="N307" s="76">
        <v>3355.622802734375</v>
      </c>
      <c r="O307" s="77"/>
      <c r="P307" s="78"/>
      <c r="Q307" s="78"/>
      <c r="R307" s="82"/>
      <c r="S307" s="48">
        <v>1</v>
      </c>
      <c r="T307" s="48">
        <v>0</v>
      </c>
      <c r="U307" s="49">
        <v>0</v>
      </c>
      <c r="V307" s="49">
        <v>0.000968</v>
      </c>
      <c r="W307" s="49">
        <v>0.002101</v>
      </c>
      <c r="X307" s="49">
        <v>0.444569</v>
      </c>
      <c r="Y307" s="49">
        <v>0</v>
      </c>
      <c r="Z307" s="49">
        <v>0</v>
      </c>
      <c r="AA307" s="73">
        <v>307</v>
      </c>
      <c r="AB307" s="73"/>
      <c r="AC307" s="74"/>
      <c r="AD307" s="80" t="s">
        <v>967</v>
      </c>
      <c r="AE307" s="80" t="s">
        <v>1295</v>
      </c>
      <c r="AF307" s="80" t="s">
        <v>1607</v>
      </c>
      <c r="AG307" s="80" t="s">
        <v>1715</v>
      </c>
      <c r="AH307" s="80" t="s">
        <v>2019</v>
      </c>
      <c r="AI307" s="80">
        <v>13173013</v>
      </c>
      <c r="AJ307" s="80">
        <v>17907</v>
      </c>
      <c r="AK307" s="80">
        <v>443318</v>
      </c>
      <c r="AL307" s="80">
        <v>6508</v>
      </c>
      <c r="AM307" s="80" t="s">
        <v>2047</v>
      </c>
      <c r="AN307" s="98" t="str">
        <f>HYPERLINK("https://www.youtube.com/watch?v=Cxqca4RQd_M")</f>
        <v>https://www.youtube.com/watch?v=Cxqca4RQd_M</v>
      </c>
      <c r="AO307" s="80" t="str">
        <f>REPLACE(INDEX(GroupVertices[Group],MATCH(Vertices[[#This Row],[Vertex]],GroupVertices[Vertex],0)),1,1,"")</f>
        <v>4</v>
      </c>
      <c r="AP307" s="48">
        <v>2</v>
      </c>
      <c r="AQ307" s="49">
        <v>2.985074626865672</v>
      </c>
      <c r="AR307" s="48">
        <v>6</v>
      </c>
      <c r="AS307" s="49">
        <v>8.955223880597014</v>
      </c>
      <c r="AT307" s="48">
        <v>0</v>
      </c>
      <c r="AU307" s="49">
        <v>0</v>
      </c>
      <c r="AV307" s="48">
        <v>59</v>
      </c>
      <c r="AW307" s="49">
        <v>88.05970149253731</v>
      </c>
      <c r="AX307" s="48">
        <v>67</v>
      </c>
      <c r="AY307" s="48"/>
      <c r="AZ307" s="48"/>
      <c r="BA307" s="48"/>
      <c r="BB307" s="48"/>
      <c r="BC307" s="2"/>
      <c r="BD307" s="3"/>
      <c r="BE307" s="3"/>
      <c r="BF307" s="3"/>
      <c r="BG307" s="3"/>
    </row>
    <row r="308" spans="1:59" ht="15">
      <c r="A308" s="66" t="s">
        <v>626</v>
      </c>
      <c r="B308" s="67"/>
      <c r="C308" s="67"/>
      <c r="D308" s="68">
        <v>599.9834705302559</v>
      </c>
      <c r="E308" s="70"/>
      <c r="F308" s="96" t="str">
        <f>HYPERLINK("https://i.ytimg.com/vi/tbZVyt65Jmw/default.jpg")</f>
        <v>https://i.ytimg.com/vi/tbZVyt65Jmw/default.jpg</v>
      </c>
      <c r="G308" s="67"/>
      <c r="H308" s="71" t="s">
        <v>968</v>
      </c>
      <c r="I308" s="72"/>
      <c r="J308" s="72" t="s">
        <v>159</v>
      </c>
      <c r="K308" s="71" t="s">
        <v>968</v>
      </c>
      <c r="L308" s="75">
        <v>1250.75</v>
      </c>
      <c r="M308" s="76">
        <v>5986.90966796875</v>
      </c>
      <c r="N308" s="76">
        <v>4366.03369140625</v>
      </c>
      <c r="O308" s="77"/>
      <c r="P308" s="78"/>
      <c r="Q308" s="78"/>
      <c r="R308" s="82"/>
      <c r="S308" s="48">
        <v>1</v>
      </c>
      <c r="T308" s="48">
        <v>0</v>
      </c>
      <c r="U308" s="49">
        <v>0</v>
      </c>
      <c r="V308" s="49">
        <v>0.000968</v>
      </c>
      <c r="W308" s="49">
        <v>0.002101</v>
      </c>
      <c r="X308" s="49">
        <v>0.444569</v>
      </c>
      <c r="Y308" s="49">
        <v>0</v>
      </c>
      <c r="Z308" s="49">
        <v>0</v>
      </c>
      <c r="AA308" s="73">
        <v>308</v>
      </c>
      <c r="AB308" s="73"/>
      <c r="AC308" s="74"/>
      <c r="AD308" s="80" t="s">
        <v>968</v>
      </c>
      <c r="AE308" s="80" t="s">
        <v>1296</v>
      </c>
      <c r="AF308" s="80" t="s">
        <v>1608</v>
      </c>
      <c r="AG308" s="80" t="s">
        <v>1662</v>
      </c>
      <c r="AH308" s="80" t="s">
        <v>2020</v>
      </c>
      <c r="AI308" s="80">
        <v>5844371</v>
      </c>
      <c r="AJ308" s="80">
        <v>5162</v>
      </c>
      <c r="AK308" s="80">
        <v>121679</v>
      </c>
      <c r="AL308" s="80">
        <v>1893</v>
      </c>
      <c r="AM308" s="80" t="s">
        <v>2047</v>
      </c>
      <c r="AN308" s="98" t="str">
        <f>HYPERLINK("https://www.youtube.com/watch?v=tbZVyt65Jmw")</f>
        <v>https://www.youtube.com/watch?v=tbZVyt65Jmw</v>
      </c>
      <c r="AO308" s="80" t="str">
        <f>REPLACE(INDEX(GroupVertices[Group],MATCH(Vertices[[#This Row],[Vertex]],GroupVertices[Vertex],0)),1,1,"")</f>
        <v>4</v>
      </c>
      <c r="AP308" s="48">
        <v>2</v>
      </c>
      <c r="AQ308" s="49">
        <v>3.389830508474576</v>
      </c>
      <c r="AR308" s="48">
        <v>3</v>
      </c>
      <c r="AS308" s="49">
        <v>5.084745762711864</v>
      </c>
      <c r="AT308" s="48">
        <v>0</v>
      </c>
      <c r="AU308" s="49">
        <v>0</v>
      </c>
      <c r="AV308" s="48">
        <v>54</v>
      </c>
      <c r="AW308" s="49">
        <v>91.52542372881356</v>
      </c>
      <c r="AX308" s="48">
        <v>59</v>
      </c>
      <c r="AY308" s="48"/>
      <c r="AZ308" s="48"/>
      <c r="BA308" s="48"/>
      <c r="BB308" s="48"/>
      <c r="BC308" s="2"/>
      <c r="BD308" s="3"/>
      <c r="BE308" s="3"/>
      <c r="BF308" s="3"/>
      <c r="BG308" s="3"/>
    </row>
    <row r="309" spans="1:59" ht="15">
      <c r="A309" s="66" t="s">
        <v>627</v>
      </c>
      <c r="B309" s="67"/>
      <c r="C309" s="67"/>
      <c r="D309" s="68">
        <v>135.73105530284985</v>
      </c>
      <c r="E309" s="70"/>
      <c r="F309" s="96" t="str">
        <f>HYPERLINK("https://i.ytimg.com/vi/7lyLZyePlXs/default.jpg")</f>
        <v>https://i.ytimg.com/vi/7lyLZyePlXs/default.jpg</v>
      </c>
      <c r="G309" s="67"/>
      <c r="H309" s="71" t="s">
        <v>969</v>
      </c>
      <c r="I309" s="72"/>
      <c r="J309" s="72" t="s">
        <v>159</v>
      </c>
      <c r="K309" s="71" t="s">
        <v>969</v>
      </c>
      <c r="L309" s="75">
        <v>1250.75</v>
      </c>
      <c r="M309" s="76">
        <v>4053.12841796875</v>
      </c>
      <c r="N309" s="76">
        <v>3429.11572265625</v>
      </c>
      <c r="O309" s="77"/>
      <c r="P309" s="78"/>
      <c r="Q309" s="78"/>
      <c r="R309" s="82"/>
      <c r="S309" s="48">
        <v>1</v>
      </c>
      <c r="T309" s="48">
        <v>0</v>
      </c>
      <c r="U309" s="49">
        <v>0</v>
      </c>
      <c r="V309" s="49">
        <v>0.000968</v>
      </c>
      <c r="W309" s="49">
        <v>0.002101</v>
      </c>
      <c r="X309" s="49">
        <v>0.444569</v>
      </c>
      <c r="Y309" s="49">
        <v>0</v>
      </c>
      <c r="Z309" s="49">
        <v>0</v>
      </c>
      <c r="AA309" s="73">
        <v>309</v>
      </c>
      <c r="AB309" s="73"/>
      <c r="AC309" s="74"/>
      <c r="AD309" s="80" t="s">
        <v>969</v>
      </c>
      <c r="AE309" s="80" t="s">
        <v>1297</v>
      </c>
      <c r="AF309" s="80" t="s">
        <v>1609</v>
      </c>
      <c r="AG309" s="80" t="s">
        <v>1662</v>
      </c>
      <c r="AH309" s="80" t="s">
        <v>2021</v>
      </c>
      <c r="AI309" s="80">
        <v>632522</v>
      </c>
      <c r="AJ309" s="80">
        <v>2769</v>
      </c>
      <c r="AK309" s="80">
        <v>29865</v>
      </c>
      <c r="AL309" s="80">
        <v>2492</v>
      </c>
      <c r="AM309" s="80" t="s">
        <v>2047</v>
      </c>
      <c r="AN309" s="98" t="str">
        <f>HYPERLINK("https://www.youtube.com/watch?v=7lyLZyePlXs")</f>
        <v>https://www.youtube.com/watch?v=7lyLZyePlXs</v>
      </c>
      <c r="AO309" s="80" t="str">
        <f>REPLACE(INDEX(GroupVertices[Group],MATCH(Vertices[[#This Row],[Vertex]],GroupVertices[Vertex],0)),1,1,"")</f>
        <v>4</v>
      </c>
      <c r="AP309" s="48">
        <v>3</v>
      </c>
      <c r="AQ309" s="49">
        <v>4.109589041095891</v>
      </c>
      <c r="AR309" s="48">
        <v>10</v>
      </c>
      <c r="AS309" s="49">
        <v>13.698630136986301</v>
      </c>
      <c r="AT309" s="48">
        <v>0</v>
      </c>
      <c r="AU309" s="49">
        <v>0</v>
      </c>
      <c r="AV309" s="48">
        <v>60</v>
      </c>
      <c r="AW309" s="49">
        <v>82.1917808219178</v>
      </c>
      <c r="AX309" s="48">
        <v>73</v>
      </c>
      <c r="AY309" s="48"/>
      <c r="AZ309" s="48"/>
      <c r="BA309" s="48"/>
      <c r="BB309" s="48"/>
      <c r="BC309" s="2"/>
      <c r="BD309" s="3"/>
      <c r="BE309" s="3"/>
      <c r="BF309" s="3"/>
      <c r="BG309" s="3"/>
    </row>
    <row r="310" spans="1:59" ht="15">
      <c r="A310" s="66" t="s">
        <v>628</v>
      </c>
      <c r="B310" s="67"/>
      <c r="C310" s="67"/>
      <c r="D310" s="68">
        <v>343.34145089860596</v>
      </c>
      <c r="E310" s="70"/>
      <c r="F310" s="96" t="str">
        <f>HYPERLINK("https://i.ytimg.com/vi/n7bZbBFYnfo/default.jpg")</f>
        <v>https://i.ytimg.com/vi/n7bZbBFYnfo/default.jpg</v>
      </c>
      <c r="G310" s="67"/>
      <c r="H310" s="71" t="s">
        <v>970</v>
      </c>
      <c r="I310" s="72"/>
      <c r="J310" s="72" t="s">
        <v>159</v>
      </c>
      <c r="K310" s="71" t="s">
        <v>970</v>
      </c>
      <c r="L310" s="75">
        <v>1250.75</v>
      </c>
      <c r="M310" s="76">
        <v>3451.059814453125</v>
      </c>
      <c r="N310" s="76">
        <v>4401.75537109375</v>
      </c>
      <c r="O310" s="77"/>
      <c r="P310" s="78"/>
      <c r="Q310" s="78"/>
      <c r="R310" s="82"/>
      <c r="S310" s="48">
        <v>1</v>
      </c>
      <c r="T310" s="48">
        <v>0</v>
      </c>
      <c r="U310" s="49">
        <v>0</v>
      </c>
      <c r="V310" s="49">
        <v>0.000968</v>
      </c>
      <c r="W310" s="49">
        <v>0.002101</v>
      </c>
      <c r="X310" s="49">
        <v>0.444569</v>
      </c>
      <c r="Y310" s="49">
        <v>0</v>
      </c>
      <c r="Z310" s="49">
        <v>0</v>
      </c>
      <c r="AA310" s="73">
        <v>310</v>
      </c>
      <c r="AB310" s="73"/>
      <c r="AC310" s="74"/>
      <c r="AD310" s="80" t="s">
        <v>970</v>
      </c>
      <c r="AE310" s="80" t="s">
        <v>1298</v>
      </c>
      <c r="AF310" s="80" t="s">
        <v>1610</v>
      </c>
      <c r="AG310" s="80" t="s">
        <v>1662</v>
      </c>
      <c r="AH310" s="80" t="s">
        <v>2022</v>
      </c>
      <c r="AI310" s="80">
        <v>2963224</v>
      </c>
      <c r="AJ310" s="80">
        <v>6899</v>
      </c>
      <c r="AK310" s="80">
        <v>55426</v>
      </c>
      <c r="AL310" s="80">
        <v>1828</v>
      </c>
      <c r="AM310" s="80" t="s">
        <v>2047</v>
      </c>
      <c r="AN310" s="98" t="str">
        <f>HYPERLINK("https://www.youtube.com/watch?v=n7bZbBFYnfo")</f>
        <v>https://www.youtube.com/watch?v=n7bZbBFYnfo</v>
      </c>
      <c r="AO310" s="80" t="str">
        <f>REPLACE(INDEX(GroupVertices[Group],MATCH(Vertices[[#This Row],[Vertex]],GroupVertices[Vertex],0)),1,1,"")</f>
        <v>4</v>
      </c>
      <c r="AP310" s="48">
        <v>1</v>
      </c>
      <c r="AQ310" s="49">
        <v>1.694915254237288</v>
      </c>
      <c r="AR310" s="48">
        <v>7</v>
      </c>
      <c r="AS310" s="49">
        <v>11.864406779661017</v>
      </c>
      <c r="AT310" s="48">
        <v>0</v>
      </c>
      <c r="AU310" s="49">
        <v>0</v>
      </c>
      <c r="AV310" s="48">
        <v>51</v>
      </c>
      <c r="AW310" s="49">
        <v>86.44067796610169</v>
      </c>
      <c r="AX310" s="48">
        <v>59</v>
      </c>
      <c r="AY310" s="48"/>
      <c r="AZ310" s="48"/>
      <c r="BA310" s="48"/>
      <c r="BB310" s="48"/>
      <c r="BC310" s="2"/>
      <c r="BD310" s="3"/>
      <c r="BE310" s="3"/>
      <c r="BF310" s="3"/>
      <c r="BG310" s="3"/>
    </row>
    <row r="311" spans="1:59" ht="15">
      <c r="A311" s="66" t="s">
        <v>629</v>
      </c>
      <c r="B311" s="67"/>
      <c r="C311" s="67"/>
      <c r="D311" s="68">
        <v>201.25810255784637</v>
      </c>
      <c r="E311" s="70"/>
      <c r="F311" s="96" t="str">
        <f>HYPERLINK("https://i.ytimg.com/vi/Oj5hAazXcs8/default.jpg")</f>
        <v>https://i.ytimg.com/vi/Oj5hAazXcs8/default.jpg</v>
      </c>
      <c r="G311" s="67"/>
      <c r="H311" s="71" t="s">
        <v>971</v>
      </c>
      <c r="I311" s="72"/>
      <c r="J311" s="72" t="s">
        <v>159</v>
      </c>
      <c r="K311" s="71" t="s">
        <v>971</v>
      </c>
      <c r="L311" s="75">
        <v>1250.75</v>
      </c>
      <c r="M311" s="76">
        <v>3622.7587890625</v>
      </c>
      <c r="N311" s="76">
        <v>5165.74609375</v>
      </c>
      <c r="O311" s="77"/>
      <c r="P311" s="78"/>
      <c r="Q311" s="78"/>
      <c r="R311" s="82"/>
      <c r="S311" s="48">
        <v>1</v>
      </c>
      <c r="T311" s="48">
        <v>0</v>
      </c>
      <c r="U311" s="49">
        <v>0</v>
      </c>
      <c r="V311" s="49">
        <v>0.000968</v>
      </c>
      <c r="W311" s="49">
        <v>0.002101</v>
      </c>
      <c r="X311" s="49">
        <v>0.444569</v>
      </c>
      <c r="Y311" s="49">
        <v>0</v>
      </c>
      <c r="Z311" s="49">
        <v>0</v>
      </c>
      <c r="AA311" s="73">
        <v>311</v>
      </c>
      <c r="AB311" s="73"/>
      <c r="AC311" s="74"/>
      <c r="AD311" s="80" t="s">
        <v>971</v>
      </c>
      <c r="AE311" s="80" t="s">
        <v>1299</v>
      </c>
      <c r="AF311" s="80" t="s">
        <v>1611</v>
      </c>
      <c r="AG311" s="80" t="s">
        <v>1662</v>
      </c>
      <c r="AH311" s="80" t="s">
        <v>2023</v>
      </c>
      <c r="AI311" s="80">
        <v>1368150</v>
      </c>
      <c r="AJ311" s="80">
        <v>2973</v>
      </c>
      <c r="AK311" s="80">
        <v>34282</v>
      </c>
      <c r="AL311" s="80">
        <v>461</v>
      </c>
      <c r="AM311" s="80" t="s">
        <v>2047</v>
      </c>
      <c r="AN311" s="98" t="str">
        <f>HYPERLINK("https://www.youtube.com/watch?v=Oj5hAazXcs8")</f>
        <v>https://www.youtube.com/watch?v=Oj5hAazXcs8</v>
      </c>
      <c r="AO311" s="80" t="str">
        <f>REPLACE(INDEX(GroupVertices[Group],MATCH(Vertices[[#This Row],[Vertex]],GroupVertices[Vertex],0)),1,1,"")</f>
        <v>4</v>
      </c>
      <c r="AP311" s="48">
        <v>1</v>
      </c>
      <c r="AQ311" s="49">
        <v>1.4705882352941178</v>
      </c>
      <c r="AR311" s="48">
        <v>12</v>
      </c>
      <c r="AS311" s="49">
        <v>17.647058823529413</v>
      </c>
      <c r="AT311" s="48">
        <v>0</v>
      </c>
      <c r="AU311" s="49">
        <v>0</v>
      </c>
      <c r="AV311" s="48">
        <v>55</v>
      </c>
      <c r="AW311" s="49">
        <v>80.88235294117646</v>
      </c>
      <c r="AX311" s="48">
        <v>68</v>
      </c>
      <c r="AY311" s="48"/>
      <c r="AZ311" s="48"/>
      <c r="BA311" s="48"/>
      <c r="BB311" s="48"/>
      <c r="BC311" s="2"/>
      <c r="BD311" s="3"/>
      <c r="BE311" s="3"/>
      <c r="BF311" s="3"/>
      <c r="BG311" s="3"/>
    </row>
    <row r="312" spans="1:59" ht="15">
      <c r="A312" s="66" t="s">
        <v>630</v>
      </c>
      <c r="B312" s="67"/>
      <c r="C312" s="67"/>
      <c r="D312" s="68">
        <v>344.8905774663979</v>
      </c>
      <c r="E312" s="70"/>
      <c r="F312" s="96" t="str">
        <f>HYPERLINK("https://i.ytimg.com/vi/JDy95_eNPzM/default.jpg")</f>
        <v>https://i.ytimg.com/vi/JDy95_eNPzM/default.jpg</v>
      </c>
      <c r="G312" s="67"/>
      <c r="H312" s="71" t="s">
        <v>972</v>
      </c>
      <c r="I312" s="72"/>
      <c r="J312" s="72" t="s">
        <v>159</v>
      </c>
      <c r="K312" s="71" t="s">
        <v>972</v>
      </c>
      <c r="L312" s="75">
        <v>1250.75</v>
      </c>
      <c r="M312" s="76">
        <v>4396.66357421875</v>
      </c>
      <c r="N312" s="76">
        <v>5201.76171875</v>
      </c>
      <c r="O312" s="77"/>
      <c r="P312" s="78"/>
      <c r="Q312" s="78"/>
      <c r="R312" s="82"/>
      <c r="S312" s="48">
        <v>1</v>
      </c>
      <c r="T312" s="48">
        <v>0</v>
      </c>
      <c r="U312" s="49">
        <v>0</v>
      </c>
      <c r="V312" s="49">
        <v>0.000968</v>
      </c>
      <c r="W312" s="49">
        <v>0.002101</v>
      </c>
      <c r="X312" s="49">
        <v>0.444569</v>
      </c>
      <c r="Y312" s="49">
        <v>0</v>
      </c>
      <c r="Z312" s="49">
        <v>0</v>
      </c>
      <c r="AA312" s="73">
        <v>312</v>
      </c>
      <c r="AB312" s="73"/>
      <c r="AC312" s="74"/>
      <c r="AD312" s="80" t="s">
        <v>972</v>
      </c>
      <c r="AE312" s="80" t="s">
        <v>1300</v>
      </c>
      <c r="AF312" s="80" t="s">
        <v>1612</v>
      </c>
      <c r="AG312" s="80" t="s">
        <v>1716</v>
      </c>
      <c r="AH312" s="80" t="s">
        <v>2024</v>
      </c>
      <c r="AI312" s="80">
        <v>2980615</v>
      </c>
      <c r="AJ312" s="80">
        <v>56703</v>
      </c>
      <c r="AK312" s="80">
        <v>90595</v>
      </c>
      <c r="AL312" s="80">
        <v>10315</v>
      </c>
      <c r="AM312" s="80" t="s">
        <v>2047</v>
      </c>
      <c r="AN312" s="98" t="str">
        <f>HYPERLINK("https://www.youtube.com/watch?v=JDy95_eNPzM")</f>
        <v>https://www.youtube.com/watch?v=JDy95_eNPzM</v>
      </c>
      <c r="AO312" s="80" t="str">
        <f>REPLACE(INDEX(GroupVertices[Group],MATCH(Vertices[[#This Row],[Vertex]],GroupVertices[Vertex],0)),1,1,"")</f>
        <v>4</v>
      </c>
      <c r="AP312" s="48">
        <v>0</v>
      </c>
      <c r="AQ312" s="49">
        <v>0</v>
      </c>
      <c r="AR312" s="48">
        <v>1</v>
      </c>
      <c r="AS312" s="49">
        <v>3.225806451612903</v>
      </c>
      <c r="AT312" s="48">
        <v>0</v>
      </c>
      <c r="AU312" s="49">
        <v>0</v>
      </c>
      <c r="AV312" s="48">
        <v>30</v>
      </c>
      <c r="AW312" s="49">
        <v>96.7741935483871</v>
      </c>
      <c r="AX312" s="48">
        <v>31</v>
      </c>
      <c r="AY312" s="48"/>
      <c r="AZ312" s="48"/>
      <c r="BA312" s="48"/>
      <c r="BB312" s="48"/>
      <c r="BC312" s="2"/>
      <c r="BD312" s="3"/>
      <c r="BE312" s="3"/>
      <c r="BF312" s="3"/>
      <c r="BG312" s="3"/>
    </row>
    <row r="313" spans="1:59" ht="15">
      <c r="A313" s="66" t="s">
        <v>631</v>
      </c>
      <c r="B313" s="67"/>
      <c r="C313" s="67"/>
      <c r="D313" s="68">
        <v>767.0168334911534</v>
      </c>
      <c r="E313" s="70"/>
      <c r="F313" s="96" t="str">
        <f>HYPERLINK("https://i.ytimg.com/vi/Agdvt9M3NJA/default.jpg")</f>
        <v>https://i.ytimg.com/vi/Agdvt9M3NJA/default.jpg</v>
      </c>
      <c r="G313" s="67"/>
      <c r="H313" s="71" t="s">
        <v>973</v>
      </c>
      <c r="I313" s="72"/>
      <c r="J313" s="72" t="s">
        <v>159</v>
      </c>
      <c r="K313" s="71" t="s">
        <v>973</v>
      </c>
      <c r="L313" s="75">
        <v>1250.75</v>
      </c>
      <c r="M313" s="76">
        <v>6326.31640625</v>
      </c>
      <c r="N313" s="76">
        <v>5623.396484375</v>
      </c>
      <c r="O313" s="77"/>
      <c r="P313" s="78"/>
      <c r="Q313" s="78"/>
      <c r="R313" s="82"/>
      <c r="S313" s="48">
        <v>1</v>
      </c>
      <c r="T313" s="48">
        <v>0</v>
      </c>
      <c r="U313" s="49">
        <v>0</v>
      </c>
      <c r="V313" s="49">
        <v>0.000968</v>
      </c>
      <c r="W313" s="49">
        <v>0.002101</v>
      </c>
      <c r="X313" s="49">
        <v>0.444569</v>
      </c>
      <c r="Y313" s="49">
        <v>0</v>
      </c>
      <c r="Z313" s="49">
        <v>0</v>
      </c>
      <c r="AA313" s="73">
        <v>313</v>
      </c>
      <c r="AB313" s="73"/>
      <c r="AC313" s="74"/>
      <c r="AD313" s="80" t="s">
        <v>973</v>
      </c>
      <c r="AE313" s="80" t="s">
        <v>1301</v>
      </c>
      <c r="AF313" s="80" t="s">
        <v>1613</v>
      </c>
      <c r="AG313" s="80" t="s">
        <v>1662</v>
      </c>
      <c r="AH313" s="80" t="s">
        <v>2025</v>
      </c>
      <c r="AI313" s="80">
        <v>7719542</v>
      </c>
      <c r="AJ313" s="80">
        <v>29614</v>
      </c>
      <c r="AK313" s="80">
        <v>156058</v>
      </c>
      <c r="AL313" s="80">
        <v>4964</v>
      </c>
      <c r="AM313" s="80" t="s">
        <v>2047</v>
      </c>
      <c r="AN313" s="98" t="str">
        <f>HYPERLINK("https://www.youtube.com/watch?v=Agdvt9M3NJA")</f>
        <v>https://www.youtube.com/watch?v=Agdvt9M3NJA</v>
      </c>
      <c r="AO313" s="80" t="str">
        <f>REPLACE(INDEX(GroupVertices[Group],MATCH(Vertices[[#This Row],[Vertex]],GroupVertices[Vertex],0)),1,1,"")</f>
        <v>4</v>
      </c>
      <c r="AP313" s="48">
        <v>0</v>
      </c>
      <c r="AQ313" s="49">
        <v>0</v>
      </c>
      <c r="AR313" s="48">
        <v>0</v>
      </c>
      <c r="AS313" s="49">
        <v>0</v>
      </c>
      <c r="AT313" s="48">
        <v>0</v>
      </c>
      <c r="AU313" s="49">
        <v>0</v>
      </c>
      <c r="AV313" s="48">
        <v>29</v>
      </c>
      <c r="AW313" s="49">
        <v>100</v>
      </c>
      <c r="AX313" s="48">
        <v>29</v>
      </c>
      <c r="AY313" s="48"/>
      <c r="AZ313" s="48"/>
      <c r="BA313" s="48"/>
      <c r="BB313" s="48"/>
      <c r="BC313" s="2"/>
      <c r="BD313" s="3"/>
      <c r="BE313" s="3"/>
      <c r="BF313" s="3"/>
      <c r="BG313" s="3"/>
    </row>
    <row r="314" spans="1:59" ht="15">
      <c r="A314" s="66" t="s">
        <v>632</v>
      </c>
      <c r="B314" s="67"/>
      <c r="C314" s="67"/>
      <c r="D314" s="68">
        <v>173.12574674048383</v>
      </c>
      <c r="E314" s="70"/>
      <c r="F314" s="96" t="str">
        <f>HYPERLINK("https://i.ytimg.com/vi/YvZdXRP6Tig/default.jpg")</f>
        <v>https://i.ytimg.com/vi/YvZdXRP6Tig/default.jpg</v>
      </c>
      <c r="G314" s="67"/>
      <c r="H314" s="71" t="s">
        <v>974</v>
      </c>
      <c r="I314" s="72"/>
      <c r="J314" s="72" t="s">
        <v>159</v>
      </c>
      <c r="K314" s="71" t="s">
        <v>974</v>
      </c>
      <c r="L314" s="75">
        <v>1250.75</v>
      </c>
      <c r="M314" s="76">
        <v>3731.55419921875</v>
      </c>
      <c r="N314" s="76">
        <v>3667.43212890625</v>
      </c>
      <c r="O314" s="77"/>
      <c r="P314" s="78"/>
      <c r="Q314" s="78"/>
      <c r="R314" s="82"/>
      <c r="S314" s="48">
        <v>1</v>
      </c>
      <c r="T314" s="48">
        <v>0</v>
      </c>
      <c r="U314" s="49">
        <v>0</v>
      </c>
      <c r="V314" s="49">
        <v>0.000968</v>
      </c>
      <c r="W314" s="49">
        <v>0.002101</v>
      </c>
      <c r="X314" s="49">
        <v>0.444569</v>
      </c>
      <c r="Y314" s="49">
        <v>0</v>
      </c>
      <c r="Z314" s="49">
        <v>0</v>
      </c>
      <c r="AA314" s="73">
        <v>314</v>
      </c>
      <c r="AB314" s="73"/>
      <c r="AC314" s="74"/>
      <c r="AD314" s="80" t="s">
        <v>974</v>
      </c>
      <c r="AE314" s="80" t="s">
        <v>1302</v>
      </c>
      <c r="AF314" s="80" t="s">
        <v>1614</v>
      </c>
      <c r="AG314" s="80" t="s">
        <v>1662</v>
      </c>
      <c r="AH314" s="80" t="s">
        <v>2026</v>
      </c>
      <c r="AI314" s="80">
        <v>1052327</v>
      </c>
      <c r="AJ314" s="80">
        <v>8032</v>
      </c>
      <c r="AK314" s="80">
        <v>43686</v>
      </c>
      <c r="AL314" s="80">
        <v>2948</v>
      </c>
      <c r="AM314" s="80" t="s">
        <v>2047</v>
      </c>
      <c r="AN314" s="98" t="str">
        <f>HYPERLINK("https://www.youtube.com/watch?v=YvZdXRP6Tig")</f>
        <v>https://www.youtube.com/watch?v=YvZdXRP6Tig</v>
      </c>
      <c r="AO314" s="80" t="str">
        <f>REPLACE(INDEX(GroupVertices[Group],MATCH(Vertices[[#This Row],[Vertex]],GroupVertices[Vertex],0)),1,1,"")</f>
        <v>4</v>
      </c>
      <c r="AP314" s="48">
        <v>5</v>
      </c>
      <c r="AQ314" s="49">
        <v>8.474576271186441</v>
      </c>
      <c r="AR314" s="48">
        <v>1</v>
      </c>
      <c r="AS314" s="49">
        <v>1.694915254237288</v>
      </c>
      <c r="AT314" s="48">
        <v>0</v>
      </c>
      <c r="AU314" s="49">
        <v>0</v>
      </c>
      <c r="AV314" s="48">
        <v>53</v>
      </c>
      <c r="AW314" s="49">
        <v>89.83050847457628</v>
      </c>
      <c r="AX314" s="48">
        <v>59</v>
      </c>
      <c r="AY314" s="48"/>
      <c r="AZ314" s="48"/>
      <c r="BA314" s="48"/>
      <c r="BB314" s="48"/>
      <c r="BC314" s="2"/>
      <c r="BD314" s="3"/>
      <c r="BE314" s="3"/>
      <c r="BF314" s="3"/>
      <c r="BG314" s="3"/>
    </row>
    <row r="315" spans="1:59" ht="15">
      <c r="A315" s="66" t="s">
        <v>633</v>
      </c>
      <c r="B315" s="67"/>
      <c r="C315" s="67"/>
      <c r="D315" s="68">
        <v>862.0054336565255</v>
      </c>
      <c r="E315" s="70"/>
      <c r="F315" s="96" t="str">
        <f>HYPERLINK("https://i.ytimg.com/vi/guh7i7tHeZk/default.jpg")</f>
        <v>https://i.ytimg.com/vi/guh7i7tHeZk/default.jpg</v>
      </c>
      <c r="G315" s="67"/>
      <c r="H315" s="71" t="s">
        <v>975</v>
      </c>
      <c r="I315" s="72"/>
      <c r="J315" s="72" t="s">
        <v>159</v>
      </c>
      <c r="K315" s="71" t="s">
        <v>975</v>
      </c>
      <c r="L315" s="75">
        <v>1250.75</v>
      </c>
      <c r="M315" s="76">
        <v>5523.29296875</v>
      </c>
      <c r="N315" s="76">
        <v>5554.47705078125</v>
      </c>
      <c r="O315" s="77"/>
      <c r="P315" s="78"/>
      <c r="Q315" s="78"/>
      <c r="R315" s="82"/>
      <c r="S315" s="48">
        <v>1</v>
      </c>
      <c r="T315" s="48">
        <v>0</v>
      </c>
      <c r="U315" s="49">
        <v>0</v>
      </c>
      <c r="V315" s="49">
        <v>0.000968</v>
      </c>
      <c r="W315" s="49">
        <v>0.002101</v>
      </c>
      <c r="X315" s="49">
        <v>0.444569</v>
      </c>
      <c r="Y315" s="49">
        <v>0</v>
      </c>
      <c r="Z315" s="49">
        <v>0</v>
      </c>
      <c r="AA315" s="73">
        <v>315</v>
      </c>
      <c r="AB315" s="73"/>
      <c r="AC315" s="74"/>
      <c r="AD315" s="80" t="s">
        <v>975</v>
      </c>
      <c r="AE315" s="80" t="s">
        <v>1303</v>
      </c>
      <c r="AF315" s="80" t="s">
        <v>1615</v>
      </c>
      <c r="AG315" s="80" t="s">
        <v>1662</v>
      </c>
      <c r="AH315" s="80" t="s">
        <v>2027</v>
      </c>
      <c r="AI315" s="80">
        <v>8785915</v>
      </c>
      <c r="AJ315" s="80">
        <v>9254</v>
      </c>
      <c r="AK315" s="80">
        <v>111858</v>
      </c>
      <c r="AL315" s="80">
        <v>1915</v>
      </c>
      <c r="AM315" s="80" t="s">
        <v>2047</v>
      </c>
      <c r="AN315" s="98" t="str">
        <f>HYPERLINK("https://www.youtube.com/watch?v=guh7i7tHeZk")</f>
        <v>https://www.youtube.com/watch?v=guh7i7tHeZk</v>
      </c>
      <c r="AO315" s="80" t="str">
        <f>REPLACE(INDEX(GroupVertices[Group],MATCH(Vertices[[#This Row],[Vertex]],GroupVertices[Vertex],0)),1,1,"")</f>
        <v>4</v>
      </c>
      <c r="AP315" s="48">
        <v>1</v>
      </c>
      <c r="AQ315" s="49">
        <v>2.9411764705882355</v>
      </c>
      <c r="AR315" s="48">
        <v>5</v>
      </c>
      <c r="AS315" s="49">
        <v>14.705882352941176</v>
      </c>
      <c r="AT315" s="48">
        <v>0</v>
      </c>
      <c r="AU315" s="49">
        <v>0</v>
      </c>
      <c r="AV315" s="48">
        <v>28</v>
      </c>
      <c r="AW315" s="49">
        <v>82.3529411764706</v>
      </c>
      <c r="AX315" s="48">
        <v>34</v>
      </c>
      <c r="AY315" s="48"/>
      <c r="AZ315" s="48"/>
      <c r="BA315" s="48"/>
      <c r="BB315" s="48"/>
      <c r="BC315" s="2"/>
      <c r="BD315" s="3"/>
      <c r="BE315" s="3"/>
      <c r="BF315" s="3"/>
      <c r="BG315" s="3"/>
    </row>
    <row r="316" spans="1:59" ht="15">
      <c r="A316" s="66" t="s">
        <v>634</v>
      </c>
      <c r="B316" s="67"/>
      <c r="C316" s="67"/>
      <c r="D316" s="68">
        <v>242.38366727277304</v>
      </c>
      <c r="E316" s="70"/>
      <c r="F316" s="96" t="str">
        <f>HYPERLINK("https://i.ytimg.com/vi/KSdU5B_fdVo/default.jpg")</f>
        <v>https://i.ytimg.com/vi/KSdU5B_fdVo/default.jpg</v>
      </c>
      <c r="G316" s="67"/>
      <c r="H316" s="71" t="s">
        <v>976</v>
      </c>
      <c r="I316" s="72"/>
      <c r="J316" s="72" t="s">
        <v>159</v>
      </c>
      <c r="K316" s="71" t="s">
        <v>976</v>
      </c>
      <c r="L316" s="75">
        <v>1250.75</v>
      </c>
      <c r="M316" s="76">
        <v>5458.36279296875</v>
      </c>
      <c r="N316" s="76">
        <v>5953.16162109375</v>
      </c>
      <c r="O316" s="77"/>
      <c r="P316" s="78"/>
      <c r="Q316" s="78"/>
      <c r="R316" s="82"/>
      <c r="S316" s="48">
        <v>1</v>
      </c>
      <c r="T316" s="48">
        <v>0</v>
      </c>
      <c r="U316" s="49">
        <v>0</v>
      </c>
      <c r="V316" s="49">
        <v>0.000968</v>
      </c>
      <c r="W316" s="49">
        <v>0.002101</v>
      </c>
      <c r="X316" s="49">
        <v>0.444569</v>
      </c>
      <c r="Y316" s="49">
        <v>0</v>
      </c>
      <c r="Z316" s="49">
        <v>0</v>
      </c>
      <c r="AA316" s="73">
        <v>316</v>
      </c>
      <c r="AB316" s="73"/>
      <c r="AC316" s="74"/>
      <c r="AD316" s="80" t="s">
        <v>976</v>
      </c>
      <c r="AE316" s="80" t="s">
        <v>1304</v>
      </c>
      <c r="AF316" s="80" t="s">
        <v>1616</v>
      </c>
      <c r="AG316" s="80" t="s">
        <v>1662</v>
      </c>
      <c r="AH316" s="80" t="s">
        <v>2028</v>
      </c>
      <c r="AI316" s="80">
        <v>1829839</v>
      </c>
      <c r="AJ316" s="80">
        <v>2458</v>
      </c>
      <c r="AK316" s="80">
        <v>38862</v>
      </c>
      <c r="AL316" s="80">
        <v>1587</v>
      </c>
      <c r="AM316" s="80" t="s">
        <v>2047</v>
      </c>
      <c r="AN316" s="98" t="str">
        <f>HYPERLINK("https://www.youtube.com/watch?v=KSdU5B_fdVo")</f>
        <v>https://www.youtube.com/watch?v=KSdU5B_fdVo</v>
      </c>
      <c r="AO316" s="80" t="str">
        <f>REPLACE(INDEX(GroupVertices[Group],MATCH(Vertices[[#This Row],[Vertex]],GroupVertices[Vertex],0)),1,1,"")</f>
        <v>4</v>
      </c>
      <c r="AP316" s="48">
        <v>1</v>
      </c>
      <c r="AQ316" s="49">
        <v>1.36986301369863</v>
      </c>
      <c r="AR316" s="48">
        <v>9</v>
      </c>
      <c r="AS316" s="49">
        <v>12.32876712328767</v>
      </c>
      <c r="AT316" s="48">
        <v>0</v>
      </c>
      <c r="AU316" s="49">
        <v>0</v>
      </c>
      <c r="AV316" s="48">
        <v>63</v>
      </c>
      <c r="AW316" s="49">
        <v>86.3013698630137</v>
      </c>
      <c r="AX316" s="48">
        <v>73</v>
      </c>
      <c r="AY316" s="48"/>
      <c r="AZ316" s="48"/>
      <c r="BA316" s="48"/>
      <c r="BB316" s="48"/>
      <c r="BC316" s="2"/>
      <c r="BD316" s="3"/>
      <c r="BE316" s="3"/>
      <c r="BF316" s="3"/>
      <c r="BG316" s="3"/>
    </row>
    <row r="317" spans="1:59" ht="15">
      <c r="A317" s="66" t="s">
        <v>635</v>
      </c>
      <c r="B317" s="67"/>
      <c r="C317" s="67"/>
      <c r="D317" s="68">
        <v>1000</v>
      </c>
      <c r="E317" s="70"/>
      <c r="F317" s="96" t="str">
        <f>HYPERLINK("https://i.ytimg.com/vi/FJeuK1Pl2bQ/default.jpg")</f>
        <v>https://i.ytimg.com/vi/FJeuK1Pl2bQ/default.jpg</v>
      </c>
      <c r="G317" s="67"/>
      <c r="H317" s="71" t="s">
        <v>977</v>
      </c>
      <c r="I317" s="72"/>
      <c r="J317" s="72" t="s">
        <v>159</v>
      </c>
      <c r="K317" s="71" t="s">
        <v>977</v>
      </c>
      <c r="L317" s="75">
        <v>1250.75</v>
      </c>
      <c r="M317" s="76">
        <v>6928.76171875</v>
      </c>
      <c r="N317" s="76">
        <v>5098.36328125</v>
      </c>
      <c r="O317" s="77"/>
      <c r="P317" s="78"/>
      <c r="Q317" s="78"/>
      <c r="R317" s="82"/>
      <c r="S317" s="48">
        <v>1</v>
      </c>
      <c r="T317" s="48">
        <v>0</v>
      </c>
      <c r="U317" s="49">
        <v>0</v>
      </c>
      <c r="V317" s="49">
        <v>0.000968</v>
      </c>
      <c r="W317" s="49">
        <v>0.002101</v>
      </c>
      <c r="X317" s="49">
        <v>0.444569</v>
      </c>
      <c r="Y317" s="49">
        <v>0</v>
      </c>
      <c r="Z317" s="49">
        <v>0</v>
      </c>
      <c r="AA317" s="73">
        <v>317</v>
      </c>
      <c r="AB317" s="73"/>
      <c r="AC317" s="74"/>
      <c r="AD317" s="80" t="s">
        <v>977</v>
      </c>
      <c r="AE317" s="80" t="s">
        <v>1305</v>
      </c>
      <c r="AF317" s="80" t="s">
        <v>1617</v>
      </c>
      <c r="AG317" s="80" t="s">
        <v>1662</v>
      </c>
      <c r="AH317" s="80" t="s">
        <v>2029</v>
      </c>
      <c r="AI317" s="80">
        <v>16181473</v>
      </c>
      <c r="AJ317" s="80">
        <v>47057</v>
      </c>
      <c r="AK317" s="80">
        <v>144434</v>
      </c>
      <c r="AL317" s="80">
        <v>7938</v>
      </c>
      <c r="AM317" s="80" t="s">
        <v>2047</v>
      </c>
      <c r="AN317" s="98" t="str">
        <f>HYPERLINK("https://www.youtube.com/watch?v=FJeuK1Pl2bQ")</f>
        <v>https://www.youtube.com/watch?v=FJeuK1Pl2bQ</v>
      </c>
      <c r="AO317" s="80" t="str">
        <f>REPLACE(INDEX(GroupVertices[Group],MATCH(Vertices[[#This Row],[Vertex]],GroupVertices[Vertex],0)),1,1,"")</f>
        <v>4</v>
      </c>
      <c r="AP317" s="48">
        <v>1</v>
      </c>
      <c r="AQ317" s="49">
        <v>1.36986301369863</v>
      </c>
      <c r="AR317" s="48">
        <v>8</v>
      </c>
      <c r="AS317" s="49">
        <v>10.95890410958904</v>
      </c>
      <c r="AT317" s="48">
        <v>0</v>
      </c>
      <c r="AU317" s="49">
        <v>0</v>
      </c>
      <c r="AV317" s="48">
        <v>64</v>
      </c>
      <c r="AW317" s="49">
        <v>87.67123287671232</v>
      </c>
      <c r="AX317" s="48">
        <v>73</v>
      </c>
      <c r="AY317" s="48"/>
      <c r="AZ317" s="48"/>
      <c r="BA317" s="48"/>
      <c r="BB317" s="48"/>
      <c r="BC317" s="2"/>
      <c r="BD317" s="3"/>
      <c r="BE317" s="3"/>
      <c r="BF317" s="3"/>
      <c r="BG317" s="3"/>
    </row>
    <row r="318" spans="1:59" ht="15">
      <c r="A318" s="66" t="s">
        <v>636</v>
      </c>
      <c r="B318" s="67"/>
      <c r="C318" s="67"/>
      <c r="D318" s="68">
        <v>523.5080507580203</v>
      </c>
      <c r="E318" s="70"/>
      <c r="F318" s="96" t="str">
        <f>HYPERLINK("https://i.ytimg.com/vi/IPrndNZ4m6w/default.jpg")</f>
        <v>https://i.ytimg.com/vi/IPrndNZ4m6w/default.jpg</v>
      </c>
      <c r="G318" s="67"/>
      <c r="H318" s="71" t="s">
        <v>978</v>
      </c>
      <c r="I318" s="72"/>
      <c r="J318" s="72" t="s">
        <v>159</v>
      </c>
      <c r="K318" s="71" t="s">
        <v>978</v>
      </c>
      <c r="L318" s="75">
        <v>1250.75</v>
      </c>
      <c r="M318" s="76">
        <v>7102.1728515625</v>
      </c>
      <c r="N318" s="76">
        <v>4169.216796875</v>
      </c>
      <c r="O318" s="77"/>
      <c r="P318" s="78"/>
      <c r="Q318" s="78"/>
      <c r="R318" s="82"/>
      <c r="S318" s="48">
        <v>1</v>
      </c>
      <c r="T318" s="48">
        <v>0</v>
      </c>
      <c r="U318" s="49">
        <v>0</v>
      </c>
      <c r="V318" s="49">
        <v>0.000968</v>
      </c>
      <c r="W318" s="49">
        <v>0.002101</v>
      </c>
      <c r="X318" s="49">
        <v>0.444569</v>
      </c>
      <c r="Y318" s="49">
        <v>0</v>
      </c>
      <c r="Z318" s="49">
        <v>0</v>
      </c>
      <c r="AA318" s="73">
        <v>318</v>
      </c>
      <c r="AB318" s="73"/>
      <c r="AC318" s="74"/>
      <c r="AD318" s="80" t="s">
        <v>978</v>
      </c>
      <c r="AE318" s="80" t="s">
        <v>1306</v>
      </c>
      <c r="AF318" s="80" t="s">
        <v>1618</v>
      </c>
      <c r="AG318" s="80" t="s">
        <v>1662</v>
      </c>
      <c r="AH318" s="80" t="s">
        <v>2030</v>
      </c>
      <c r="AI318" s="80">
        <v>4985833</v>
      </c>
      <c r="AJ318" s="80">
        <v>5157</v>
      </c>
      <c r="AK318" s="80">
        <v>77998</v>
      </c>
      <c r="AL318" s="80">
        <v>2511</v>
      </c>
      <c r="AM318" s="80" t="s">
        <v>2047</v>
      </c>
      <c r="AN318" s="98" t="str">
        <f>HYPERLINK("https://www.youtube.com/watch?v=IPrndNZ4m6w")</f>
        <v>https://www.youtube.com/watch?v=IPrndNZ4m6w</v>
      </c>
      <c r="AO318" s="80" t="str">
        <f>REPLACE(INDEX(GroupVertices[Group],MATCH(Vertices[[#This Row],[Vertex]],GroupVertices[Vertex],0)),1,1,"")</f>
        <v>4</v>
      </c>
      <c r="AP318" s="48">
        <v>1</v>
      </c>
      <c r="AQ318" s="49">
        <v>1.3513513513513513</v>
      </c>
      <c r="AR318" s="48">
        <v>9</v>
      </c>
      <c r="AS318" s="49">
        <v>12.162162162162161</v>
      </c>
      <c r="AT318" s="48">
        <v>0</v>
      </c>
      <c r="AU318" s="49">
        <v>0</v>
      </c>
      <c r="AV318" s="48">
        <v>64</v>
      </c>
      <c r="AW318" s="49">
        <v>86.48648648648648</v>
      </c>
      <c r="AX318" s="48">
        <v>74</v>
      </c>
      <c r="AY318" s="48"/>
      <c r="AZ318" s="48"/>
      <c r="BA318" s="48"/>
      <c r="BB318" s="48"/>
      <c r="BC318" s="2"/>
      <c r="BD318" s="3"/>
      <c r="BE318" s="3"/>
      <c r="BF318" s="3"/>
      <c r="BG318" s="3"/>
    </row>
    <row r="319" spans="1:59" ht="15">
      <c r="A319" s="66" t="s">
        <v>637</v>
      </c>
      <c r="B319" s="67"/>
      <c r="C319" s="67"/>
      <c r="D319" s="68">
        <v>149.81340056660295</v>
      </c>
      <c r="E319" s="70"/>
      <c r="F319" s="96" t="str">
        <f>HYPERLINK("https://i.ytimg.com/vi/tfVgHRPC7Ao/default.jpg")</f>
        <v>https://i.ytimg.com/vi/tfVgHRPC7Ao/default.jpg</v>
      </c>
      <c r="G319" s="67"/>
      <c r="H319" s="71" t="s">
        <v>979</v>
      </c>
      <c r="I319" s="72"/>
      <c r="J319" s="72" t="s">
        <v>159</v>
      </c>
      <c r="K319" s="71" t="s">
        <v>979</v>
      </c>
      <c r="L319" s="75">
        <v>1250.75</v>
      </c>
      <c r="M319" s="76">
        <v>5397.70068359375</v>
      </c>
      <c r="N319" s="76">
        <v>3897.2412109375</v>
      </c>
      <c r="O319" s="77"/>
      <c r="P319" s="78"/>
      <c r="Q319" s="78"/>
      <c r="R319" s="82"/>
      <c r="S319" s="48">
        <v>1</v>
      </c>
      <c r="T319" s="48">
        <v>0</v>
      </c>
      <c r="U319" s="49">
        <v>0</v>
      </c>
      <c r="V319" s="49">
        <v>0.000968</v>
      </c>
      <c r="W319" s="49">
        <v>0.002101</v>
      </c>
      <c r="X319" s="49">
        <v>0.444569</v>
      </c>
      <c r="Y319" s="49">
        <v>0</v>
      </c>
      <c r="Z319" s="49">
        <v>0</v>
      </c>
      <c r="AA319" s="73">
        <v>319</v>
      </c>
      <c r="AB319" s="73"/>
      <c r="AC319" s="74"/>
      <c r="AD319" s="80" t="s">
        <v>979</v>
      </c>
      <c r="AE319" s="80" t="s">
        <v>1307</v>
      </c>
      <c r="AF319" s="80" t="s">
        <v>1619</v>
      </c>
      <c r="AG319" s="80" t="s">
        <v>1662</v>
      </c>
      <c r="AH319" s="80" t="s">
        <v>2031</v>
      </c>
      <c r="AI319" s="80">
        <v>790615</v>
      </c>
      <c r="AJ319" s="80">
        <v>2373</v>
      </c>
      <c r="AK319" s="80">
        <v>27551</v>
      </c>
      <c r="AL319" s="80">
        <v>1504</v>
      </c>
      <c r="AM319" s="80" t="s">
        <v>2047</v>
      </c>
      <c r="AN319" s="98" t="str">
        <f>HYPERLINK("https://www.youtube.com/watch?v=tfVgHRPC7Ao")</f>
        <v>https://www.youtube.com/watch?v=tfVgHRPC7Ao</v>
      </c>
      <c r="AO319" s="80" t="str">
        <f>REPLACE(INDEX(GroupVertices[Group],MATCH(Vertices[[#This Row],[Vertex]],GroupVertices[Vertex],0)),1,1,"")</f>
        <v>4</v>
      </c>
      <c r="AP319" s="48">
        <v>1</v>
      </c>
      <c r="AQ319" s="49">
        <v>1.8867924528301887</v>
      </c>
      <c r="AR319" s="48">
        <v>1</v>
      </c>
      <c r="AS319" s="49">
        <v>1.8867924528301887</v>
      </c>
      <c r="AT319" s="48">
        <v>0</v>
      </c>
      <c r="AU319" s="49">
        <v>0</v>
      </c>
      <c r="AV319" s="48">
        <v>51</v>
      </c>
      <c r="AW319" s="49">
        <v>96.22641509433963</v>
      </c>
      <c r="AX319" s="48">
        <v>53</v>
      </c>
      <c r="AY319" s="48"/>
      <c r="AZ319" s="48"/>
      <c r="BA319" s="48"/>
      <c r="BB319" s="48"/>
      <c r="BC319" s="2"/>
      <c r="BD319" s="3"/>
      <c r="BE319" s="3"/>
      <c r="BF319" s="3"/>
      <c r="BG319" s="3"/>
    </row>
    <row r="320" spans="1:59" ht="15">
      <c r="A320" s="66" t="s">
        <v>638</v>
      </c>
      <c r="B320" s="67"/>
      <c r="C320" s="67"/>
      <c r="D320" s="68">
        <v>407.06390065277463</v>
      </c>
      <c r="E320" s="70"/>
      <c r="F320" s="96" t="str">
        <f>HYPERLINK("https://i.ytimg.com/vi/S3vfHZI8VoI/default.jpg")</f>
        <v>https://i.ytimg.com/vi/S3vfHZI8VoI/default.jpg</v>
      </c>
      <c r="G320" s="67"/>
      <c r="H320" s="71" t="s">
        <v>980</v>
      </c>
      <c r="I320" s="72"/>
      <c r="J320" s="72" t="s">
        <v>159</v>
      </c>
      <c r="K320" s="71" t="s">
        <v>980</v>
      </c>
      <c r="L320" s="75">
        <v>1250.75</v>
      </c>
      <c r="M320" s="76">
        <v>3905.87890625</v>
      </c>
      <c r="N320" s="76">
        <v>5470.30078125</v>
      </c>
      <c r="O320" s="77"/>
      <c r="P320" s="78"/>
      <c r="Q320" s="78"/>
      <c r="R320" s="82"/>
      <c r="S320" s="48">
        <v>1</v>
      </c>
      <c r="T320" s="48">
        <v>0</v>
      </c>
      <c r="U320" s="49">
        <v>0</v>
      </c>
      <c r="V320" s="49">
        <v>0.000968</v>
      </c>
      <c r="W320" s="49">
        <v>0.002101</v>
      </c>
      <c r="X320" s="49">
        <v>0.444569</v>
      </c>
      <c r="Y320" s="49">
        <v>0</v>
      </c>
      <c r="Z320" s="49">
        <v>0</v>
      </c>
      <c r="AA320" s="73">
        <v>320</v>
      </c>
      <c r="AB320" s="73"/>
      <c r="AC320" s="74"/>
      <c r="AD320" s="80" t="s">
        <v>980</v>
      </c>
      <c r="AE320" s="80" t="s">
        <v>1308</v>
      </c>
      <c r="AF320" s="80" t="s">
        <v>1620</v>
      </c>
      <c r="AG320" s="80" t="s">
        <v>1662</v>
      </c>
      <c r="AH320" s="80" t="s">
        <v>2032</v>
      </c>
      <c r="AI320" s="80">
        <v>3678593</v>
      </c>
      <c r="AJ320" s="80">
        <v>8313</v>
      </c>
      <c r="AK320" s="80">
        <v>90514</v>
      </c>
      <c r="AL320" s="80">
        <v>1900</v>
      </c>
      <c r="AM320" s="80" t="s">
        <v>2047</v>
      </c>
      <c r="AN320" s="98" t="str">
        <f>HYPERLINK("https://www.youtube.com/watch?v=S3vfHZI8VoI")</f>
        <v>https://www.youtube.com/watch?v=S3vfHZI8VoI</v>
      </c>
      <c r="AO320" s="80" t="str">
        <f>REPLACE(INDEX(GroupVertices[Group],MATCH(Vertices[[#This Row],[Vertex]],GroupVertices[Vertex],0)),1,1,"")</f>
        <v>4</v>
      </c>
      <c r="AP320" s="48">
        <v>1</v>
      </c>
      <c r="AQ320" s="49">
        <v>1.7241379310344827</v>
      </c>
      <c r="AR320" s="48">
        <v>3</v>
      </c>
      <c r="AS320" s="49">
        <v>5.172413793103448</v>
      </c>
      <c r="AT320" s="48">
        <v>0</v>
      </c>
      <c r="AU320" s="49">
        <v>0</v>
      </c>
      <c r="AV320" s="48">
        <v>54</v>
      </c>
      <c r="AW320" s="49">
        <v>93.10344827586206</v>
      </c>
      <c r="AX320" s="48">
        <v>58</v>
      </c>
      <c r="AY320" s="48"/>
      <c r="AZ320" s="48"/>
      <c r="BA320" s="48"/>
      <c r="BB320" s="48"/>
      <c r="BC320" s="2"/>
      <c r="BD320" s="3"/>
      <c r="BE320" s="3"/>
      <c r="BF320" s="3"/>
      <c r="BG320" s="3"/>
    </row>
    <row r="321" spans="1:59" ht="15">
      <c r="A321" s="66" t="s">
        <v>639</v>
      </c>
      <c r="B321" s="67"/>
      <c r="C321" s="67"/>
      <c r="D321" s="68">
        <v>310.86751444101697</v>
      </c>
      <c r="E321" s="70"/>
      <c r="F321" s="96" t="str">
        <f>HYPERLINK("https://i.ytimg.com/vi/MYnjzsjeMK8/default.jpg")</f>
        <v>https://i.ytimg.com/vi/MYnjzsjeMK8/default.jpg</v>
      </c>
      <c r="G321" s="67"/>
      <c r="H321" s="71" t="s">
        <v>981</v>
      </c>
      <c r="I321" s="72"/>
      <c r="J321" s="72" t="s">
        <v>159</v>
      </c>
      <c r="K321" s="71" t="s">
        <v>981</v>
      </c>
      <c r="L321" s="75">
        <v>1250.75</v>
      </c>
      <c r="M321" s="76">
        <v>6453.4521484375</v>
      </c>
      <c r="N321" s="76">
        <v>3359.1572265625</v>
      </c>
      <c r="O321" s="77"/>
      <c r="P321" s="78"/>
      <c r="Q321" s="78"/>
      <c r="R321" s="82"/>
      <c r="S321" s="48">
        <v>1</v>
      </c>
      <c r="T321" s="48">
        <v>0</v>
      </c>
      <c r="U321" s="49">
        <v>0</v>
      </c>
      <c r="V321" s="49">
        <v>0.000968</v>
      </c>
      <c r="W321" s="49">
        <v>0.002101</v>
      </c>
      <c r="X321" s="49">
        <v>0.444569</v>
      </c>
      <c r="Y321" s="49">
        <v>0</v>
      </c>
      <c r="Z321" s="49">
        <v>0</v>
      </c>
      <c r="AA321" s="73">
        <v>321</v>
      </c>
      <c r="AB321" s="73"/>
      <c r="AC321" s="74"/>
      <c r="AD321" s="80" t="s">
        <v>981</v>
      </c>
      <c r="AE321" s="80" t="s">
        <v>1309</v>
      </c>
      <c r="AF321" s="80" t="s">
        <v>1621</v>
      </c>
      <c r="AG321" s="80" t="s">
        <v>1660</v>
      </c>
      <c r="AH321" s="80" t="s">
        <v>2033</v>
      </c>
      <c r="AI321" s="80">
        <v>2598661</v>
      </c>
      <c r="AJ321" s="80">
        <v>24040</v>
      </c>
      <c r="AK321" s="80">
        <v>77971</v>
      </c>
      <c r="AL321" s="80">
        <v>3804</v>
      </c>
      <c r="AM321" s="80" t="s">
        <v>2047</v>
      </c>
      <c r="AN321" s="98" t="str">
        <f>HYPERLINK("https://www.youtube.com/watch?v=MYnjzsjeMK8")</f>
        <v>https://www.youtube.com/watch?v=MYnjzsjeMK8</v>
      </c>
      <c r="AO321" s="80" t="str">
        <f>REPLACE(INDEX(GroupVertices[Group],MATCH(Vertices[[#This Row],[Vertex]],GroupVertices[Vertex],0)),1,1,"")</f>
        <v>4</v>
      </c>
      <c r="AP321" s="48">
        <v>0</v>
      </c>
      <c r="AQ321" s="49">
        <v>0</v>
      </c>
      <c r="AR321" s="48">
        <v>2</v>
      </c>
      <c r="AS321" s="49">
        <v>7.6923076923076925</v>
      </c>
      <c r="AT321" s="48">
        <v>0</v>
      </c>
      <c r="AU321" s="49">
        <v>0</v>
      </c>
      <c r="AV321" s="48">
        <v>24</v>
      </c>
      <c r="AW321" s="49">
        <v>92.3076923076923</v>
      </c>
      <c r="AX321" s="48">
        <v>26</v>
      </c>
      <c r="AY321" s="48"/>
      <c r="AZ321" s="48"/>
      <c r="BA321" s="48"/>
      <c r="BB321" s="48"/>
      <c r="BC321" s="2"/>
      <c r="BD321" s="3"/>
      <c r="BE321" s="3"/>
      <c r="BF321" s="3"/>
      <c r="BG321" s="3"/>
    </row>
    <row r="322" spans="1:59" ht="15">
      <c r="A322" s="66" t="s">
        <v>640</v>
      </c>
      <c r="B322" s="67"/>
      <c r="C322" s="67"/>
      <c r="D322" s="68">
        <v>146.22834525213443</v>
      </c>
      <c r="E322" s="70"/>
      <c r="F322" s="96" t="str">
        <f>HYPERLINK("https://i.ytimg.com/vi/vfDP2ONPPOU/default.jpg")</f>
        <v>https://i.ytimg.com/vi/vfDP2ONPPOU/default.jpg</v>
      </c>
      <c r="G322" s="67"/>
      <c r="H322" s="71" t="s">
        <v>982</v>
      </c>
      <c r="I322" s="72"/>
      <c r="J322" s="72" t="s">
        <v>159</v>
      </c>
      <c r="K322" s="71" t="s">
        <v>982</v>
      </c>
      <c r="L322" s="75">
        <v>1250.75</v>
      </c>
      <c r="M322" s="76">
        <v>4020.83154296875</v>
      </c>
      <c r="N322" s="76">
        <v>4105.3603515625</v>
      </c>
      <c r="O322" s="77"/>
      <c r="P322" s="78"/>
      <c r="Q322" s="78"/>
      <c r="R322" s="82"/>
      <c r="S322" s="48">
        <v>1</v>
      </c>
      <c r="T322" s="48">
        <v>0</v>
      </c>
      <c r="U322" s="49">
        <v>0</v>
      </c>
      <c r="V322" s="49">
        <v>0.000968</v>
      </c>
      <c r="W322" s="49">
        <v>0.002101</v>
      </c>
      <c r="X322" s="49">
        <v>0.444569</v>
      </c>
      <c r="Y322" s="49">
        <v>0</v>
      </c>
      <c r="Z322" s="49">
        <v>0</v>
      </c>
      <c r="AA322" s="73">
        <v>322</v>
      </c>
      <c r="AB322" s="73"/>
      <c r="AC322" s="74"/>
      <c r="AD322" s="80" t="s">
        <v>982</v>
      </c>
      <c r="AE322" s="80" t="s">
        <v>1310</v>
      </c>
      <c r="AF322" s="80" t="s">
        <v>1622</v>
      </c>
      <c r="AG322" s="80" t="s">
        <v>1662</v>
      </c>
      <c r="AH322" s="80" t="s">
        <v>2034</v>
      </c>
      <c r="AI322" s="80">
        <v>750368</v>
      </c>
      <c r="AJ322" s="80">
        <v>1100</v>
      </c>
      <c r="AK322" s="80">
        <v>20812</v>
      </c>
      <c r="AL322" s="80">
        <v>782</v>
      </c>
      <c r="AM322" s="80" t="s">
        <v>2047</v>
      </c>
      <c r="AN322" s="98" t="str">
        <f>HYPERLINK("https://www.youtube.com/watch?v=vfDP2ONPPOU")</f>
        <v>https://www.youtube.com/watch?v=vfDP2ONPPOU</v>
      </c>
      <c r="AO322" s="80" t="str">
        <f>REPLACE(INDEX(GroupVertices[Group],MATCH(Vertices[[#This Row],[Vertex]],GroupVertices[Vertex],0)),1,1,"")</f>
        <v>4</v>
      </c>
      <c r="AP322" s="48">
        <v>1</v>
      </c>
      <c r="AQ322" s="49">
        <v>1.408450704225352</v>
      </c>
      <c r="AR322" s="48">
        <v>14</v>
      </c>
      <c r="AS322" s="49">
        <v>19.718309859154928</v>
      </c>
      <c r="AT322" s="48">
        <v>0</v>
      </c>
      <c r="AU322" s="49">
        <v>0</v>
      </c>
      <c r="AV322" s="48">
        <v>56</v>
      </c>
      <c r="AW322" s="49">
        <v>78.87323943661971</v>
      </c>
      <c r="AX322" s="48">
        <v>71</v>
      </c>
      <c r="AY322" s="48"/>
      <c r="AZ322" s="48"/>
      <c r="BA322" s="48"/>
      <c r="BB322" s="48"/>
      <c r="BC322" s="2"/>
      <c r="BD322" s="3"/>
      <c r="BE322" s="3"/>
      <c r="BF322" s="3"/>
      <c r="BG322" s="3"/>
    </row>
    <row r="323" spans="1:59" ht="15">
      <c r="A323" s="66" t="s">
        <v>641</v>
      </c>
      <c r="B323" s="67"/>
      <c r="C323" s="67"/>
      <c r="D323" s="68">
        <v>332.5044238019717</v>
      </c>
      <c r="E323" s="70"/>
      <c r="F323" s="96" t="str">
        <f>HYPERLINK("https://i.ytimg.com/vi/YPl0naO6GR0/default.jpg")</f>
        <v>https://i.ytimg.com/vi/YPl0naO6GR0/default.jpg</v>
      </c>
      <c r="G323" s="67"/>
      <c r="H323" s="71" t="s">
        <v>983</v>
      </c>
      <c r="I323" s="72"/>
      <c r="J323" s="72" t="s">
        <v>159</v>
      </c>
      <c r="K323" s="71" t="s">
        <v>983</v>
      </c>
      <c r="L323" s="75">
        <v>1250.75</v>
      </c>
      <c r="M323" s="76">
        <v>6394.59814453125</v>
      </c>
      <c r="N323" s="76">
        <v>4927.10205078125</v>
      </c>
      <c r="O323" s="77"/>
      <c r="P323" s="78"/>
      <c r="Q323" s="78"/>
      <c r="R323" s="82"/>
      <c r="S323" s="48">
        <v>1</v>
      </c>
      <c r="T323" s="48">
        <v>0</v>
      </c>
      <c r="U323" s="49">
        <v>0</v>
      </c>
      <c r="V323" s="49">
        <v>0.000968</v>
      </c>
      <c r="W323" s="49">
        <v>0.002101</v>
      </c>
      <c r="X323" s="49">
        <v>0.444569</v>
      </c>
      <c r="Y323" s="49">
        <v>0</v>
      </c>
      <c r="Z323" s="49">
        <v>0</v>
      </c>
      <c r="AA323" s="73">
        <v>323</v>
      </c>
      <c r="AB323" s="73"/>
      <c r="AC323" s="74"/>
      <c r="AD323" s="80" t="s">
        <v>983</v>
      </c>
      <c r="AE323" s="80" t="s">
        <v>1311</v>
      </c>
      <c r="AF323" s="80" t="s">
        <v>1623</v>
      </c>
      <c r="AG323" s="80" t="s">
        <v>1662</v>
      </c>
      <c r="AH323" s="80" t="s">
        <v>2035</v>
      </c>
      <c r="AI323" s="80">
        <v>2841564</v>
      </c>
      <c r="AJ323" s="80">
        <v>4879</v>
      </c>
      <c r="AK323" s="80">
        <v>49837</v>
      </c>
      <c r="AL323" s="80">
        <v>1812</v>
      </c>
      <c r="AM323" s="80" t="s">
        <v>2047</v>
      </c>
      <c r="AN323" s="98" t="str">
        <f>HYPERLINK("https://www.youtube.com/watch?v=YPl0naO6GR0")</f>
        <v>https://www.youtube.com/watch?v=YPl0naO6GR0</v>
      </c>
      <c r="AO323" s="80" t="str">
        <f>REPLACE(INDEX(GroupVertices[Group],MATCH(Vertices[[#This Row],[Vertex]],GroupVertices[Vertex],0)),1,1,"")</f>
        <v>4</v>
      </c>
      <c r="AP323" s="48">
        <v>3</v>
      </c>
      <c r="AQ323" s="49">
        <v>4.411764705882353</v>
      </c>
      <c r="AR323" s="48">
        <v>9</v>
      </c>
      <c r="AS323" s="49">
        <v>13.235294117647058</v>
      </c>
      <c r="AT323" s="48">
        <v>0</v>
      </c>
      <c r="AU323" s="49">
        <v>0</v>
      </c>
      <c r="AV323" s="48">
        <v>56</v>
      </c>
      <c r="AW323" s="49">
        <v>82.3529411764706</v>
      </c>
      <c r="AX323" s="48">
        <v>68</v>
      </c>
      <c r="AY323" s="48"/>
      <c r="AZ323" s="48"/>
      <c r="BA323" s="48"/>
      <c r="BB323" s="48"/>
      <c r="BC323" s="2"/>
      <c r="BD323" s="3"/>
      <c r="BE323" s="3"/>
      <c r="BF323" s="3"/>
      <c r="BG323" s="3"/>
    </row>
    <row r="324" spans="1:59" ht="15">
      <c r="A324" s="66" t="s">
        <v>642</v>
      </c>
      <c r="B324" s="67"/>
      <c r="C324" s="67"/>
      <c r="D324" s="68">
        <v>524.7797045376648</v>
      </c>
      <c r="E324" s="70"/>
      <c r="F324" s="96" t="str">
        <f>HYPERLINK("https://i.ytimg.com/vi/ETJs5moej9M/default.jpg")</f>
        <v>https://i.ytimg.com/vi/ETJs5moej9M/default.jpg</v>
      </c>
      <c r="G324" s="67"/>
      <c r="H324" s="71" t="s">
        <v>984</v>
      </c>
      <c r="I324" s="72"/>
      <c r="J324" s="72" t="s">
        <v>159</v>
      </c>
      <c r="K324" s="71" t="s">
        <v>984</v>
      </c>
      <c r="L324" s="75">
        <v>1250.75</v>
      </c>
      <c r="M324" s="76">
        <v>3431.609375</v>
      </c>
      <c r="N324" s="76">
        <v>4778.31298828125</v>
      </c>
      <c r="O324" s="77"/>
      <c r="P324" s="78"/>
      <c r="Q324" s="78"/>
      <c r="R324" s="82"/>
      <c r="S324" s="48">
        <v>1</v>
      </c>
      <c r="T324" s="48">
        <v>0</v>
      </c>
      <c r="U324" s="49">
        <v>0</v>
      </c>
      <c r="V324" s="49">
        <v>0.000968</v>
      </c>
      <c r="W324" s="49">
        <v>0.002101</v>
      </c>
      <c r="X324" s="49">
        <v>0.444569</v>
      </c>
      <c r="Y324" s="49">
        <v>0</v>
      </c>
      <c r="Z324" s="49">
        <v>0</v>
      </c>
      <c r="AA324" s="73">
        <v>324</v>
      </c>
      <c r="AB324" s="73"/>
      <c r="AC324" s="74"/>
      <c r="AD324" s="80" t="s">
        <v>984</v>
      </c>
      <c r="AE324" s="80" t="s">
        <v>1312</v>
      </c>
      <c r="AF324" s="80" t="s">
        <v>1624</v>
      </c>
      <c r="AG324" s="80" t="s">
        <v>1662</v>
      </c>
      <c r="AH324" s="80" t="s">
        <v>2036</v>
      </c>
      <c r="AI324" s="80">
        <v>5000109</v>
      </c>
      <c r="AJ324" s="80">
        <v>10480</v>
      </c>
      <c r="AK324" s="80">
        <v>116453</v>
      </c>
      <c r="AL324" s="80">
        <v>4689</v>
      </c>
      <c r="AM324" s="80" t="s">
        <v>2047</v>
      </c>
      <c r="AN324" s="98" t="str">
        <f>HYPERLINK("https://www.youtube.com/watch?v=ETJs5moej9M")</f>
        <v>https://www.youtube.com/watch?v=ETJs5moej9M</v>
      </c>
      <c r="AO324" s="80" t="str">
        <f>REPLACE(INDEX(GroupVertices[Group],MATCH(Vertices[[#This Row],[Vertex]],GroupVertices[Vertex],0)),1,1,"")</f>
        <v>4</v>
      </c>
      <c r="AP324" s="48">
        <v>3</v>
      </c>
      <c r="AQ324" s="49">
        <v>4.615384615384615</v>
      </c>
      <c r="AR324" s="48">
        <v>3</v>
      </c>
      <c r="AS324" s="49">
        <v>4.615384615384615</v>
      </c>
      <c r="AT324" s="48">
        <v>0</v>
      </c>
      <c r="AU324" s="49">
        <v>0</v>
      </c>
      <c r="AV324" s="48">
        <v>59</v>
      </c>
      <c r="AW324" s="49">
        <v>90.76923076923077</v>
      </c>
      <c r="AX324" s="48">
        <v>65</v>
      </c>
      <c r="AY324" s="48"/>
      <c r="AZ324" s="48"/>
      <c r="BA324" s="48"/>
      <c r="BB324" s="48"/>
      <c r="BC324" s="2"/>
      <c r="BD324" s="3"/>
      <c r="BE324" s="3"/>
      <c r="BF324" s="3"/>
      <c r="BG324" s="3"/>
    </row>
    <row r="325" spans="1:59" ht="15">
      <c r="A325" s="66" t="s">
        <v>643</v>
      </c>
      <c r="B325" s="67"/>
      <c r="C325" s="67"/>
      <c r="D325" s="68">
        <v>1000</v>
      </c>
      <c r="E325" s="70"/>
      <c r="F325" s="96" t="str">
        <f>HYPERLINK("https://i.ytimg.com/vi/JiTz2i4VHFw/default.jpg")</f>
        <v>https://i.ytimg.com/vi/JiTz2i4VHFw/default.jpg</v>
      </c>
      <c r="G325" s="67"/>
      <c r="H325" s="71" t="s">
        <v>985</v>
      </c>
      <c r="I325" s="72"/>
      <c r="J325" s="72" t="s">
        <v>159</v>
      </c>
      <c r="K325" s="71" t="s">
        <v>985</v>
      </c>
      <c r="L325" s="75">
        <v>1250.75</v>
      </c>
      <c r="M325" s="76">
        <v>5838.83203125</v>
      </c>
      <c r="N325" s="76">
        <v>5096.97998046875</v>
      </c>
      <c r="O325" s="77"/>
      <c r="P325" s="78"/>
      <c r="Q325" s="78"/>
      <c r="R325" s="82"/>
      <c r="S325" s="48">
        <v>1</v>
      </c>
      <c r="T325" s="48">
        <v>0</v>
      </c>
      <c r="U325" s="49">
        <v>0</v>
      </c>
      <c r="V325" s="49">
        <v>0.000968</v>
      </c>
      <c r="W325" s="49">
        <v>0.002101</v>
      </c>
      <c r="X325" s="49">
        <v>0.444569</v>
      </c>
      <c r="Y325" s="49">
        <v>0</v>
      </c>
      <c r="Z325" s="49">
        <v>0</v>
      </c>
      <c r="AA325" s="73">
        <v>325</v>
      </c>
      <c r="AB325" s="73"/>
      <c r="AC325" s="74"/>
      <c r="AD325" s="80" t="s">
        <v>985</v>
      </c>
      <c r="AE325" s="80" t="s">
        <v>1313</v>
      </c>
      <c r="AF325" s="80" t="s">
        <v>1625</v>
      </c>
      <c r="AG325" s="80" t="s">
        <v>1662</v>
      </c>
      <c r="AH325" s="80" t="s">
        <v>2037</v>
      </c>
      <c r="AI325" s="80">
        <v>15002561</v>
      </c>
      <c r="AJ325" s="80">
        <v>11807</v>
      </c>
      <c r="AK325" s="80">
        <v>136871</v>
      </c>
      <c r="AL325" s="80">
        <v>3347</v>
      </c>
      <c r="AM325" s="80" t="s">
        <v>2047</v>
      </c>
      <c r="AN325" s="98" t="str">
        <f>HYPERLINK("https://www.youtube.com/watch?v=JiTz2i4VHFw")</f>
        <v>https://www.youtube.com/watch?v=JiTz2i4VHFw</v>
      </c>
      <c r="AO325" s="80" t="str">
        <f>REPLACE(INDEX(GroupVertices[Group],MATCH(Vertices[[#This Row],[Vertex]],GroupVertices[Vertex],0)),1,1,"")</f>
        <v>4</v>
      </c>
      <c r="AP325" s="48">
        <v>6</v>
      </c>
      <c r="AQ325" s="49">
        <v>9.375</v>
      </c>
      <c r="AR325" s="48">
        <v>7</v>
      </c>
      <c r="AS325" s="49">
        <v>10.9375</v>
      </c>
      <c r="AT325" s="48">
        <v>0</v>
      </c>
      <c r="AU325" s="49">
        <v>0</v>
      </c>
      <c r="AV325" s="48">
        <v>51</v>
      </c>
      <c r="AW325" s="49">
        <v>79.6875</v>
      </c>
      <c r="AX325" s="48">
        <v>64</v>
      </c>
      <c r="AY325" s="48"/>
      <c r="AZ325" s="48"/>
      <c r="BA325" s="48"/>
      <c r="BB325" s="48"/>
      <c r="BC325" s="2"/>
      <c r="BD325" s="3"/>
      <c r="BE325" s="3"/>
      <c r="BF325" s="3"/>
      <c r="BG325" s="3"/>
    </row>
    <row r="326" spans="1:59" ht="15">
      <c r="A326" s="66" t="s">
        <v>644</v>
      </c>
      <c r="B326" s="67"/>
      <c r="C326" s="67"/>
      <c r="D326" s="68">
        <v>286.61657090960495</v>
      </c>
      <c r="E326" s="70"/>
      <c r="F326" s="96" t="str">
        <f>HYPERLINK("https://i.ytimg.com/vi/yei1uDOzH8Y/default.jpg")</f>
        <v>https://i.ytimg.com/vi/yei1uDOzH8Y/default.jpg</v>
      </c>
      <c r="G326" s="67"/>
      <c r="H326" s="71" t="s">
        <v>986</v>
      </c>
      <c r="I326" s="72"/>
      <c r="J326" s="72" t="s">
        <v>159</v>
      </c>
      <c r="K326" s="71" t="s">
        <v>986</v>
      </c>
      <c r="L326" s="75">
        <v>1250.75</v>
      </c>
      <c r="M326" s="76">
        <v>4715.56298828125</v>
      </c>
      <c r="N326" s="76">
        <v>5669.99658203125</v>
      </c>
      <c r="O326" s="77"/>
      <c r="P326" s="78"/>
      <c r="Q326" s="78"/>
      <c r="R326" s="82"/>
      <c r="S326" s="48">
        <v>1</v>
      </c>
      <c r="T326" s="48">
        <v>0</v>
      </c>
      <c r="U326" s="49">
        <v>0</v>
      </c>
      <c r="V326" s="49">
        <v>0.000968</v>
      </c>
      <c r="W326" s="49">
        <v>0.002101</v>
      </c>
      <c r="X326" s="49">
        <v>0.444569</v>
      </c>
      <c r="Y326" s="49">
        <v>0</v>
      </c>
      <c r="Z326" s="49">
        <v>0</v>
      </c>
      <c r="AA326" s="73">
        <v>326</v>
      </c>
      <c r="AB326" s="73"/>
      <c r="AC326" s="74"/>
      <c r="AD326" s="80" t="s">
        <v>986</v>
      </c>
      <c r="AE326" s="80" t="s">
        <v>1314</v>
      </c>
      <c r="AF326" s="80" t="s">
        <v>1626</v>
      </c>
      <c r="AG326" s="80" t="s">
        <v>1717</v>
      </c>
      <c r="AH326" s="80" t="s">
        <v>2038</v>
      </c>
      <c r="AI326" s="80">
        <v>2326412</v>
      </c>
      <c r="AJ326" s="80">
        <v>7507</v>
      </c>
      <c r="AK326" s="80">
        <v>51082</v>
      </c>
      <c r="AL326" s="80">
        <v>6372</v>
      </c>
      <c r="AM326" s="80" t="s">
        <v>2047</v>
      </c>
      <c r="AN326" s="98" t="str">
        <f>HYPERLINK("https://www.youtube.com/watch?v=yei1uDOzH8Y")</f>
        <v>https://www.youtube.com/watch?v=yei1uDOzH8Y</v>
      </c>
      <c r="AO326" s="80" t="str">
        <f>REPLACE(INDEX(GroupVertices[Group],MATCH(Vertices[[#This Row],[Vertex]],GroupVertices[Vertex],0)),1,1,"")</f>
        <v>4</v>
      </c>
      <c r="AP326" s="48">
        <v>1</v>
      </c>
      <c r="AQ326" s="49">
        <v>2.272727272727273</v>
      </c>
      <c r="AR326" s="48">
        <v>6</v>
      </c>
      <c r="AS326" s="49">
        <v>13.636363636363637</v>
      </c>
      <c r="AT326" s="48">
        <v>0</v>
      </c>
      <c r="AU326" s="49">
        <v>0</v>
      </c>
      <c r="AV326" s="48">
        <v>37</v>
      </c>
      <c r="AW326" s="49">
        <v>84.0909090909091</v>
      </c>
      <c r="AX326" s="48">
        <v>44</v>
      </c>
      <c r="AY326" s="48"/>
      <c r="AZ326" s="48"/>
      <c r="BA326" s="48"/>
      <c r="BB326" s="48"/>
      <c r="BC326" s="2"/>
      <c r="BD326" s="3"/>
      <c r="BE326" s="3"/>
      <c r="BF326" s="3"/>
      <c r="BG326" s="3"/>
    </row>
    <row r="327" spans="1:59" ht="15">
      <c r="A327" s="66" t="s">
        <v>645</v>
      </c>
      <c r="B327" s="67"/>
      <c r="C327" s="67"/>
      <c r="D327" s="68">
        <v>1000</v>
      </c>
      <c r="E327" s="70"/>
      <c r="F327" s="96" t="str">
        <f>HYPERLINK("https://i.ytimg.com/vi/jAhjPd4uNFY/default.jpg")</f>
        <v>https://i.ytimg.com/vi/jAhjPd4uNFY/default.jpg</v>
      </c>
      <c r="G327" s="67"/>
      <c r="H327" s="71" t="s">
        <v>987</v>
      </c>
      <c r="I327" s="72"/>
      <c r="J327" s="72" t="s">
        <v>159</v>
      </c>
      <c r="K327" s="71" t="s">
        <v>987</v>
      </c>
      <c r="L327" s="75">
        <v>1250.75</v>
      </c>
      <c r="M327" s="76">
        <v>3490.88525390625</v>
      </c>
      <c r="N327" s="76">
        <v>4020.667236328125</v>
      </c>
      <c r="O327" s="77"/>
      <c r="P327" s="78"/>
      <c r="Q327" s="78"/>
      <c r="R327" s="82"/>
      <c r="S327" s="48">
        <v>1</v>
      </c>
      <c r="T327" s="48">
        <v>0</v>
      </c>
      <c r="U327" s="49">
        <v>0</v>
      </c>
      <c r="V327" s="49">
        <v>0.000968</v>
      </c>
      <c r="W327" s="49">
        <v>0.002101</v>
      </c>
      <c r="X327" s="49">
        <v>0.444569</v>
      </c>
      <c r="Y327" s="49">
        <v>0</v>
      </c>
      <c r="Z327" s="49">
        <v>0</v>
      </c>
      <c r="AA327" s="73">
        <v>327</v>
      </c>
      <c r="AB327" s="73"/>
      <c r="AC327" s="74"/>
      <c r="AD327" s="80" t="s">
        <v>987</v>
      </c>
      <c r="AE327" s="80" t="s">
        <v>1315</v>
      </c>
      <c r="AF327" s="80" t="s">
        <v>1627</v>
      </c>
      <c r="AG327" s="80" t="s">
        <v>1663</v>
      </c>
      <c r="AH327" s="80" t="s">
        <v>2039</v>
      </c>
      <c r="AI327" s="80">
        <v>17239141</v>
      </c>
      <c r="AJ327" s="80">
        <v>62925</v>
      </c>
      <c r="AK327" s="80">
        <v>449563</v>
      </c>
      <c r="AL327" s="80">
        <v>8503</v>
      </c>
      <c r="AM327" s="80" t="s">
        <v>2047</v>
      </c>
      <c r="AN327" s="98" t="str">
        <f>HYPERLINK("https://www.youtube.com/watch?v=jAhjPd4uNFY")</f>
        <v>https://www.youtube.com/watch?v=jAhjPd4uNFY</v>
      </c>
      <c r="AO327" s="80" t="str">
        <f>REPLACE(INDEX(GroupVertices[Group],MATCH(Vertices[[#This Row],[Vertex]],GroupVertices[Vertex],0)),1,1,"")</f>
        <v>4</v>
      </c>
      <c r="AP327" s="48">
        <v>0</v>
      </c>
      <c r="AQ327" s="49">
        <v>0</v>
      </c>
      <c r="AR327" s="48">
        <v>1</v>
      </c>
      <c r="AS327" s="49">
        <v>2.1739130434782608</v>
      </c>
      <c r="AT327" s="48">
        <v>0</v>
      </c>
      <c r="AU327" s="49">
        <v>0</v>
      </c>
      <c r="AV327" s="48">
        <v>45</v>
      </c>
      <c r="AW327" s="49">
        <v>97.82608695652173</v>
      </c>
      <c r="AX327" s="48">
        <v>46</v>
      </c>
      <c r="AY327" s="48"/>
      <c r="AZ327" s="48"/>
      <c r="BA327" s="48"/>
      <c r="BB327" s="48"/>
      <c r="BC327" s="2"/>
      <c r="BD327" s="3"/>
      <c r="BE327" s="3"/>
      <c r="BF327" s="3"/>
      <c r="BG327" s="3"/>
    </row>
    <row r="328" spans="1:59" ht="15">
      <c r="A328" s="66" t="s">
        <v>646</v>
      </c>
      <c r="B328" s="67"/>
      <c r="C328" s="67"/>
      <c r="D328" s="68">
        <v>568.2490458181564</v>
      </c>
      <c r="E328" s="70"/>
      <c r="F328" s="96" t="str">
        <f>HYPERLINK("https://i.ytimg.com/vi/MjdpR-TY6QU/default.jpg")</f>
        <v>https://i.ytimg.com/vi/MjdpR-TY6QU/default.jpg</v>
      </c>
      <c r="G328" s="67"/>
      <c r="H328" s="71" t="s">
        <v>988</v>
      </c>
      <c r="I328" s="72"/>
      <c r="J328" s="72" t="s">
        <v>159</v>
      </c>
      <c r="K328" s="71" t="s">
        <v>988</v>
      </c>
      <c r="L328" s="75">
        <v>1250.75</v>
      </c>
      <c r="M328" s="76">
        <v>4955.7099609375</v>
      </c>
      <c r="N328" s="76">
        <v>5948.95751953125</v>
      </c>
      <c r="O328" s="77"/>
      <c r="P328" s="78"/>
      <c r="Q328" s="78"/>
      <c r="R328" s="82"/>
      <c r="S328" s="48">
        <v>1</v>
      </c>
      <c r="T328" s="48">
        <v>0</v>
      </c>
      <c r="U328" s="49">
        <v>0</v>
      </c>
      <c r="V328" s="49">
        <v>0.000968</v>
      </c>
      <c r="W328" s="49">
        <v>0.002101</v>
      </c>
      <c r="X328" s="49">
        <v>0.444569</v>
      </c>
      <c r="Y328" s="49">
        <v>0</v>
      </c>
      <c r="Z328" s="49">
        <v>0</v>
      </c>
      <c r="AA328" s="73">
        <v>328</v>
      </c>
      <c r="AB328" s="73"/>
      <c r="AC328" s="74"/>
      <c r="AD328" s="80" t="s">
        <v>988</v>
      </c>
      <c r="AE328" s="80" t="s">
        <v>1316</v>
      </c>
      <c r="AF328" s="80" t="s">
        <v>1628</v>
      </c>
      <c r="AG328" s="80" t="s">
        <v>1663</v>
      </c>
      <c r="AH328" s="80" t="s">
        <v>2040</v>
      </c>
      <c r="AI328" s="80">
        <v>5488110</v>
      </c>
      <c r="AJ328" s="80">
        <v>12515</v>
      </c>
      <c r="AK328" s="80">
        <v>203986</v>
      </c>
      <c r="AL328" s="80">
        <v>1885</v>
      </c>
      <c r="AM328" s="80" t="s">
        <v>2047</v>
      </c>
      <c r="AN328" s="98" t="str">
        <f>HYPERLINK("https://www.youtube.com/watch?v=MjdpR-TY6QU")</f>
        <v>https://www.youtube.com/watch?v=MjdpR-TY6QU</v>
      </c>
      <c r="AO328" s="80" t="str">
        <f>REPLACE(INDEX(GroupVertices[Group],MATCH(Vertices[[#This Row],[Vertex]],GroupVertices[Vertex],0)),1,1,"")</f>
        <v>4</v>
      </c>
      <c r="AP328" s="48">
        <v>2</v>
      </c>
      <c r="AQ328" s="49">
        <v>10.526315789473685</v>
      </c>
      <c r="AR328" s="48">
        <v>1</v>
      </c>
      <c r="AS328" s="49">
        <v>5.2631578947368425</v>
      </c>
      <c r="AT328" s="48">
        <v>0</v>
      </c>
      <c r="AU328" s="49">
        <v>0</v>
      </c>
      <c r="AV328" s="48">
        <v>16</v>
      </c>
      <c r="AW328" s="49">
        <v>84.21052631578948</v>
      </c>
      <c r="AX328" s="48">
        <v>19</v>
      </c>
      <c r="AY328" s="48"/>
      <c r="AZ328" s="48"/>
      <c r="BA328" s="48"/>
      <c r="BB328" s="48"/>
      <c r="BC328" s="2"/>
      <c r="BD328" s="3"/>
      <c r="BE328" s="3"/>
      <c r="BF328" s="3"/>
      <c r="BG328" s="3"/>
    </row>
    <row r="329" spans="1:59" ht="15">
      <c r="A329" s="66" t="s">
        <v>647</v>
      </c>
      <c r="B329" s="67"/>
      <c r="C329" s="67"/>
      <c r="D329" s="68">
        <v>164.3242030088437</v>
      </c>
      <c r="E329" s="70"/>
      <c r="F329" s="96" t="str">
        <f>HYPERLINK("https://i.ytimg.com/vi/xzyytRY5htk/default.jpg")</f>
        <v>https://i.ytimg.com/vi/xzyytRY5htk/default.jpg</v>
      </c>
      <c r="G329" s="67"/>
      <c r="H329" s="71" t="s">
        <v>989</v>
      </c>
      <c r="I329" s="72"/>
      <c r="J329" s="72" t="s">
        <v>159</v>
      </c>
      <c r="K329" s="71" t="s">
        <v>989</v>
      </c>
      <c r="L329" s="75">
        <v>1250.75</v>
      </c>
      <c r="M329" s="76">
        <v>6657.404296875</v>
      </c>
      <c r="N329" s="76">
        <v>5410.20947265625</v>
      </c>
      <c r="O329" s="77"/>
      <c r="P329" s="78"/>
      <c r="Q329" s="78"/>
      <c r="R329" s="82"/>
      <c r="S329" s="48">
        <v>1</v>
      </c>
      <c r="T329" s="48">
        <v>0</v>
      </c>
      <c r="U329" s="49">
        <v>0</v>
      </c>
      <c r="V329" s="49">
        <v>0.000968</v>
      </c>
      <c r="W329" s="49">
        <v>0.002101</v>
      </c>
      <c r="X329" s="49">
        <v>0.444569</v>
      </c>
      <c r="Y329" s="49">
        <v>0</v>
      </c>
      <c r="Z329" s="49">
        <v>0</v>
      </c>
      <c r="AA329" s="73">
        <v>329</v>
      </c>
      <c r="AB329" s="73"/>
      <c r="AC329" s="74"/>
      <c r="AD329" s="80" t="s">
        <v>989</v>
      </c>
      <c r="AE329" s="80" t="s">
        <v>1317</v>
      </c>
      <c r="AF329" s="80" t="s">
        <v>1629</v>
      </c>
      <c r="AG329" s="80" t="s">
        <v>1662</v>
      </c>
      <c r="AH329" s="80" t="s">
        <v>2041</v>
      </c>
      <c r="AI329" s="80">
        <v>953518</v>
      </c>
      <c r="AJ329" s="80">
        <v>1462</v>
      </c>
      <c r="AK329" s="80">
        <v>23861</v>
      </c>
      <c r="AL329" s="80">
        <v>487</v>
      </c>
      <c r="AM329" s="80" t="s">
        <v>2047</v>
      </c>
      <c r="AN329" s="98" t="str">
        <f>HYPERLINK("https://www.youtube.com/watch?v=xzyytRY5htk")</f>
        <v>https://www.youtube.com/watch?v=xzyytRY5htk</v>
      </c>
      <c r="AO329" s="80" t="str">
        <f>REPLACE(INDEX(GroupVertices[Group],MATCH(Vertices[[#This Row],[Vertex]],GroupVertices[Vertex],0)),1,1,"")</f>
        <v>4</v>
      </c>
      <c r="AP329" s="48">
        <v>11</v>
      </c>
      <c r="AQ329" s="49">
        <v>14.473684210526315</v>
      </c>
      <c r="AR329" s="48">
        <v>1</v>
      </c>
      <c r="AS329" s="49">
        <v>1.3157894736842106</v>
      </c>
      <c r="AT329" s="48">
        <v>0</v>
      </c>
      <c r="AU329" s="49">
        <v>0</v>
      </c>
      <c r="AV329" s="48">
        <v>64</v>
      </c>
      <c r="AW329" s="49">
        <v>84.21052631578948</v>
      </c>
      <c r="AX329" s="48">
        <v>76</v>
      </c>
      <c r="AY329" s="48"/>
      <c r="AZ329" s="48"/>
      <c r="BA329" s="48"/>
      <c r="BB329" s="48"/>
      <c r="BC329" s="2"/>
      <c r="BD329" s="3"/>
      <c r="BE329" s="3"/>
      <c r="BF329" s="3"/>
      <c r="BG329" s="3"/>
    </row>
    <row r="330" spans="1:59" ht="15">
      <c r="A330" s="66" t="s">
        <v>648</v>
      </c>
      <c r="B330" s="67"/>
      <c r="C330" s="67"/>
      <c r="D330" s="68">
        <v>834.2842542083728</v>
      </c>
      <c r="E330" s="70"/>
      <c r="F330" s="96" t="str">
        <f>HYPERLINK("https://i.ytimg.com/vi/7TmcXYp8xu4/default.jpg")</f>
        <v>https://i.ytimg.com/vi/7TmcXYp8xu4/default.jpg</v>
      </c>
      <c r="G330" s="67"/>
      <c r="H330" s="71" t="s">
        <v>990</v>
      </c>
      <c r="I330" s="72"/>
      <c r="J330" s="72" t="s">
        <v>159</v>
      </c>
      <c r="K330" s="71" t="s">
        <v>990</v>
      </c>
      <c r="L330" s="75">
        <v>1250.75</v>
      </c>
      <c r="M330" s="76">
        <v>5089.96630859375</v>
      </c>
      <c r="N330" s="76">
        <v>5107.51513671875</v>
      </c>
      <c r="O330" s="77"/>
      <c r="P330" s="78"/>
      <c r="Q330" s="78"/>
      <c r="R330" s="82"/>
      <c r="S330" s="48">
        <v>1</v>
      </c>
      <c r="T330" s="48">
        <v>0</v>
      </c>
      <c r="U330" s="49">
        <v>0</v>
      </c>
      <c r="V330" s="49">
        <v>0.000968</v>
      </c>
      <c r="W330" s="49">
        <v>0.002101</v>
      </c>
      <c r="X330" s="49">
        <v>0.444569</v>
      </c>
      <c r="Y330" s="49">
        <v>0</v>
      </c>
      <c r="Z330" s="49">
        <v>0</v>
      </c>
      <c r="AA330" s="73">
        <v>330</v>
      </c>
      <c r="AB330" s="73"/>
      <c r="AC330" s="74"/>
      <c r="AD330" s="80" t="s">
        <v>990</v>
      </c>
      <c r="AE330" s="80" t="s">
        <v>1318</v>
      </c>
      <c r="AF330" s="80" t="s">
        <v>1630</v>
      </c>
      <c r="AG330" s="80" t="s">
        <v>1663</v>
      </c>
      <c r="AH330" s="80" t="s">
        <v>2042</v>
      </c>
      <c r="AI330" s="80">
        <v>8474708</v>
      </c>
      <c r="AJ330" s="80">
        <v>32208</v>
      </c>
      <c r="AK330" s="80">
        <v>340894</v>
      </c>
      <c r="AL330" s="80">
        <v>7579</v>
      </c>
      <c r="AM330" s="80" t="s">
        <v>2047</v>
      </c>
      <c r="AN330" s="98" t="str">
        <f>HYPERLINK("https://www.youtube.com/watch?v=7TmcXYp8xu4")</f>
        <v>https://www.youtube.com/watch?v=7TmcXYp8xu4</v>
      </c>
      <c r="AO330" s="80" t="str">
        <f>REPLACE(INDEX(GroupVertices[Group],MATCH(Vertices[[#This Row],[Vertex]],GroupVertices[Vertex],0)),1,1,"")</f>
        <v>4</v>
      </c>
      <c r="AP330" s="48">
        <v>0</v>
      </c>
      <c r="AQ330" s="49">
        <v>0</v>
      </c>
      <c r="AR330" s="48">
        <v>0</v>
      </c>
      <c r="AS330" s="49">
        <v>0</v>
      </c>
      <c r="AT330" s="48">
        <v>0</v>
      </c>
      <c r="AU330" s="49">
        <v>0</v>
      </c>
      <c r="AV330" s="48">
        <v>16</v>
      </c>
      <c r="AW330" s="49">
        <v>100</v>
      </c>
      <c r="AX330" s="48">
        <v>16</v>
      </c>
      <c r="AY330" s="48"/>
      <c r="AZ330" s="48"/>
      <c r="BA330" s="48"/>
      <c r="BB330" s="48"/>
      <c r="BC330" s="2"/>
      <c r="BD330" s="3"/>
      <c r="BE330" s="3"/>
      <c r="BF330" s="3"/>
      <c r="BG330" s="3"/>
    </row>
    <row r="331" spans="1:59" ht="15">
      <c r="A331" s="66" t="s">
        <v>649</v>
      </c>
      <c r="B331" s="67"/>
      <c r="C331" s="67"/>
      <c r="D331" s="68">
        <v>639.910067756109</v>
      </c>
      <c r="E331" s="70"/>
      <c r="F331" s="96" t="str">
        <f>HYPERLINK("https://i.ytimg.com/vi/8HslUzw35mc/default.jpg")</f>
        <v>https://i.ytimg.com/vi/8HslUzw35mc/default.jpg</v>
      </c>
      <c r="G331" s="67"/>
      <c r="H331" s="71" t="s">
        <v>991</v>
      </c>
      <c r="I331" s="72"/>
      <c r="J331" s="72" t="s">
        <v>159</v>
      </c>
      <c r="K331" s="71" t="s">
        <v>991</v>
      </c>
      <c r="L331" s="75">
        <v>1250.75</v>
      </c>
      <c r="M331" s="76">
        <v>4268.06591796875</v>
      </c>
      <c r="N331" s="76">
        <v>5751.74658203125</v>
      </c>
      <c r="O331" s="77"/>
      <c r="P331" s="78"/>
      <c r="Q331" s="78"/>
      <c r="R331" s="82"/>
      <c r="S331" s="48">
        <v>1</v>
      </c>
      <c r="T331" s="48">
        <v>0</v>
      </c>
      <c r="U331" s="49">
        <v>0</v>
      </c>
      <c r="V331" s="49">
        <v>0.000968</v>
      </c>
      <c r="W331" s="49">
        <v>0.002101</v>
      </c>
      <c r="X331" s="49">
        <v>0.444569</v>
      </c>
      <c r="Y331" s="49">
        <v>0</v>
      </c>
      <c r="Z331" s="49">
        <v>0</v>
      </c>
      <c r="AA331" s="73">
        <v>331</v>
      </c>
      <c r="AB331" s="73"/>
      <c r="AC331" s="74"/>
      <c r="AD331" s="80" t="s">
        <v>991</v>
      </c>
      <c r="AE331" s="80" t="s">
        <v>1319</v>
      </c>
      <c r="AF331" s="80" t="s">
        <v>1631</v>
      </c>
      <c r="AG331" s="80" t="s">
        <v>1663</v>
      </c>
      <c r="AH331" s="80" t="s">
        <v>2043</v>
      </c>
      <c r="AI331" s="80">
        <v>6292600</v>
      </c>
      <c r="AJ331" s="80">
        <v>19283</v>
      </c>
      <c r="AK331" s="80">
        <v>224622</v>
      </c>
      <c r="AL331" s="80">
        <v>4866</v>
      </c>
      <c r="AM331" s="80" t="s">
        <v>2047</v>
      </c>
      <c r="AN331" s="98" t="str">
        <f>HYPERLINK("https://www.youtube.com/watch?v=8HslUzw35mc")</f>
        <v>https://www.youtube.com/watch?v=8HslUzw35mc</v>
      </c>
      <c r="AO331" s="80" t="str">
        <f>REPLACE(INDEX(GroupVertices[Group],MATCH(Vertices[[#This Row],[Vertex]],GroupVertices[Vertex],0)),1,1,"")</f>
        <v>4</v>
      </c>
      <c r="AP331" s="48">
        <v>4</v>
      </c>
      <c r="AQ331" s="49">
        <v>11.11111111111111</v>
      </c>
      <c r="AR331" s="48">
        <v>1</v>
      </c>
      <c r="AS331" s="49">
        <v>2.7777777777777777</v>
      </c>
      <c r="AT331" s="48">
        <v>0</v>
      </c>
      <c r="AU331" s="49">
        <v>0</v>
      </c>
      <c r="AV331" s="48">
        <v>31</v>
      </c>
      <c r="AW331" s="49">
        <v>86.11111111111111</v>
      </c>
      <c r="AX331" s="48">
        <v>36</v>
      </c>
      <c r="AY331" s="48"/>
      <c r="AZ331" s="48"/>
      <c r="BA331" s="48"/>
      <c r="BB331" s="48"/>
      <c r="BC331" s="2"/>
      <c r="BD331" s="3"/>
      <c r="BE331" s="3"/>
      <c r="BF331" s="3"/>
      <c r="BG331" s="3"/>
    </row>
    <row r="332" spans="1:59" ht="15">
      <c r="A332" s="66" t="s">
        <v>650</v>
      </c>
      <c r="B332" s="67"/>
      <c r="C332" s="67"/>
      <c r="D332" s="68">
        <v>213.29703666265823</v>
      </c>
      <c r="E332" s="70"/>
      <c r="F332" s="96" t="str">
        <f>HYPERLINK("https://i.ytimg.com/vi/KyD8VIK032o/default.jpg")</f>
        <v>https://i.ytimg.com/vi/KyD8VIK032o/default.jpg</v>
      </c>
      <c r="G332" s="67"/>
      <c r="H332" s="71" t="s">
        <v>992</v>
      </c>
      <c r="I332" s="72"/>
      <c r="J332" s="72" t="s">
        <v>159</v>
      </c>
      <c r="K332" s="71" t="s">
        <v>992</v>
      </c>
      <c r="L332" s="75">
        <v>1250.75</v>
      </c>
      <c r="M332" s="76">
        <v>6019.05859375</v>
      </c>
      <c r="N332" s="76">
        <v>3131.48193359375</v>
      </c>
      <c r="O332" s="77"/>
      <c r="P332" s="78"/>
      <c r="Q332" s="78"/>
      <c r="R332" s="82"/>
      <c r="S332" s="48">
        <v>1</v>
      </c>
      <c r="T332" s="48">
        <v>0</v>
      </c>
      <c r="U332" s="49">
        <v>0</v>
      </c>
      <c r="V332" s="49">
        <v>0.000968</v>
      </c>
      <c r="W332" s="49">
        <v>0.002101</v>
      </c>
      <c r="X332" s="49">
        <v>0.444569</v>
      </c>
      <c r="Y332" s="49">
        <v>0</v>
      </c>
      <c r="Z332" s="49">
        <v>0</v>
      </c>
      <c r="AA332" s="73">
        <v>332</v>
      </c>
      <c r="AB332" s="73"/>
      <c r="AC332" s="74"/>
      <c r="AD332" s="80" t="s">
        <v>992</v>
      </c>
      <c r="AE332" s="80" t="s">
        <v>1320</v>
      </c>
      <c r="AF332" s="80" t="s">
        <v>1632</v>
      </c>
      <c r="AG332" s="80" t="s">
        <v>1716</v>
      </c>
      <c r="AH332" s="80" t="s">
        <v>2044</v>
      </c>
      <c r="AI332" s="80">
        <v>1503303</v>
      </c>
      <c r="AJ332" s="80">
        <v>37280</v>
      </c>
      <c r="AK332" s="80">
        <v>60284</v>
      </c>
      <c r="AL332" s="80">
        <v>5175</v>
      </c>
      <c r="AM332" s="80" t="s">
        <v>2047</v>
      </c>
      <c r="AN332" s="98" t="str">
        <f>HYPERLINK("https://www.youtube.com/watch?v=KyD8VIK032o")</f>
        <v>https://www.youtube.com/watch?v=KyD8VIK032o</v>
      </c>
      <c r="AO332" s="80" t="str">
        <f>REPLACE(INDEX(GroupVertices[Group],MATCH(Vertices[[#This Row],[Vertex]],GroupVertices[Vertex],0)),1,1,"")</f>
        <v>4</v>
      </c>
      <c r="AP332" s="48">
        <v>0</v>
      </c>
      <c r="AQ332" s="49">
        <v>0</v>
      </c>
      <c r="AR332" s="48">
        <v>1</v>
      </c>
      <c r="AS332" s="49">
        <v>4.166666666666667</v>
      </c>
      <c r="AT332" s="48">
        <v>0</v>
      </c>
      <c r="AU332" s="49">
        <v>0</v>
      </c>
      <c r="AV332" s="48">
        <v>23</v>
      </c>
      <c r="AW332" s="49">
        <v>95.83333333333333</v>
      </c>
      <c r="AX332" s="48">
        <v>24</v>
      </c>
      <c r="AY332" s="48"/>
      <c r="AZ332" s="48"/>
      <c r="BA332" s="48"/>
      <c r="BB332" s="48"/>
      <c r="BC332" s="2"/>
      <c r="BD332" s="3"/>
      <c r="BE332" s="3"/>
      <c r="BF332" s="3"/>
      <c r="BG332" s="3"/>
    </row>
    <row r="333" spans="1:59" ht="15">
      <c r="A333" s="83" t="s">
        <v>651</v>
      </c>
      <c r="B333" s="84"/>
      <c r="C333" s="84"/>
      <c r="D333" s="85">
        <v>1000</v>
      </c>
      <c r="E333" s="86"/>
      <c r="F333" s="97" t="str">
        <f>HYPERLINK("https://i.ytimg.com/vi/EiYm20F9WXU/default.jpg")</f>
        <v>https://i.ytimg.com/vi/EiYm20F9WXU/default.jpg</v>
      </c>
      <c r="G333" s="84"/>
      <c r="H333" s="87" t="s">
        <v>993</v>
      </c>
      <c r="I333" s="88"/>
      <c r="J333" s="88" t="s">
        <v>159</v>
      </c>
      <c r="K333" s="87" t="s">
        <v>993</v>
      </c>
      <c r="L333" s="89">
        <v>1250.75</v>
      </c>
      <c r="M333" s="90">
        <v>5422.7705078125</v>
      </c>
      <c r="N333" s="90">
        <v>3005.479736328125</v>
      </c>
      <c r="O333" s="91"/>
      <c r="P333" s="92"/>
      <c r="Q333" s="92"/>
      <c r="R333" s="93"/>
      <c r="S333" s="48">
        <v>1</v>
      </c>
      <c r="T333" s="48">
        <v>0</v>
      </c>
      <c r="U333" s="49">
        <v>0</v>
      </c>
      <c r="V333" s="49">
        <v>0.000968</v>
      </c>
      <c r="W333" s="49">
        <v>0.002101</v>
      </c>
      <c r="X333" s="49">
        <v>0.444569</v>
      </c>
      <c r="Y333" s="49">
        <v>0</v>
      </c>
      <c r="Z333" s="49">
        <v>0</v>
      </c>
      <c r="AA333" s="94">
        <v>333</v>
      </c>
      <c r="AB333" s="94"/>
      <c r="AC333" s="95"/>
      <c r="AD333" s="80" t="s">
        <v>993</v>
      </c>
      <c r="AE333" s="80" t="s">
        <v>1321</v>
      </c>
      <c r="AF333" s="80" t="s">
        <v>1633</v>
      </c>
      <c r="AG333" s="80" t="s">
        <v>1662</v>
      </c>
      <c r="AH333" s="80" t="s">
        <v>2045</v>
      </c>
      <c r="AI333" s="80">
        <v>21871841</v>
      </c>
      <c r="AJ333" s="80">
        <v>71777</v>
      </c>
      <c r="AK333" s="80">
        <v>897010</v>
      </c>
      <c r="AL333" s="80">
        <v>15886</v>
      </c>
      <c r="AM333" s="80" t="s">
        <v>2047</v>
      </c>
      <c r="AN333" s="98" t="str">
        <f>HYPERLINK("https://www.youtube.com/watch?v=EiYm20F9WXU")</f>
        <v>https://www.youtube.com/watch?v=EiYm20F9WXU</v>
      </c>
      <c r="AO333" s="80" t="str">
        <f>REPLACE(INDEX(GroupVertices[Group],MATCH(Vertices[[#This Row],[Vertex]],GroupVertices[Vertex],0)),1,1,"")</f>
        <v>4</v>
      </c>
      <c r="AP333" s="48">
        <v>1</v>
      </c>
      <c r="AQ333" s="49">
        <v>2.7777777777777777</v>
      </c>
      <c r="AR333" s="48">
        <v>1</v>
      </c>
      <c r="AS333" s="49">
        <v>2.7777777777777777</v>
      </c>
      <c r="AT333" s="48">
        <v>0</v>
      </c>
      <c r="AU333" s="49">
        <v>0</v>
      </c>
      <c r="AV333" s="48">
        <v>34</v>
      </c>
      <c r="AW333" s="49">
        <v>94.44444444444444</v>
      </c>
      <c r="AX333" s="48">
        <v>36</v>
      </c>
      <c r="AY333" s="48"/>
      <c r="AZ333" s="48"/>
      <c r="BA333" s="48"/>
      <c r="BB333" s="48"/>
      <c r="BC333" s="2"/>
      <c r="BD333" s="3"/>
      <c r="BE333" s="3"/>
      <c r="BF333" s="3"/>
      <c r="BG3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3"/>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3"/>
    <dataValidation allowBlank="1" showInputMessage="1" promptTitle="Vertex Tooltip" prompt="Enter optional text that will pop up when the mouse is hovered over the vertex." errorTitle="Invalid Vertex Image Key" sqref="K3:K3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3"/>
    <dataValidation allowBlank="1" showInputMessage="1" promptTitle="Vertex Label Fill Color" prompt="To select an optional fill color for the Label shape, right-click and select Select Color on the right-click menu." sqref="I3:I333"/>
    <dataValidation allowBlank="1" showInputMessage="1" promptTitle="Vertex Image File" prompt="Enter the path to an image file.  Hover over the column header for examples." errorTitle="Invalid Vertex Image Key" sqref="F3:F333"/>
    <dataValidation allowBlank="1" showInputMessage="1" promptTitle="Vertex Color" prompt="To select an optional vertex color, right-click and select Select Color on the right-click menu." sqref="B3:B333"/>
    <dataValidation allowBlank="1" showInputMessage="1" promptTitle="Vertex Opacity" prompt="Enter an optional vertex opacity between 0 (transparent) and 100 (opaque)." errorTitle="Invalid Vertex Opacity" error="The optional vertex opacity must be a whole number between 0 and 10." sqref="E3:E333"/>
    <dataValidation type="list" allowBlank="1" showInputMessage="1" showErrorMessage="1" promptTitle="Vertex Shape" prompt="Select an optional vertex shape." errorTitle="Invalid Vertex Shape" error="You have entered an invalid vertex shape.  Try selecting from the drop-down list instead." sqref="C3:C3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3">
      <formula1>ValidVertexLabelPositions</formula1>
    </dataValidation>
    <dataValidation allowBlank="1" showInputMessage="1" showErrorMessage="1" promptTitle="Vertex Name" prompt="Enter the name of the vertex." sqref="A3:A3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4.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3327</v>
      </c>
      <c r="Z2" s="52" t="s">
        <v>3328</v>
      </c>
      <c r="AA2" s="52" t="s">
        <v>3329</v>
      </c>
      <c r="AB2" s="52" t="s">
        <v>3330</v>
      </c>
      <c r="AC2" s="52" t="s">
        <v>3331</v>
      </c>
      <c r="AD2" s="52" t="s">
        <v>3332</v>
      </c>
      <c r="AE2" s="52" t="s">
        <v>3333</v>
      </c>
      <c r="AF2" s="52" t="s">
        <v>3334</v>
      </c>
      <c r="AG2" s="52" t="s">
        <v>3337</v>
      </c>
      <c r="AH2" s="13" t="s">
        <v>3389</v>
      </c>
      <c r="AI2" s="13" t="s">
        <v>3481</v>
      </c>
    </row>
    <row r="3" spans="1:35" ht="15">
      <c r="A3" s="83" t="s">
        <v>2049</v>
      </c>
      <c r="B3" s="67" t="s">
        <v>2057</v>
      </c>
      <c r="C3" s="67" t="s">
        <v>56</v>
      </c>
      <c r="D3" s="100"/>
      <c r="E3" s="99"/>
      <c r="F3" s="101" t="s">
        <v>3496</v>
      </c>
      <c r="G3" s="102"/>
      <c r="H3" s="102"/>
      <c r="I3" s="103">
        <v>3</v>
      </c>
      <c r="J3" s="104"/>
      <c r="K3" s="48">
        <v>60</v>
      </c>
      <c r="L3" s="48">
        <v>79</v>
      </c>
      <c r="M3" s="48">
        <v>0</v>
      </c>
      <c r="N3" s="48">
        <v>79</v>
      </c>
      <c r="O3" s="48">
        <v>0</v>
      </c>
      <c r="P3" s="49">
        <v>0.01282051282051282</v>
      </c>
      <c r="Q3" s="49">
        <v>0.02531645569620253</v>
      </c>
      <c r="R3" s="48">
        <v>1</v>
      </c>
      <c r="S3" s="48">
        <v>0</v>
      </c>
      <c r="T3" s="48">
        <v>60</v>
      </c>
      <c r="U3" s="48">
        <v>79</v>
      </c>
      <c r="V3" s="48">
        <v>3</v>
      </c>
      <c r="W3" s="49">
        <v>2.133333</v>
      </c>
      <c r="X3" s="49">
        <v>0.02231638418079096</v>
      </c>
      <c r="Y3" s="48">
        <v>84</v>
      </c>
      <c r="Z3" s="49">
        <v>3.0791788856304985</v>
      </c>
      <c r="AA3" s="48">
        <v>126</v>
      </c>
      <c r="AB3" s="49">
        <v>4.618768328445748</v>
      </c>
      <c r="AC3" s="48">
        <v>0</v>
      </c>
      <c r="AD3" s="49">
        <v>0</v>
      </c>
      <c r="AE3" s="48">
        <v>2518</v>
      </c>
      <c r="AF3" s="49">
        <v>92.30205278592375</v>
      </c>
      <c r="AG3" s="48">
        <v>2728</v>
      </c>
      <c r="AH3" s="112" t="s">
        <v>3390</v>
      </c>
      <c r="AI3" s="112" t="s">
        <v>3482</v>
      </c>
    </row>
    <row r="4" spans="1:35" ht="15">
      <c r="A4" s="83" t="s">
        <v>2050</v>
      </c>
      <c r="B4" s="67" t="s">
        <v>2058</v>
      </c>
      <c r="C4" s="67" t="s">
        <v>56</v>
      </c>
      <c r="D4" s="106"/>
      <c r="E4" s="105"/>
      <c r="F4" s="107" t="s">
        <v>3497</v>
      </c>
      <c r="G4" s="108"/>
      <c r="H4" s="108"/>
      <c r="I4" s="109">
        <v>4</v>
      </c>
      <c r="J4" s="110"/>
      <c r="K4" s="48">
        <v>51</v>
      </c>
      <c r="L4" s="48">
        <v>50</v>
      </c>
      <c r="M4" s="48">
        <v>0</v>
      </c>
      <c r="N4" s="48">
        <v>50</v>
      </c>
      <c r="O4" s="48">
        <v>0</v>
      </c>
      <c r="P4" s="49">
        <v>0</v>
      </c>
      <c r="Q4" s="49">
        <v>0</v>
      </c>
      <c r="R4" s="48">
        <v>1</v>
      </c>
      <c r="S4" s="48">
        <v>0</v>
      </c>
      <c r="T4" s="48">
        <v>51</v>
      </c>
      <c r="U4" s="48">
        <v>50</v>
      </c>
      <c r="V4" s="48">
        <v>2</v>
      </c>
      <c r="W4" s="49">
        <v>1.922338</v>
      </c>
      <c r="X4" s="49">
        <v>0.0196078431372549</v>
      </c>
      <c r="Y4" s="48">
        <v>104</v>
      </c>
      <c r="Z4" s="49">
        <v>5.949656750572083</v>
      </c>
      <c r="AA4" s="48">
        <v>26</v>
      </c>
      <c r="AB4" s="49">
        <v>1.4874141876430207</v>
      </c>
      <c r="AC4" s="48">
        <v>0</v>
      </c>
      <c r="AD4" s="49">
        <v>0</v>
      </c>
      <c r="AE4" s="48">
        <v>1618</v>
      </c>
      <c r="AF4" s="49">
        <v>92.5629290617849</v>
      </c>
      <c r="AG4" s="48">
        <v>1748</v>
      </c>
      <c r="AH4" s="112" t="s">
        <v>3391</v>
      </c>
      <c r="AI4" s="112" t="s">
        <v>3483</v>
      </c>
    </row>
    <row r="5" spans="1:35" ht="15">
      <c r="A5" s="83" t="s">
        <v>2051</v>
      </c>
      <c r="B5" s="67" t="s">
        <v>2059</v>
      </c>
      <c r="C5" s="67" t="s">
        <v>56</v>
      </c>
      <c r="D5" s="106"/>
      <c r="E5" s="105"/>
      <c r="F5" s="107" t="s">
        <v>3498</v>
      </c>
      <c r="G5" s="108"/>
      <c r="H5" s="108"/>
      <c r="I5" s="109">
        <v>5</v>
      </c>
      <c r="J5" s="110"/>
      <c r="K5" s="48">
        <v>47</v>
      </c>
      <c r="L5" s="48">
        <v>46</v>
      </c>
      <c r="M5" s="48">
        <v>0</v>
      </c>
      <c r="N5" s="48">
        <v>46</v>
      </c>
      <c r="O5" s="48">
        <v>0</v>
      </c>
      <c r="P5" s="49">
        <v>0</v>
      </c>
      <c r="Q5" s="49">
        <v>0</v>
      </c>
      <c r="R5" s="48">
        <v>1</v>
      </c>
      <c r="S5" s="48">
        <v>0</v>
      </c>
      <c r="T5" s="48">
        <v>47</v>
      </c>
      <c r="U5" s="48">
        <v>46</v>
      </c>
      <c r="V5" s="48">
        <v>2</v>
      </c>
      <c r="W5" s="49">
        <v>1.915799</v>
      </c>
      <c r="X5" s="49">
        <v>0.02127659574468085</v>
      </c>
      <c r="Y5" s="48">
        <v>92</v>
      </c>
      <c r="Z5" s="49">
        <v>3.1539252656839216</v>
      </c>
      <c r="AA5" s="48">
        <v>117</v>
      </c>
      <c r="AB5" s="49">
        <v>4.010970174837161</v>
      </c>
      <c r="AC5" s="48">
        <v>0</v>
      </c>
      <c r="AD5" s="49">
        <v>0</v>
      </c>
      <c r="AE5" s="48">
        <v>2708</v>
      </c>
      <c r="AF5" s="49">
        <v>92.83510455947892</v>
      </c>
      <c r="AG5" s="48">
        <v>2917</v>
      </c>
      <c r="AH5" s="112" t="s">
        <v>3392</v>
      </c>
      <c r="AI5" s="112" t="s">
        <v>3484</v>
      </c>
    </row>
    <row r="6" spans="1:35" ht="15">
      <c r="A6" s="83" t="s">
        <v>2052</v>
      </c>
      <c r="B6" s="67" t="s">
        <v>2060</v>
      </c>
      <c r="C6" s="67" t="s">
        <v>56</v>
      </c>
      <c r="D6" s="106"/>
      <c r="E6" s="105"/>
      <c r="F6" s="107" t="s">
        <v>3499</v>
      </c>
      <c r="G6" s="108"/>
      <c r="H6" s="108"/>
      <c r="I6" s="109">
        <v>6</v>
      </c>
      <c r="J6" s="110"/>
      <c r="K6" s="48">
        <v>40</v>
      </c>
      <c r="L6" s="48">
        <v>39</v>
      </c>
      <c r="M6" s="48">
        <v>0</v>
      </c>
      <c r="N6" s="48">
        <v>39</v>
      </c>
      <c r="O6" s="48">
        <v>0</v>
      </c>
      <c r="P6" s="49">
        <v>0</v>
      </c>
      <c r="Q6" s="49">
        <v>0</v>
      </c>
      <c r="R6" s="48">
        <v>1</v>
      </c>
      <c r="S6" s="48">
        <v>0</v>
      </c>
      <c r="T6" s="48">
        <v>40</v>
      </c>
      <c r="U6" s="48">
        <v>39</v>
      </c>
      <c r="V6" s="48">
        <v>2</v>
      </c>
      <c r="W6" s="49">
        <v>1.90125</v>
      </c>
      <c r="X6" s="49">
        <v>0.025</v>
      </c>
      <c r="Y6" s="48">
        <v>99</v>
      </c>
      <c r="Z6" s="49">
        <v>4.6720151014629545</v>
      </c>
      <c r="AA6" s="48">
        <v>171</v>
      </c>
      <c r="AB6" s="49">
        <v>8.069844266163285</v>
      </c>
      <c r="AC6" s="48">
        <v>0</v>
      </c>
      <c r="AD6" s="49">
        <v>0</v>
      </c>
      <c r="AE6" s="48">
        <v>1849</v>
      </c>
      <c r="AF6" s="49">
        <v>87.25814063237377</v>
      </c>
      <c r="AG6" s="48">
        <v>2119</v>
      </c>
      <c r="AH6" s="112" t="s">
        <v>3393</v>
      </c>
      <c r="AI6" s="112" t="s">
        <v>3485</v>
      </c>
    </row>
    <row r="7" spans="1:35" ht="15">
      <c r="A7" s="83" t="s">
        <v>2053</v>
      </c>
      <c r="B7" s="67" t="s">
        <v>2061</v>
      </c>
      <c r="C7" s="67" t="s">
        <v>56</v>
      </c>
      <c r="D7" s="106"/>
      <c r="E7" s="105"/>
      <c r="F7" s="107" t="s">
        <v>3500</v>
      </c>
      <c r="G7" s="108"/>
      <c r="H7" s="108"/>
      <c r="I7" s="109">
        <v>7</v>
      </c>
      <c r="J7" s="110"/>
      <c r="K7" s="48">
        <v>40</v>
      </c>
      <c r="L7" s="48">
        <v>39</v>
      </c>
      <c r="M7" s="48">
        <v>0</v>
      </c>
      <c r="N7" s="48">
        <v>39</v>
      </c>
      <c r="O7" s="48">
        <v>0</v>
      </c>
      <c r="P7" s="49">
        <v>0</v>
      </c>
      <c r="Q7" s="49">
        <v>0</v>
      </c>
      <c r="R7" s="48">
        <v>1</v>
      </c>
      <c r="S7" s="48">
        <v>0</v>
      </c>
      <c r="T7" s="48">
        <v>40</v>
      </c>
      <c r="U7" s="48">
        <v>39</v>
      </c>
      <c r="V7" s="48">
        <v>2</v>
      </c>
      <c r="W7" s="49">
        <v>1.90125</v>
      </c>
      <c r="X7" s="49">
        <v>0.025</v>
      </c>
      <c r="Y7" s="48">
        <v>26</v>
      </c>
      <c r="Z7" s="49">
        <v>1.5786278081360048</v>
      </c>
      <c r="AA7" s="48">
        <v>121</v>
      </c>
      <c r="AB7" s="49">
        <v>7.346690953248331</v>
      </c>
      <c r="AC7" s="48">
        <v>0</v>
      </c>
      <c r="AD7" s="49">
        <v>0</v>
      </c>
      <c r="AE7" s="48">
        <v>1500</v>
      </c>
      <c r="AF7" s="49">
        <v>91.07468123861567</v>
      </c>
      <c r="AG7" s="48">
        <v>1647</v>
      </c>
      <c r="AH7" s="112" t="s">
        <v>3394</v>
      </c>
      <c r="AI7" s="112" t="s">
        <v>3486</v>
      </c>
    </row>
    <row r="8" spans="1:35" ht="15">
      <c r="A8" s="83" t="s">
        <v>2054</v>
      </c>
      <c r="B8" s="67" t="s">
        <v>2062</v>
      </c>
      <c r="C8" s="67" t="s">
        <v>56</v>
      </c>
      <c r="D8" s="106"/>
      <c r="E8" s="105"/>
      <c r="F8" s="107" t="s">
        <v>3501</v>
      </c>
      <c r="G8" s="108"/>
      <c r="H8" s="108"/>
      <c r="I8" s="109">
        <v>8</v>
      </c>
      <c r="J8" s="110"/>
      <c r="K8" s="48">
        <v>37</v>
      </c>
      <c r="L8" s="48">
        <v>36</v>
      </c>
      <c r="M8" s="48">
        <v>0</v>
      </c>
      <c r="N8" s="48">
        <v>36</v>
      </c>
      <c r="O8" s="48">
        <v>0</v>
      </c>
      <c r="P8" s="49">
        <v>0</v>
      </c>
      <c r="Q8" s="49">
        <v>0</v>
      </c>
      <c r="R8" s="48">
        <v>1</v>
      </c>
      <c r="S8" s="48">
        <v>0</v>
      </c>
      <c r="T8" s="48">
        <v>37</v>
      </c>
      <c r="U8" s="48">
        <v>36</v>
      </c>
      <c r="V8" s="48">
        <v>2</v>
      </c>
      <c r="W8" s="49">
        <v>1.893353</v>
      </c>
      <c r="X8" s="49">
        <v>0.02702702702702703</v>
      </c>
      <c r="Y8" s="48">
        <v>103</v>
      </c>
      <c r="Z8" s="49">
        <v>5.822498586772188</v>
      </c>
      <c r="AA8" s="48">
        <v>145</v>
      </c>
      <c r="AB8" s="49">
        <v>8.19672131147541</v>
      </c>
      <c r="AC8" s="48">
        <v>0</v>
      </c>
      <c r="AD8" s="49">
        <v>0</v>
      </c>
      <c r="AE8" s="48">
        <v>1521</v>
      </c>
      <c r="AF8" s="49">
        <v>85.9807801017524</v>
      </c>
      <c r="AG8" s="48">
        <v>1769</v>
      </c>
      <c r="AH8" s="112" t="s">
        <v>3395</v>
      </c>
      <c r="AI8" s="112" t="s">
        <v>3487</v>
      </c>
    </row>
    <row r="9" spans="1:35" ht="15">
      <c r="A9" s="83" t="s">
        <v>2055</v>
      </c>
      <c r="B9" s="67" t="s">
        <v>2063</v>
      </c>
      <c r="C9" s="67" t="s">
        <v>56</v>
      </c>
      <c r="D9" s="106"/>
      <c r="E9" s="105"/>
      <c r="F9" s="107" t="s">
        <v>3502</v>
      </c>
      <c r="G9" s="108"/>
      <c r="H9" s="108"/>
      <c r="I9" s="109">
        <v>9</v>
      </c>
      <c r="J9" s="110"/>
      <c r="K9" s="48">
        <v>29</v>
      </c>
      <c r="L9" s="48">
        <v>28</v>
      </c>
      <c r="M9" s="48">
        <v>0</v>
      </c>
      <c r="N9" s="48">
        <v>28</v>
      </c>
      <c r="O9" s="48">
        <v>0</v>
      </c>
      <c r="P9" s="49">
        <v>0</v>
      </c>
      <c r="Q9" s="49">
        <v>0</v>
      </c>
      <c r="R9" s="48">
        <v>1</v>
      </c>
      <c r="S9" s="48">
        <v>0</v>
      </c>
      <c r="T9" s="48">
        <v>29</v>
      </c>
      <c r="U9" s="48">
        <v>28</v>
      </c>
      <c r="V9" s="48">
        <v>2</v>
      </c>
      <c r="W9" s="49">
        <v>1.864447</v>
      </c>
      <c r="X9" s="49">
        <v>0.034482758620689655</v>
      </c>
      <c r="Y9" s="48">
        <v>18</v>
      </c>
      <c r="Z9" s="49">
        <v>1.8274111675126903</v>
      </c>
      <c r="AA9" s="48">
        <v>39</v>
      </c>
      <c r="AB9" s="49">
        <v>3.9593908629441623</v>
      </c>
      <c r="AC9" s="48">
        <v>0</v>
      </c>
      <c r="AD9" s="49">
        <v>0</v>
      </c>
      <c r="AE9" s="48">
        <v>928</v>
      </c>
      <c r="AF9" s="49">
        <v>94.21319796954315</v>
      </c>
      <c r="AG9" s="48">
        <v>985</v>
      </c>
      <c r="AH9" s="112" t="s">
        <v>3396</v>
      </c>
      <c r="AI9" s="112" t="s">
        <v>3488</v>
      </c>
    </row>
    <row r="10" spans="1:35" ht="14.25" customHeight="1">
      <c r="A10" s="83" t="s">
        <v>2056</v>
      </c>
      <c r="B10" s="67" t="s">
        <v>2064</v>
      </c>
      <c r="C10" s="67" t="s">
        <v>56</v>
      </c>
      <c r="D10" s="106"/>
      <c r="E10" s="105"/>
      <c r="F10" s="107" t="s">
        <v>3503</v>
      </c>
      <c r="G10" s="108"/>
      <c r="H10" s="108"/>
      <c r="I10" s="109">
        <v>10</v>
      </c>
      <c r="J10" s="110"/>
      <c r="K10" s="48">
        <v>27</v>
      </c>
      <c r="L10" s="48">
        <v>26</v>
      </c>
      <c r="M10" s="48">
        <v>0</v>
      </c>
      <c r="N10" s="48">
        <v>26</v>
      </c>
      <c r="O10" s="48">
        <v>0</v>
      </c>
      <c r="P10" s="49">
        <v>0</v>
      </c>
      <c r="Q10" s="49">
        <v>0</v>
      </c>
      <c r="R10" s="48">
        <v>1</v>
      </c>
      <c r="S10" s="48">
        <v>0</v>
      </c>
      <c r="T10" s="48">
        <v>27</v>
      </c>
      <c r="U10" s="48">
        <v>26</v>
      </c>
      <c r="V10" s="48">
        <v>2</v>
      </c>
      <c r="W10" s="49">
        <v>1.854595</v>
      </c>
      <c r="X10" s="49">
        <v>0.037037037037037035</v>
      </c>
      <c r="Y10" s="48">
        <v>12</v>
      </c>
      <c r="Z10" s="49">
        <v>1.2725344644750796</v>
      </c>
      <c r="AA10" s="48">
        <v>59</v>
      </c>
      <c r="AB10" s="49">
        <v>6.256627783669141</v>
      </c>
      <c r="AC10" s="48">
        <v>0</v>
      </c>
      <c r="AD10" s="49">
        <v>0</v>
      </c>
      <c r="AE10" s="48">
        <v>872</v>
      </c>
      <c r="AF10" s="49">
        <v>92.47083775185578</v>
      </c>
      <c r="AG10" s="48">
        <v>943</v>
      </c>
      <c r="AH10" s="112" t="s">
        <v>3397</v>
      </c>
      <c r="AI10" s="112" t="s">
        <v>3489</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2049</v>
      </c>
      <c r="B2" s="112" t="s">
        <v>329</v>
      </c>
      <c r="C2" s="80">
        <f>VLOOKUP(GroupVertices[[#This Row],[Vertex]],Vertices[],MATCH("ID",Vertices[[#Headers],[Vertex]:[Top Word Pairs in Tags by Salience]],0),FALSE)</f>
        <v>87</v>
      </c>
    </row>
    <row r="3" spans="1:3" ht="15">
      <c r="A3" s="80" t="s">
        <v>2049</v>
      </c>
      <c r="B3" s="112" t="s">
        <v>613</v>
      </c>
      <c r="C3" s="80">
        <f>VLOOKUP(GroupVertices[[#This Row],[Vertex]],Vertices[],MATCH("ID",Vertices[[#Headers],[Vertex]:[Top Word Pairs in Tags by Salience]],0),FALSE)</f>
        <v>295</v>
      </c>
    </row>
    <row r="4" spans="1:3" ht="15">
      <c r="A4" s="80" t="s">
        <v>2049</v>
      </c>
      <c r="B4" s="112" t="s">
        <v>612</v>
      </c>
      <c r="C4" s="80">
        <f>VLOOKUP(GroupVertices[[#This Row],[Vertex]],Vertices[],MATCH("ID",Vertices[[#Headers],[Vertex]:[Top Word Pairs in Tags by Salience]],0),FALSE)</f>
        <v>294</v>
      </c>
    </row>
    <row r="5" spans="1:3" ht="15">
      <c r="A5" s="80" t="s">
        <v>2049</v>
      </c>
      <c r="B5" s="112" t="s">
        <v>611</v>
      </c>
      <c r="C5" s="80">
        <f>VLOOKUP(GroupVertices[[#This Row],[Vertex]],Vertices[],MATCH("ID",Vertices[[#Headers],[Vertex]:[Top Word Pairs in Tags by Salience]],0),FALSE)</f>
        <v>293</v>
      </c>
    </row>
    <row r="6" spans="1:3" ht="15">
      <c r="A6" s="80" t="s">
        <v>2049</v>
      </c>
      <c r="B6" s="112" t="s">
        <v>610</v>
      </c>
      <c r="C6" s="80">
        <f>VLOOKUP(GroupVertices[[#This Row],[Vertex]],Vertices[],MATCH("ID",Vertices[[#Headers],[Vertex]:[Top Word Pairs in Tags by Salience]],0),FALSE)</f>
        <v>292</v>
      </c>
    </row>
    <row r="7" spans="1:3" ht="15">
      <c r="A7" s="80" t="s">
        <v>2049</v>
      </c>
      <c r="B7" s="112" t="s">
        <v>325</v>
      </c>
      <c r="C7" s="80">
        <f>VLOOKUP(GroupVertices[[#This Row],[Vertex]],Vertices[],MATCH("ID",Vertices[[#Headers],[Vertex]:[Top Word Pairs in Tags by Salience]],0),FALSE)</f>
        <v>151</v>
      </c>
    </row>
    <row r="8" spans="1:3" ht="15">
      <c r="A8" s="80" t="s">
        <v>2049</v>
      </c>
      <c r="B8" s="112" t="s">
        <v>609</v>
      </c>
      <c r="C8" s="80">
        <f>VLOOKUP(GroupVertices[[#This Row],[Vertex]],Vertices[],MATCH("ID",Vertices[[#Headers],[Vertex]:[Top Word Pairs in Tags by Salience]],0),FALSE)</f>
        <v>291</v>
      </c>
    </row>
    <row r="9" spans="1:3" ht="15">
      <c r="A9" s="80" t="s">
        <v>2049</v>
      </c>
      <c r="B9" s="112" t="s">
        <v>608</v>
      </c>
      <c r="C9" s="80">
        <f>VLOOKUP(GroupVertices[[#This Row],[Vertex]],Vertices[],MATCH("ID",Vertices[[#Headers],[Vertex]:[Top Word Pairs in Tags by Salience]],0),FALSE)</f>
        <v>290</v>
      </c>
    </row>
    <row r="10" spans="1:3" ht="15">
      <c r="A10" s="80" t="s">
        <v>2049</v>
      </c>
      <c r="B10" s="112" t="s">
        <v>607</v>
      </c>
      <c r="C10" s="80">
        <f>VLOOKUP(GroupVertices[[#This Row],[Vertex]],Vertices[],MATCH("ID",Vertices[[#Headers],[Vertex]:[Top Word Pairs in Tags by Salience]],0),FALSE)</f>
        <v>289</v>
      </c>
    </row>
    <row r="11" spans="1:3" ht="15">
      <c r="A11" s="80" t="s">
        <v>2049</v>
      </c>
      <c r="B11" s="112" t="s">
        <v>606</v>
      </c>
      <c r="C11" s="80">
        <f>VLOOKUP(GroupVertices[[#This Row],[Vertex]],Vertices[],MATCH("ID",Vertices[[#Headers],[Vertex]:[Top Word Pairs in Tags by Salience]],0),FALSE)</f>
        <v>288</v>
      </c>
    </row>
    <row r="12" spans="1:3" ht="15">
      <c r="A12" s="80" t="s">
        <v>2049</v>
      </c>
      <c r="B12" s="112" t="s">
        <v>605</v>
      </c>
      <c r="C12" s="80">
        <f>VLOOKUP(GroupVertices[[#This Row],[Vertex]],Vertices[],MATCH("ID",Vertices[[#Headers],[Vertex]:[Top Word Pairs in Tags by Salience]],0),FALSE)</f>
        <v>287</v>
      </c>
    </row>
    <row r="13" spans="1:3" ht="15">
      <c r="A13" s="80" t="s">
        <v>2049</v>
      </c>
      <c r="B13" s="112" t="s">
        <v>604</v>
      </c>
      <c r="C13" s="80">
        <f>VLOOKUP(GroupVertices[[#This Row],[Vertex]],Vertices[],MATCH("ID",Vertices[[#Headers],[Vertex]:[Top Word Pairs in Tags by Salience]],0),FALSE)</f>
        <v>286</v>
      </c>
    </row>
    <row r="14" spans="1:3" ht="15">
      <c r="A14" s="80" t="s">
        <v>2049</v>
      </c>
      <c r="B14" s="112" t="s">
        <v>603</v>
      </c>
      <c r="C14" s="80">
        <f>VLOOKUP(GroupVertices[[#This Row],[Vertex]],Vertices[],MATCH("ID",Vertices[[#Headers],[Vertex]:[Top Word Pairs in Tags by Salience]],0),FALSE)</f>
        <v>285</v>
      </c>
    </row>
    <row r="15" spans="1:3" ht="15">
      <c r="A15" s="80" t="s">
        <v>2049</v>
      </c>
      <c r="B15" s="112" t="s">
        <v>602</v>
      </c>
      <c r="C15" s="80">
        <f>VLOOKUP(GroupVertices[[#This Row],[Vertex]],Vertices[],MATCH("ID",Vertices[[#Headers],[Vertex]:[Top Word Pairs in Tags by Salience]],0),FALSE)</f>
        <v>284</v>
      </c>
    </row>
    <row r="16" spans="1:3" ht="15">
      <c r="A16" s="80" t="s">
        <v>2049</v>
      </c>
      <c r="B16" s="112" t="s">
        <v>601</v>
      </c>
      <c r="C16" s="80">
        <f>VLOOKUP(GroupVertices[[#This Row],[Vertex]],Vertices[],MATCH("ID",Vertices[[#Headers],[Vertex]:[Top Word Pairs in Tags by Salience]],0),FALSE)</f>
        <v>283</v>
      </c>
    </row>
    <row r="17" spans="1:3" ht="15">
      <c r="A17" s="80" t="s">
        <v>2049</v>
      </c>
      <c r="B17" s="112" t="s">
        <v>600</v>
      </c>
      <c r="C17" s="80">
        <f>VLOOKUP(GroupVertices[[#This Row],[Vertex]],Vertices[],MATCH("ID",Vertices[[#Headers],[Vertex]:[Top Word Pairs in Tags by Salience]],0),FALSE)</f>
        <v>282</v>
      </c>
    </row>
    <row r="18" spans="1:3" ht="15">
      <c r="A18" s="80" t="s">
        <v>2049</v>
      </c>
      <c r="B18" s="112" t="s">
        <v>599</v>
      </c>
      <c r="C18" s="80">
        <f>VLOOKUP(GroupVertices[[#This Row],[Vertex]],Vertices[],MATCH("ID",Vertices[[#Headers],[Vertex]:[Top Word Pairs in Tags by Salience]],0),FALSE)</f>
        <v>281</v>
      </c>
    </row>
    <row r="19" spans="1:3" ht="15">
      <c r="A19" s="80" t="s">
        <v>2049</v>
      </c>
      <c r="B19" s="112" t="s">
        <v>598</v>
      </c>
      <c r="C19" s="80">
        <f>VLOOKUP(GroupVertices[[#This Row],[Vertex]],Vertices[],MATCH("ID",Vertices[[#Headers],[Vertex]:[Top Word Pairs in Tags by Salience]],0),FALSE)</f>
        <v>280</v>
      </c>
    </row>
    <row r="20" spans="1:3" ht="15">
      <c r="A20" s="80" t="s">
        <v>2049</v>
      </c>
      <c r="B20" s="112" t="s">
        <v>597</v>
      </c>
      <c r="C20" s="80">
        <f>VLOOKUP(GroupVertices[[#This Row],[Vertex]],Vertices[],MATCH("ID",Vertices[[#Headers],[Vertex]:[Top Word Pairs in Tags by Salience]],0),FALSE)</f>
        <v>279</v>
      </c>
    </row>
    <row r="21" spans="1:3" ht="15">
      <c r="A21" s="80" t="s">
        <v>2049</v>
      </c>
      <c r="B21" s="112" t="s">
        <v>596</v>
      </c>
      <c r="C21" s="80">
        <f>VLOOKUP(GroupVertices[[#This Row],[Vertex]],Vertices[],MATCH("ID",Vertices[[#Headers],[Vertex]:[Top Word Pairs in Tags by Salience]],0),FALSE)</f>
        <v>278</v>
      </c>
    </row>
    <row r="22" spans="1:3" ht="15">
      <c r="A22" s="80" t="s">
        <v>2049</v>
      </c>
      <c r="B22" s="112" t="s">
        <v>595</v>
      </c>
      <c r="C22" s="80">
        <f>VLOOKUP(GroupVertices[[#This Row],[Vertex]],Vertices[],MATCH("ID",Vertices[[#Headers],[Vertex]:[Top Word Pairs in Tags by Salience]],0),FALSE)</f>
        <v>277</v>
      </c>
    </row>
    <row r="23" spans="1:3" ht="15">
      <c r="A23" s="80" t="s">
        <v>2049</v>
      </c>
      <c r="B23" s="112" t="s">
        <v>594</v>
      </c>
      <c r="C23" s="80">
        <f>VLOOKUP(GroupVertices[[#This Row],[Vertex]],Vertices[],MATCH("ID",Vertices[[#Headers],[Vertex]:[Top Word Pairs in Tags by Salience]],0),FALSE)</f>
        <v>276</v>
      </c>
    </row>
    <row r="24" spans="1:3" ht="15">
      <c r="A24" s="80" t="s">
        <v>2049</v>
      </c>
      <c r="B24" s="112" t="s">
        <v>593</v>
      </c>
      <c r="C24" s="80">
        <f>VLOOKUP(GroupVertices[[#This Row],[Vertex]],Vertices[],MATCH("ID",Vertices[[#Headers],[Vertex]:[Top Word Pairs in Tags by Salience]],0),FALSE)</f>
        <v>275</v>
      </c>
    </row>
    <row r="25" spans="1:3" ht="15">
      <c r="A25" s="80" t="s">
        <v>2049</v>
      </c>
      <c r="B25" s="112" t="s">
        <v>592</v>
      </c>
      <c r="C25" s="80">
        <f>VLOOKUP(GroupVertices[[#This Row],[Vertex]],Vertices[],MATCH("ID",Vertices[[#Headers],[Vertex]:[Top Word Pairs in Tags by Salience]],0),FALSE)</f>
        <v>274</v>
      </c>
    </row>
    <row r="26" spans="1:3" ht="15">
      <c r="A26" s="80" t="s">
        <v>2049</v>
      </c>
      <c r="B26" s="112" t="s">
        <v>591</v>
      </c>
      <c r="C26" s="80">
        <f>VLOOKUP(GroupVertices[[#This Row],[Vertex]],Vertices[],MATCH("ID",Vertices[[#Headers],[Vertex]:[Top Word Pairs in Tags by Salience]],0),FALSE)</f>
        <v>273</v>
      </c>
    </row>
    <row r="27" spans="1:3" ht="15">
      <c r="A27" s="80" t="s">
        <v>2049</v>
      </c>
      <c r="B27" s="112" t="s">
        <v>590</v>
      </c>
      <c r="C27" s="80">
        <f>VLOOKUP(GroupVertices[[#This Row],[Vertex]],Vertices[],MATCH("ID",Vertices[[#Headers],[Vertex]:[Top Word Pairs in Tags by Salience]],0),FALSE)</f>
        <v>272</v>
      </c>
    </row>
    <row r="28" spans="1:3" ht="15">
      <c r="A28" s="80" t="s">
        <v>2049</v>
      </c>
      <c r="B28" s="112" t="s">
        <v>589</v>
      </c>
      <c r="C28" s="80">
        <f>VLOOKUP(GroupVertices[[#This Row],[Vertex]],Vertices[],MATCH("ID",Vertices[[#Headers],[Vertex]:[Top Word Pairs in Tags by Salience]],0),FALSE)</f>
        <v>271</v>
      </c>
    </row>
    <row r="29" spans="1:3" ht="15">
      <c r="A29" s="80" t="s">
        <v>2049</v>
      </c>
      <c r="B29" s="112" t="s">
        <v>588</v>
      </c>
      <c r="C29" s="80">
        <f>VLOOKUP(GroupVertices[[#This Row],[Vertex]],Vertices[],MATCH("ID",Vertices[[#Headers],[Vertex]:[Top Word Pairs in Tags by Salience]],0),FALSE)</f>
        <v>270</v>
      </c>
    </row>
    <row r="30" spans="1:3" ht="15">
      <c r="A30" s="80" t="s">
        <v>2049</v>
      </c>
      <c r="B30" s="112" t="s">
        <v>587</v>
      </c>
      <c r="C30" s="80">
        <f>VLOOKUP(GroupVertices[[#This Row],[Vertex]],Vertices[],MATCH("ID",Vertices[[#Headers],[Vertex]:[Top Word Pairs in Tags by Salience]],0),FALSE)</f>
        <v>269</v>
      </c>
    </row>
    <row r="31" spans="1:3" ht="15">
      <c r="A31" s="80" t="s">
        <v>2049</v>
      </c>
      <c r="B31" s="112" t="s">
        <v>538</v>
      </c>
      <c r="C31" s="80">
        <f>VLOOKUP(GroupVertices[[#This Row],[Vertex]],Vertices[],MATCH("ID",Vertices[[#Headers],[Vertex]:[Top Word Pairs in Tags by Salience]],0),FALSE)</f>
        <v>220</v>
      </c>
    </row>
    <row r="32" spans="1:3" ht="15">
      <c r="A32" s="80" t="s">
        <v>2049</v>
      </c>
      <c r="B32" s="112" t="s">
        <v>537</v>
      </c>
      <c r="C32" s="80">
        <f>VLOOKUP(GroupVertices[[#This Row],[Vertex]],Vertices[],MATCH("ID",Vertices[[#Headers],[Vertex]:[Top Word Pairs in Tags by Salience]],0),FALSE)</f>
        <v>219</v>
      </c>
    </row>
    <row r="33" spans="1:3" ht="15">
      <c r="A33" s="80" t="s">
        <v>2049</v>
      </c>
      <c r="B33" s="112" t="s">
        <v>535</v>
      </c>
      <c r="C33" s="80">
        <f>VLOOKUP(GroupVertices[[#This Row],[Vertex]],Vertices[],MATCH("ID",Vertices[[#Headers],[Vertex]:[Top Word Pairs in Tags by Salience]],0),FALSE)</f>
        <v>217</v>
      </c>
    </row>
    <row r="34" spans="1:3" ht="15">
      <c r="A34" s="80" t="s">
        <v>2049</v>
      </c>
      <c r="B34" s="112" t="s">
        <v>534</v>
      </c>
      <c r="C34" s="80">
        <f>VLOOKUP(GroupVertices[[#This Row],[Vertex]],Vertices[],MATCH("ID",Vertices[[#Headers],[Vertex]:[Top Word Pairs in Tags by Salience]],0),FALSE)</f>
        <v>216</v>
      </c>
    </row>
    <row r="35" spans="1:3" ht="15">
      <c r="A35" s="80" t="s">
        <v>2049</v>
      </c>
      <c r="B35" s="112" t="s">
        <v>529</v>
      </c>
      <c r="C35" s="80">
        <f>VLOOKUP(GroupVertices[[#This Row],[Vertex]],Vertices[],MATCH("ID",Vertices[[#Headers],[Vertex]:[Top Word Pairs in Tags by Salience]],0),FALSE)</f>
        <v>211</v>
      </c>
    </row>
    <row r="36" spans="1:3" ht="15">
      <c r="A36" s="80" t="s">
        <v>2049</v>
      </c>
      <c r="B36" s="112" t="s">
        <v>526</v>
      </c>
      <c r="C36" s="80">
        <f>VLOOKUP(GroupVertices[[#This Row],[Vertex]],Vertices[],MATCH("ID",Vertices[[#Headers],[Vertex]:[Top Word Pairs in Tags by Salience]],0),FALSE)</f>
        <v>208</v>
      </c>
    </row>
    <row r="37" spans="1:3" ht="15">
      <c r="A37" s="80" t="s">
        <v>2049</v>
      </c>
      <c r="B37" s="112" t="s">
        <v>422</v>
      </c>
      <c r="C37" s="80">
        <f>VLOOKUP(GroupVertices[[#This Row],[Vertex]],Vertices[],MATCH("ID",Vertices[[#Headers],[Vertex]:[Top Word Pairs in Tags by Salience]],0),FALSE)</f>
        <v>100</v>
      </c>
    </row>
    <row r="38" spans="1:3" ht="15">
      <c r="A38" s="80" t="s">
        <v>2049</v>
      </c>
      <c r="B38" s="112" t="s">
        <v>416</v>
      </c>
      <c r="C38" s="80">
        <f>VLOOKUP(GroupVertices[[#This Row],[Vertex]],Vertices[],MATCH("ID",Vertices[[#Headers],[Vertex]:[Top Word Pairs in Tags by Salience]],0),FALSE)</f>
        <v>93</v>
      </c>
    </row>
    <row r="39" spans="1:3" ht="15">
      <c r="A39" s="80" t="s">
        <v>2049</v>
      </c>
      <c r="B39" s="112" t="s">
        <v>418</v>
      </c>
      <c r="C39" s="80">
        <f>VLOOKUP(GroupVertices[[#This Row],[Vertex]],Vertices[],MATCH("ID",Vertices[[#Headers],[Vertex]:[Top Word Pairs in Tags by Salience]],0),FALSE)</f>
        <v>95</v>
      </c>
    </row>
    <row r="40" spans="1:3" ht="15">
      <c r="A40" s="80" t="s">
        <v>2049</v>
      </c>
      <c r="B40" s="112" t="s">
        <v>415</v>
      </c>
      <c r="C40" s="80">
        <f>VLOOKUP(GroupVertices[[#This Row],[Vertex]],Vertices[],MATCH("ID",Vertices[[#Headers],[Vertex]:[Top Word Pairs in Tags by Salience]],0),FALSE)</f>
        <v>92</v>
      </c>
    </row>
    <row r="41" spans="1:3" ht="15">
      <c r="A41" s="80" t="s">
        <v>2049</v>
      </c>
      <c r="B41" s="112" t="s">
        <v>492</v>
      </c>
      <c r="C41" s="80">
        <f>VLOOKUP(GroupVertices[[#This Row],[Vertex]],Vertices[],MATCH("ID",Vertices[[#Headers],[Vertex]:[Top Word Pairs in Tags by Salience]],0),FALSE)</f>
        <v>172</v>
      </c>
    </row>
    <row r="42" spans="1:3" ht="15">
      <c r="A42" s="80" t="s">
        <v>2049</v>
      </c>
      <c r="B42" s="112" t="s">
        <v>491</v>
      </c>
      <c r="C42" s="80">
        <f>VLOOKUP(GroupVertices[[#This Row],[Vertex]],Vertices[],MATCH("ID",Vertices[[#Headers],[Vertex]:[Top Word Pairs in Tags by Salience]],0),FALSE)</f>
        <v>171</v>
      </c>
    </row>
    <row r="43" spans="1:3" ht="15">
      <c r="A43" s="80" t="s">
        <v>2049</v>
      </c>
      <c r="B43" s="112" t="s">
        <v>490</v>
      </c>
      <c r="C43" s="80">
        <f>VLOOKUP(GroupVertices[[#This Row],[Vertex]],Vertices[],MATCH("ID",Vertices[[#Headers],[Vertex]:[Top Word Pairs in Tags by Salience]],0),FALSE)</f>
        <v>170</v>
      </c>
    </row>
    <row r="44" spans="1:3" ht="15">
      <c r="A44" s="80" t="s">
        <v>2049</v>
      </c>
      <c r="B44" s="112" t="s">
        <v>489</v>
      </c>
      <c r="C44" s="80">
        <f>VLOOKUP(GroupVertices[[#This Row],[Vertex]],Vertices[],MATCH("ID",Vertices[[#Headers],[Vertex]:[Top Word Pairs in Tags by Salience]],0),FALSE)</f>
        <v>169</v>
      </c>
    </row>
    <row r="45" spans="1:3" ht="15">
      <c r="A45" s="80" t="s">
        <v>2049</v>
      </c>
      <c r="B45" s="112" t="s">
        <v>488</v>
      </c>
      <c r="C45" s="80">
        <f>VLOOKUP(GroupVertices[[#This Row],[Vertex]],Vertices[],MATCH("ID",Vertices[[#Headers],[Vertex]:[Top Word Pairs in Tags by Salience]],0),FALSE)</f>
        <v>168</v>
      </c>
    </row>
    <row r="46" spans="1:3" ht="15">
      <c r="A46" s="80" t="s">
        <v>2049</v>
      </c>
      <c r="B46" s="112" t="s">
        <v>487</v>
      </c>
      <c r="C46" s="80">
        <f>VLOOKUP(GroupVertices[[#This Row],[Vertex]],Vertices[],MATCH("ID",Vertices[[#Headers],[Vertex]:[Top Word Pairs in Tags by Salience]],0),FALSE)</f>
        <v>167</v>
      </c>
    </row>
    <row r="47" spans="1:3" ht="15">
      <c r="A47" s="80" t="s">
        <v>2049</v>
      </c>
      <c r="B47" s="112" t="s">
        <v>486</v>
      </c>
      <c r="C47" s="80">
        <f>VLOOKUP(GroupVertices[[#This Row],[Vertex]],Vertices[],MATCH("ID",Vertices[[#Headers],[Vertex]:[Top Word Pairs in Tags by Salience]],0),FALSE)</f>
        <v>166</v>
      </c>
    </row>
    <row r="48" spans="1:3" ht="15">
      <c r="A48" s="80" t="s">
        <v>2049</v>
      </c>
      <c r="B48" s="112" t="s">
        <v>485</v>
      </c>
      <c r="C48" s="80">
        <f>VLOOKUP(GroupVertices[[#This Row],[Vertex]],Vertices[],MATCH("ID",Vertices[[#Headers],[Vertex]:[Top Word Pairs in Tags by Salience]],0),FALSE)</f>
        <v>165</v>
      </c>
    </row>
    <row r="49" spans="1:3" ht="15">
      <c r="A49" s="80" t="s">
        <v>2049</v>
      </c>
      <c r="B49" s="112" t="s">
        <v>484</v>
      </c>
      <c r="C49" s="80">
        <f>VLOOKUP(GroupVertices[[#This Row],[Vertex]],Vertices[],MATCH("ID",Vertices[[#Headers],[Vertex]:[Top Word Pairs in Tags by Salience]],0),FALSE)</f>
        <v>164</v>
      </c>
    </row>
    <row r="50" spans="1:3" ht="15">
      <c r="A50" s="80" t="s">
        <v>2049</v>
      </c>
      <c r="B50" s="112" t="s">
        <v>483</v>
      </c>
      <c r="C50" s="80">
        <f>VLOOKUP(GroupVertices[[#This Row],[Vertex]],Vertices[],MATCH("ID",Vertices[[#Headers],[Vertex]:[Top Word Pairs in Tags by Salience]],0),FALSE)</f>
        <v>163</v>
      </c>
    </row>
    <row r="51" spans="1:3" ht="15">
      <c r="A51" s="80" t="s">
        <v>2049</v>
      </c>
      <c r="B51" s="112" t="s">
        <v>482</v>
      </c>
      <c r="C51" s="80">
        <f>VLOOKUP(GroupVertices[[#This Row],[Vertex]],Vertices[],MATCH("ID",Vertices[[#Headers],[Vertex]:[Top Word Pairs in Tags by Salience]],0),FALSE)</f>
        <v>162</v>
      </c>
    </row>
    <row r="52" spans="1:3" ht="15">
      <c r="A52" s="80" t="s">
        <v>2049</v>
      </c>
      <c r="B52" s="112" t="s">
        <v>481</v>
      </c>
      <c r="C52" s="80">
        <f>VLOOKUP(GroupVertices[[#This Row],[Vertex]],Vertices[],MATCH("ID",Vertices[[#Headers],[Vertex]:[Top Word Pairs in Tags by Salience]],0),FALSE)</f>
        <v>161</v>
      </c>
    </row>
    <row r="53" spans="1:3" ht="15">
      <c r="A53" s="80" t="s">
        <v>2049</v>
      </c>
      <c r="B53" s="112" t="s">
        <v>480</v>
      </c>
      <c r="C53" s="80">
        <f>VLOOKUP(GroupVertices[[#This Row],[Vertex]],Vertices[],MATCH("ID",Vertices[[#Headers],[Vertex]:[Top Word Pairs in Tags by Salience]],0),FALSE)</f>
        <v>160</v>
      </c>
    </row>
    <row r="54" spans="1:3" ht="15">
      <c r="A54" s="80" t="s">
        <v>2049</v>
      </c>
      <c r="B54" s="112" t="s">
        <v>479</v>
      </c>
      <c r="C54" s="80">
        <f>VLOOKUP(GroupVertices[[#This Row],[Vertex]],Vertices[],MATCH("ID",Vertices[[#Headers],[Vertex]:[Top Word Pairs in Tags by Salience]],0),FALSE)</f>
        <v>159</v>
      </c>
    </row>
    <row r="55" spans="1:3" ht="15">
      <c r="A55" s="80" t="s">
        <v>2049</v>
      </c>
      <c r="B55" s="112" t="s">
        <v>478</v>
      </c>
      <c r="C55" s="80">
        <f>VLOOKUP(GroupVertices[[#This Row],[Vertex]],Vertices[],MATCH("ID",Vertices[[#Headers],[Vertex]:[Top Word Pairs in Tags by Salience]],0),FALSE)</f>
        <v>158</v>
      </c>
    </row>
    <row r="56" spans="1:3" ht="15">
      <c r="A56" s="80" t="s">
        <v>2049</v>
      </c>
      <c r="B56" s="112" t="s">
        <v>477</v>
      </c>
      <c r="C56" s="80">
        <f>VLOOKUP(GroupVertices[[#This Row],[Vertex]],Vertices[],MATCH("ID",Vertices[[#Headers],[Vertex]:[Top Word Pairs in Tags by Salience]],0),FALSE)</f>
        <v>157</v>
      </c>
    </row>
    <row r="57" spans="1:3" ht="15">
      <c r="A57" s="80" t="s">
        <v>2049</v>
      </c>
      <c r="B57" s="112" t="s">
        <v>476</v>
      </c>
      <c r="C57" s="80">
        <f>VLOOKUP(GroupVertices[[#This Row],[Vertex]],Vertices[],MATCH("ID",Vertices[[#Headers],[Vertex]:[Top Word Pairs in Tags by Salience]],0),FALSE)</f>
        <v>156</v>
      </c>
    </row>
    <row r="58" spans="1:3" ht="15">
      <c r="A58" s="80" t="s">
        <v>2049</v>
      </c>
      <c r="B58" s="112" t="s">
        <v>475</v>
      </c>
      <c r="C58" s="80">
        <f>VLOOKUP(GroupVertices[[#This Row],[Vertex]],Vertices[],MATCH("ID",Vertices[[#Headers],[Vertex]:[Top Word Pairs in Tags by Salience]],0),FALSE)</f>
        <v>155</v>
      </c>
    </row>
    <row r="59" spans="1:3" ht="15">
      <c r="A59" s="80" t="s">
        <v>2049</v>
      </c>
      <c r="B59" s="112" t="s">
        <v>474</v>
      </c>
      <c r="C59" s="80">
        <f>VLOOKUP(GroupVertices[[#This Row],[Vertex]],Vertices[],MATCH("ID",Vertices[[#Headers],[Vertex]:[Top Word Pairs in Tags by Salience]],0),FALSE)</f>
        <v>154</v>
      </c>
    </row>
    <row r="60" spans="1:3" ht="15">
      <c r="A60" s="80" t="s">
        <v>2049</v>
      </c>
      <c r="B60" s="112" t="s">
        <v>473</v>
      </c>
      <c r="C60" s="80">
        <f>VLOOKUP(GroupVertices[[#This Row],[Vertex]],Vertices[],MATCH("ID",Vertices[[#Headers],[Vertex]:[Top Word Pairs in Tags by Salience]],0),FALSE)</f>
        <v>153</v>
      </c>
    </row>
    <row r="61" spans="1:3" ht="15">
      <c r="A61" s="80" t="s">
        <v>2049</v>
      </c>
      <c r="B61" s="112" t="s">
        <v>472</v>
      </c>
      <c r="C61" s="80">
        <f>VLOOKUP(GroupVertices[[#This Row],[Vertex]],Vertices[],MATCH("ID",Vertices[[#Headers],[Vertex]:[Top Word Pairs in Tags by Salience]],0),FALSE)</f>
        <v>152</v>
      </c>
    </row>
    <row r="62" spans="1:3" ht="15">
      <c r="A62" s="80" t="s">
        <v>2050</v>
      </c>
      <c r="B62" s="112" t="s">
        <v>324</v>
      </c>
      <c r="C62" s="80">
        <f>VLOOKUP(GroupVertices[[#This Row],[Vertex]],Vertices[],MATCH("ID",Vertices[[#Headers],[Vertex]:[Top Word Pairs in Tags by Salience]],0),FALSE)</f>
        <v>101</v>
      </c>
    </row>
    <row r="63" spans="1:3" ht="15">
      <c r="A63" s="80" t="s">
        <v>2050</v>
      </c>
      <c r="B63" s="112" t="s">
        <v>471</v>
      </c>
      <c r="C63" s="80">
        <f>VLOOKUP(GroupVertices[[#This Row],[Vertex]],Vertices[],MATCH("ID",Vertices[[#Headers],[Vertex]:[Top Word Pairs in Tags by Salience]],0),FALSE)</f>
        <v>150</v>
      </c>
    </row>
    <row r="64" spans="1:3" ht="15">
      <c r="A64" s="80" t="s">
        <v>2050</v>
      </c>
      <c r="B64" s="112" t="s">
        <v>470</v>
      </c>
      <c r="C64" s="80">
        <f>VLOOKUP(GroupVertices[[#This Row],[Vertex]],Vertices[],MATCH("ID",Vertices[[#Headers],[Vertex]:[Top Word Pairs in Tags by Salience]],0),FALSE)</f>
        <v>149</v>
      </c>
    </row>
    <row r="65" spans="1:3" ht="15">
      <c r="A65" s="80" t="s">
        <v>2050</v>
      </c>
      <c r="B65" s="112" t="s">
        <v>469</v>
      </c>
      <c r="C65" s="80">
        <f>VLOOKUP(GroupVertices[[#This Row],[Vertex]],Vertices[],MATCH("ID",Vertices[[#Headers],[Vertex]:[Top Word Pairs in Tags by Salience]],0),FALSE)</f>
        <v>148</v>
      </c>
    </row>
    <row r="66" spans="1:3" ht="15">
      <c r="A66" s="80" t="s">
        <v>2050</v>
      </c>
      <c r="B66" s="112" t="s">
        <v>468</v>
      </c>
      <c r="C66" s="80">
        <f>VLOOKUP(GroupVertices[[#This Row],[Vertex]],Vertices[],MATCH("ID",Vertices[[#Headers],[Vertex]:[Top Word Pairs in Tags by Salience]],0),FALSE)</f>
        <v>147</v>
      </c>
    </row>
    <row r="67" spans="1:3" ht="15">
      <c r="A67" s="80" t="s">
        <v>2050</v>
      </c>
      <c r="B67" s="112" t="s">
        <v>467</v>
      </c>
      <c r="C67" s="80">
        <f>VLOOKUP(GroupVertices[[#This Row],[Vertex]],Vertices[],MATCH("ID",Vertices[[#Headers],[Vertex]:[Top Word Pairs in Tags by Salience]],0),FALSE)</f>
        <v>146</v>
      </c>
    </row>
    <row r="68" spans="1:3" ht="15">
      <c r="A68" s="80" t="s">
        <v>2050</v>
      </c>
      <c r="B68" s="112" t="s">
        <v>466</v>
      </c>
      <c r="C68" s="80">
        <f>VLOOKUP(GroupVertices[[#This Row],[Vertex]],Vertices[],MATCH("ID",Vertices[[#Headers],[Vertex]:[Top Word Pairs in Tags by Salience]],0),FALSE)</f>
        <v>145</v>
      </c>
    </row>
    <row r="69" spans="1:3" ht="15">
      <c r="A69" s="80" t="s">
        <v>2050</v>
      </c>
      <c r="B69" s="112" t="s">
        <v>465</v>
      </c>
      <c r="C69" s="80">
        <f>VLOOKUP(GroupVertices[[#This Row],[Vertex]],Vertices[],MATCH("ID",Vertices[[#Headers],[Vertex]:[Top Word Pairs in Tags by Salience]],0),FALSE)</f>
        <v>144</v>
      </c>
    </row>
    <row r="70" spans="1:3" ht="15">
      <c r="A70" s="80" t="s">
        <v>2050</v>
      </c>
      <c r="B70" s="112" t="s">
        <v>464</v>
      </c>
      <c r="C70" s="80">
        <f>VLOOKUP(GroupVertices[[#This Row],[Vertex]],Vertices[],MATCH("ID",Vertices[[#Headers],[Vertex]:[Top Word Pairs in Tags by Salience]],0),FALSE)</f>
        <v>143</v>
      </c>
    </row>
    <row r="71" spans="1:3" ht="15">
      <c r="A71" s="80" t="s">
        <v>2050</v>
      </c>
      <c r="B71" s="112" t="s">
        <v>463</v>
      </c>
      <c r="C71" s="80">
        <f>VLOOKUP(GroupVertices[[#This Row],[Vertex]],Vertices[],MATCH("ID",Vertices[[#Headers],[Vertex]:[Top Word Pairs in Tags by Salience]],0),FALSE)</f>
        <v>142</v>
      </c>
    </row>
    <row r="72" spans="1:3" ht="15">
      <c r="A72" s="80" t="s">
        <v>2050</v>
      </c>
      <c r="B72" s="112" t="s">
        <v>462</v>
      </c>
      <c r="C72" s="80">
        <f>VLOOKUP(GroupVertices[[#This Row],[Vertex]],Vertices[],MATCH("ID",Vertices[[#Headers],[Vertex]:[Top Word Pairs in Tags by Salience]],0),FALSE)</f>
        <v>141</v>
      </c>
    </row>
    <row r="73" spans="1:3" ht="15">
      <c r="A73" s="80" t="s">
        <v>2050</v>
      </c>
      <c r="B73" s="112" t="s">
        <v>461</v>
      </c>
      <c r="C73" s="80">
        <f>VLOOKUP(GroupVertices[[#This Row],[Vertex]],Vertices[],MATCH("ID",Vertices[[#Headers],[Vertex]:[Top Word Pairs in Tags by Salience]],0),FALSE)</f>
        <v>140</v>
      </c>
    </row>
    <row r="74" spans="1:3" ht="15">
      <c r="A74" s="80" t="s">
        <v>2050</v>
      </c>
      <c r="B74" s="112" t="s">
        <v>460</v>
      </c>
      <c r="C74" s="80">
        <f>VLOOKUP(GroupVertices[[#This Row],[Vertex]],Vertices[],MATCH("ID",Vertices[[#Headers],[Vertex]:[Top Word Pairs in Tags by Salience]],0),FALSE)</f>
        <v>139</v>
      </c>
    </row>
    <row r="75" spans="1:3" ht="15">
      <c r="A75" s="80" t="s">
        <v>2050</v>
      </c>
      <c r="B75" s="112" t="s">
        <v>459</v>
      </c>
      <c r="C75" s="80">
        <f>VLOOKUP(GroupVertices[[#This Row],[Vertex]],Vertices[],MATCH("ID",Vertices[[#Headers],[Vertex]:[Top Word Pairs in Tags by Salience]],0),FALSE)</f>
        <v>138</v>
      </c>
    </row>
    <row r="76" spans="1:3" ht="15">
      <c r="A76" s="80" t="s">
        <v>2050</v>
      </c>
      <c r="B76" s="112" t="s">
        <v>458</v>
      </c>
      <c r="C76" s="80">
        <f>VLOOKUP(GroupVertices[[#This Row],[Vertex]],Vertices[],MATCH("ID",Vertices[[#Headers],[Vertex]:[Top Word Pairs in Tags by Salience]],0),FALSE)</f>
        <v>137</v>
      </c>
    </row>
    <row r="77" spans="1:3" ht="15">
      <c r="A77" s="80" t="s">
        <v>2050</v>
      </c>
      <c r="B77" s="112" t="s">
        <v>457</v>
      </c>
      <c r="C77" s="80">
        <f>VLOOKUP(GroupVertices[[#This Row],[Vertex]],Vertices[],MATCH("ID",Vertices[[#Headers],[Vertex]:[Top Word Pairs in Tags by Salience]],0),FALSE)</f>
        <v>136</v>
      </c>
    </row>
    <row r="78" spans="1:3" ht="15">
      <c r="A78" s="80" t="s">
        <v>2050</v>
      </c>
      <c r="B78" s="112" t="s">
        <v>456</v>
      </c>
      <c r="C78" s="80">
        <f>VLOOKUP(GroupVertices[[#This Row],[Vertex]],Vertices[],MATCH("ID",Vertices[[#Headers],[Vertex]:[Top Word Pairs in Tags by Salience]],0),FALSE)</f>
        <v>135</v>
      </c>
    </row>
    <row r="79" spans="1:3" ht="15">
      <c r="A79" s="80" t="s">
        <v>2050</v>
      </c>
      <c r="B79" s="112" t="s">
        <v>455</v>
      </c>
      <c r="C79" s="80">
        <f>VLOOKUP(GroupVertices[[#This Row],[Vertex]],Vertices[],MATCH("ID",Vertices[[#Headers],[Vertex]:[Top Word Pairs in Tags by Salience]],0),FALSE)</f>
        <v>134</v>
      </c>
    </row>
    <row r="80" spans="1:3" ht="15">
      <c r="A80" s="80" t="s">
        <v>2050</v>
      </c>
      <c r="B80" s="112" t="s">
        <v>454</v>
      </c>
      <c r="C80" s="80">
        <f>VLOOKUP(GroupVertices[[#This Row],[Vertex]],Vertices[],MATCH("ID",Vertices[[#Headers],[Vertex]:[Top Word Pairs in Tags by Salience]],0),FALSE)</f>
        <v>133</v>
      </c>
    </row>
    <row r="81" spans="1:3" ht="15">
      <c r="A81" s="80" t="s">
        <v>2050</v>
      </c>
      <c r="B81" s="112" t="s">
        <v>453</v>
      </c>
      <c r="C81" s="80">
        <f>VLOOKUP(GroupVertices[[#This Row],[Vertex]],Vertices[],MATCH("ID",Vertices[[#Headers],[Vertex]:[Top Word Pairs in Tags by Salience]],0),FALSE)</f>
        <v>132</v>
      </c>
    </row>
    <row r="82" spans="1:3" ht="15">
      <c r="A82" s="80" t="s">
        <v>2050</v>
      </c>
      <c r="B82" s="112" t="s">
        <v>452</v>
      </c>
      <c r="C82" s="80">
        <f>VLOOKUP(GroupVertices[[#This Row],[Vertex]],Vertices[],MATCH("ID",Vertices[[#Headers],[Vertex]:[Top Word Pairs in Tags by Salience]],0),FALSE)</f>
        <v>131</v>
      </c>
    </row>
    <row r="83" spans="1:3" ht="15">
      <c r="A83" s="80" t="s">
        <v>2050</v>
      </c>
      <c r="B83" s="112" t="s">
        <v>451</v>
      </c>
      <c r="C83" s="80">
        <f>VLOOKUP(GroupVertices[[#This Row],[Vertex]],Vertices[],MATCH("ID",Vertices[[#Headers],[Vertex]:[Top Word Pairs in Tags by Salience]],0),FALSE)</f>
        <v>130</v>
      </c>
    </row>
    <row r="84" spans="1:3" ht="15">
      <c r="A84" s="80" t="s">
        <v>2050</v>
      </c>
      <c r="B84" s="112" t="s">
        <v>450</v>
      </c>
      <c r="C84" s="80">
        <f>VLOOKUP(GroupVertices[[#This Row],[Vertex]],Vertices[],MATCH("ID",Vertices[[#Headers],[Vertex]:[Top Word Pairs in Tags by Salience]],0),FALSE)</f>
        <v>129</v>
      </c>
    </row>
    <row r="85" spans="1:3" ht="15">
      <c r="A85" s="80" t="s">
        <v>2050</v>
      </c>
      <c r="B85" s="112" t="s">
        <v>449</v>
      </c>
      <c r="C85" s="80">
        <f>VLOOKUP(GroupVertices[[#This Row],[Vertex]],Vertices[],MATCH("ID",Vertices[[#Headers],[Vertex]:[Top Word Pairs in Tags by Salience]],0),FALSE)</f>
        <v>128</v>
      </c>
    </row>
    <row r="86" spans="1:3" ht="15">
      <c r="A86" s="80" t="s">
        <v>2050</v>
      </c>
      <c r="B86" s="112" t="s">
        <v>448</v>
      </c>
      <c r="C86" s="80">
        <f>VLOOKUP(GroupVertices[[#This Row],[Vertex]],Vertices[],MATCH("ID",Vertices[[#Headers],[Vertex]:[Top Word Pairs in Tags by Salience]],0),FALSE)</f>
        <v>127</v>
      </c>
    </row>
    <row r="87" spans="1:3" ht="15">
      <c r="A87" s="80" t="s">
        <v>2050</v>
      </c>
      <c r="B87" s="112" t="s">
        <v>447</v>
      </c>
      <c r="C87" s="80">
        <f>VLOOKUP(GroupVertices[[#This Row],[Vertex]],Vertices[],MATCH("ID",Vertices[[#Headers],[Vertex]:[Top Word Pairs in Tags by Salience]],0),FALSE)</f>
        <v>126</v>
      </c>
    </row>
    <row r="88" spans="1:3" ht="15">
      <c r="A88" s="80" t="s">
        <v>2050</v>
      </c>
      <c r="B88" s="112" t="s">
        <v>446</v>
      </c>
      <c r="C88" s="80">
        <f>VLOOKUP(GroupVertices[[#This Row],[Vertex]],Vertices[],MATCH("ID",Vertices[[#Headers],[Vertex]:[Top Word Pairs in Tags by Salience]],0),FALSE)</f>
        <v>125</v>
      </c>
    </row>
    <row r="89" spans="1:3" ht="15">
      <c r="A89" s="80" t="s">
        <v>2050</v>
      </c>
      <c r="B89" s="112" t="s">
        <v>445</v>
      </c>
      <c r="C89" s="80">
        <f>VLOOKUP(GroupVertices[[#This Row],[Vertex]],Vertices[],MATCH("ID",Vertices[[#Headers],[Vertex]:[Top Word Pairs in Tags by Salience]],0),FALSE)</f>
        <v>124</v>
      </c>
    </row>
    <row r="90" spans="1:3" ht="15">
      <c r="A90" s="80" t="s">
        <v>2050</v>
      </c>
      <c r="B90" s="112" t="s">
        <v>444</v>
      </c>
      <c r="C90" s="80">
        <f>VLOOKUP(GroupVertices[[#This Row],[Vertex]],Vertices[],MATCH("ID",Vertices[[#Headers],[Vertex]:[Top Word Pairs in Tags by Salience]],0),FALSE)</f>
        <v>123</v>
      </c>
    </row>
    <row r="91" spans="1:3" ht="15">
      <c r="A91" s="80" t="s">
        <v>2050</v>
      </c>
      <c r="B91" s="112" t="s">
        <v>443</v>
      </c>
      <c r="C91" s="80">
        <f>VLOOKUP(GroupVertices[[#This Row],[Vertex]],Vertices[],MATCH("ID",Vertices[[#Headers],[Vertex]:[Top Word Pairs in Tags by Salience]],0),FALSE)</f>
        <v>122</v>
      </c>
    </row>
    <row r="92" spans="1:3" ht="15">
      <c r="A92" s="80" t="s">
        <v>2050</v>
      </c>
      <c r="B92" s="112" t="s">
        <v>442</v>
      </c>
      <c r="C92" s="80">
        <f>VLOOKUP(GroupVertices[[#This Row],[Vertex]],Vertices[],MATCH("ID",Vertices[[#Headers],[Vertex]:[Top Word Pairs in Tags by Salience]],0),FALSE)</f>
        <v>121</v>
      </c>
    </row>
    <row r="93" spans="1:3" ht="15">
      <c r="A93" s="80" t="s">
        <v>2050</v>
      </c>
      <c r="B93" s="112" t="s">
        <v>441</v>
      </c>
      <c r="C93" s="80">
        <f>VLOOKUP(GroupVertices[[#This Row],[Vertex]],Vertices[],MATCH("ID",Vertices[[#Headers],[Vertex]:[Top Word Pairs in Tags by Salience]],0),FALSE)</f>
        <v>120</v>
      </c>
    </row>
    <row r="94" spans="1:3" ht="15">
      <c r="A94" s="80" t="s">
        <v>2050</v>
      </c>
      <c r="B94" s="112" t="s">
        <v>440</v>
      </c>
      <c r="C94" s="80">
        <f>VLOOKUP(GroupVertices[[#This Row],[Vertex]],Vertices[],MATCH("ID",Vertices[[#Headers],[Vertex]:[Top Word Pairs in Tags by Salience]],0),FALSE)</f>
        <v>119</v>
      </c>
    </row>
    <row r="95" spans="1:3" ht="15">
      <c r="A95" s="80" t="s">
        <v>2050</v>
      </c>
      <c r="B95" s="112" t="s">
        <v>439</v>
      </c>
      <c r="C95" s="80">
        <f>VLOOKUP(GroupVertices[[#This Row],[Vertex]],Vertices[],MATCH("ID",Vertices[[#Headers],[Vertex]:[Top Word Pairs in Tags by Salience]],0),FALSE)</f>
        <v>118</v>
      </c>
    </row>
    <row r="96" spans="1:3" ht="15">
      <c r="A96" s="80" t="s">
        <v>2050</v>
      </c>
      <c r="B96" s="112" t="s">
        <v>438</v>
      </c>
      <c r="C96" s="80">
        <f>VLOOKUP(GroupVertices[[#This Row],[Vertex]],Vertices[],MATCH("ID",Vertices[[#Headers],[Vertex]:[Top Word Pairs in Tags by Salience]],0),FALSE)</f>
        <v>117</v>
      </c>
    </row>
    <row r="97" spans="1:3" ht="15">
      <c r="A97" s="80" t="s">
        <v>2050</v>
      </c>
      <c r="B97" s="112" t="s">
        <v>437</v>
      </c>
      <c r="C97" s="80">
        <f>VLOOKUP(GroupVertices[[#This Row],[Vertex]],Vertices[],MATCH("ID",Vertices[[#Headers],[Vertex]:[Top Word Pairs in Tags by Salience]],0),FALSE)</f>
        <v>116</v>
      </c>
    </row>
    <row r="98" spans="1:3" ht="15">
      <c r="A98" s="80" t="s">
        <v>2050</v>
      </c>
      <c r="B98" s="112" t="s">
        <v>436</v>
      </c>
      <c r="C98" s="80">
        <f>VLOOKUP(GroupVertices[[#This Row],[Vertex]],Vertices[],MATCH("ID",Vertices[[#Headers],[Vertex]:[Top Word Pairs in Tags by Salience]],0),FALSE)</f>
        <v>115</v>
      </c>
    </row>
    <row r="99" spans="1:3" ht="15">
      <c r="A99" s="80" t="s">
        <v>2050</v>
      </c>
      <c r="B99" s="112" t="s">
        <v>435</v>
      </c>
      <c r="C99" s="80">
        <f>VLOOKUP(GroupVertices[[#This Row],[Vertex]],Vertices[],MATCH("ID",Vertices[[#Headers],[Vertex]:[Top Word Pairs in Tags by Salience]],0),FALSE)</f>
        <v>114</v>
      </c>
    </row>
    <row r="100" spans="1:3" ht="15">
      <c r="A100" s="80" t="s">
        <v>2050</v>
      </c>
      <c r="B100" s="112" t="s">
        <v>434</v>
      </c>
      <c r="C100" s="80">
        <f>VLOOKUP(GroupVertices[[#This Row],[Vertex]],Vertices[],MATCH("ID",Vertices[[#Headers],[Vertex]:[Top Word Pairs in Tags by Salience]],0),FALSE)</f>
        <v>113</v>
      </c>
    </row>
    <row r="101" spans="1:3" ht="15">
      <c r="A101" s="80" t="s">
        <v>2050</v>
      </c>
      <c r="B101" s="112" t="s">
        <v>433</v>
      </c>
      <c r="C101" s="80">
        <f>VLOOKUP(GroupVertices[[#This Row],[Vertex]],Vertices[],MATCH("ID",Vertices[[#Headers],[Vertex]:[Top Word Pairs in Tags by Salience]],0),FALSE)</f>
        <v>112</v>
      </c>
    </row>
    <row r="102" spans="1:3" ht="15">
      <c r="A102" s="80" t="s">
        <v>2050</v>
      </c>
      <c r="B102" s="112" t="s">
        <v>432</v>
      </c>
      <c r="C102" s="80">
        <f>VLOOKUP(GroupVertices[[#This Row],[Vertex]],Vertices[],MATCH("ID",Vertices[[#Headers],[Vertex]:[Top Word Pairs in Tags by Salience]],0),FALSE)</f>
        <v>111</v>
      </c>
    </row>
    <row r="103" spans="1:3" ht="15">
      <c r="A103" s="80" t="s">
        <v>2050</v>
      </c>
      <c r="B103" s="112" t="s">
        <v>431</v>
      </c>
      <c r="C103" s="80">
        <f>VLOOKUP(GroupVertices[[#This Row],[Vertex]],Vertices[],MATCH("ID",Vertices[[#Headers],[Vertex]:[Top Word Pairs in Tags by Salience]],0),FALSE)</f>
        <v>110</v>
      </c>
    </row>
    <row r="104" spans="1:3" ht="15">
      <c r="A104" s="80" t="s">
        <v>2050</v>
      </c>
      <c r="B104" s="112" t="s">
        <v>430</v>
      </c>
      <c r="C104" s="80">
        <f>VLOOKUP(GroupVertices[[#This Row],[Vertex]],Vertices[],MATCH("ID",Vertices[[#Headers],[Vertex]:[Top Word Pairs in Tags by Salience]],0),FALSE)</f>
        <v>109</v>
      </c>
    </row>
    <row r="105" spans="1:3" ht="15">
      <c r="A105" s="80" t="s">
        <v>2050</v>
      </c>
      <c r="B105" s="112" t="s">
        <v>429</v>
      </c>
      <c r="C105" s="80">
        <f>VLOOKUP(GroupVertices[[#This Row],[Vertex]],Vertices[],MATCH("ID",Vertices[[#Headers],[Vertex]:[Top Word Pairs in Tags by Salience]],0),FALSE)</f>
        <v>108</v>
      </c>
    </row>
    <row r="106" spans="1:3" ht="15">
      <c r="A106" s="80" t="s">
        <v>2050</v>
      </c>
      <c r="B106" s="112" t="s">
        <v>428</v>
      </c>
      <c r="C106" s="80">
        <f>VLOOKUP(GroupVertices[[#This Row],[Vertex]],Vertices[],MATCH("ID",Vertices[[#Headers],[Vertex]:[Top Word Pairs in Tags by Salience]],0),FALSE)</f>
        <v>107</v>
      </c>
    </row>
    <row r="107" spans="1:3" ht="15">
      <c r="A107" s="80" t="s">
        <v>2050</v>
      </c>
      <c r="B107" s="112" t="s">
        <v>427</v>
      </c>
      <c r="C107" s="80">
        <f>VLOOKUP(GroupVertices[[#This Row],[Vertex]],Vertices[],MATCH("ID",Vertices[[#Headers],[Vertex]:[Top Word Pairs in Tags by Salience]],0),FALSE)</f>
        <v>106</v>
      </c>
    </row>
    <row r="108" spans="1:3" ht="15">
      <c r="A108" s="80" t="s">
        <v>2050</v>
      </c>
      <c r="B108" s="112" t="s">
        <v>426</v>
      </c>
      <c r="C108" s="80">
        <f>VLOOKUP(GroupVertices[[#This Row],[Vertex]],Vertices[],MATCH("ID",Vertices[[#Headers],[Vertex]:[Top Word Pairs in Tags by Salience]],0),FALSE)</f>
        <v>105</v>
      </c>
    </row>
    <row r="109" spans="1:3" ht="15">
      <c r="A109" s="80" t="s">
        <v>2050</v>
      </c>
      <c r="B109" s="112" t="s">
        <v>425</v>
      </c>
      <c r="C109" s="80">
        <f>VLOOKUP(GroupVertices[[#This Row],[Vertex]],Vertices[],MATCH("ID",Vertices[[#Headers],[Vertex]:[Top Word Pairs in Tags by Salience]],0),FALSE)</f>
        <v>104</v>
      </c>
    </row>
    <row r="110" spans="1:3" ht="15">
      <c r="A110" s="80" t="s">
        <v>2050</v>
      </c>
      <c r="B110" s="112" t="s">
        <v>424</v>
      </c>
      <c r="C110" s="80">
        <f>VLOOKUP(GroupVertices[[#This Row],[Vertex]],Vertices[],MATCH("ID",Vertices[[#Headers],[Vertex]:[Top Word Pairs in Tags by Salience]],0),FALSE)</f>
        <v>103</v>
      </c>
    </row>
    <row r="111" spans="1:3" ht="15">
      <c r="A111" s="80" t="s">
        <v>2050</v>
      </c>
      <c r="B111" s="112" t="s">
        <v>423</v>
      </c>
      <c r="C111" s="80">
        <f>VLOOKUP(GroupVertices[[#This Row],[Vertex]],Vertices[],MATCH("ID",Vertices[[#Headers],[Vertex]:[Top Word Pairs in Tags by Salience]],0),FALSE)</f>
        <v>102</v>
      </c>
    </row>
    <row r="112" spans="1:3" ht="15">
      <c r="A112" s="80" t="s">
        <v>2050</v>
      </c>
      <c r="B112" s="112" t="s">
        <v>413</v>
      </c>
      <c r="C112" s="80">
        <f>VLOOKUP(GroupVertices[[#This Row],[Vertex]],Vertices[],MATCH("ID",Vertices[[#Headers],[Vertex]:[Top Word Pairs in Tags by Salience]],0),FALSE)</f>
        <v>90</v>
      </c>
    </row>
    <row r="113" spans="1:3" ht="15">
      <c r="A113" s="80" t="s">
        <v>2051</v>
      </c>
      <c r="B113" s="112" t="s">
        <v>322</v>
      </c>
      <c r="C113" s="80">
        <f>VLOOKUP(GroupVertices[[#This Row],[Vertex]],Vertices[],MATCH("ID",Vertices[[#Headers],[Vertex]:[Top Word Pairs in Tags by Salience]],0),FALSE)</f>
        <v>3</v>
      </c>
    </row>
    <row r="114" spans="1:3" ht="15">
      <c r="A114" s="80" t="s">
        <v>2051</v>
      </c>
      <c r="B114" s="112" t="s">
        <v>375</v>
      </c>
      <c r="C114" s="80">
        <f>VLOOKUP(GroupVertices[[#This Row],[Vertex]],Vertices[],MATCH("ID",Vertices[[#Headers],[Vertex]:[Top Word Pairs in Tags by Salience]],0),FALSE)</f>
        <v>49</v>
      </c>
    </row>
    <row r="115" spans="1:3" ht="15">
      <c r="A115" s="80" t="s">
        <v>2051</v>
      </c>
      <c r="B115" s="112" t="s">
        <v>374</v>
      </c>
      <c r="C115" s="80">
        <f>VLOOKUP(GroupVertices[[#This Row],[Vertex]],Vertices[],MATCH("ID",Vertices[[#Headers],[Vertex]:[Top Word Pairs in Tags by Salience]],0),FALSE)</f>
        <v>48</v>
      </c>
    </row>
    <row r="116" spans="1:3" ht="15">
      <c r="A116" s="80" t="s">
        <v>2051</v>
      </c>
      <c r="B116" s="112" t="s">
        <v>373</v>
      </c>
      <c r="C116" s="80">
        <f>VLOOKUP(GroupVertices[[#This Row],[Vertex]],Vertices[],MATCH("ID",Vertices[[#Headers],[Vertex]:[Top Word Pairs in Tags by Salience]],0),FALSE)</f>
        <v>47</v>
      </c>
    </row>
    <row r="117" spans="1:3" ht="15">
      <c r="A117" s="80" t="s">
        <v>2051</v>
      </c>
      <c r="B117" s="112" t="s">
        <v>372</v>
      </c>
      <c r="C117" s="80">
        <f>VLOOKUP(GroupVertices[[#This Row],[Vertex]],Vertices[],MATCH("ID",Vertices[[#Headers],[Vertex]:[Top Word Pairs in Tags by Salience]],0),FALSE)</f>
        <v>46</v>
      </c>
    </row>
    <row r="118" spans="1:3" ht="15">
      <c r="A118" s="80" t="s">
        <v>2051</v>
      </c>
      <c r="B118" s="112" t="s">
        <v>371</v>
      </c>
      <c r="C118" s="80">
        <f>VLOOKUP(GroupVertices[[#This Row],[Vertex]],Vertices[],MATCH("ID",Vertices[[#Headers],[Vertex]:[Top Word Pairs in Tags by Salience]],0),FALSE)</f>
        <v>45</v>
      </c>
    </row>
    <row r="119" spans="1:3" ht="15">
      <c r="A119" s="80" t="s">
        <v>2051</v>
      </c>
      <c r="B119" s="112" t="s">
        <v>370</v>
      </c>
      <c r="C119" s="80">
        <f>VLOOKUP(GroupVertices[[#This Row],[Vertex]],Vertices[],MATCH("ID",Vertices[[#Headers],[Vertex]:[Top Word Pairs in Tags by Salience]],0),FALSE)</f>
        <v>44</v>
      </c>
    </row>
    <row r="120" spans="1:3" ht="15">
      <c r="A120" s="80" t="s">
        <v>2051</v>
      </c>
      <c r="B120" s="112" t="s">
        <v>369</v>
      </c>
      <c r="C120" s="80">
        <f>VLOOKUP(GroupVertices[[#This Row],[Vertex]],Vertices[],MATCH("ID",Vertices[[#Headers],[Vertex]:[Top Word Pairs in Tags by Salience]],0),FALSE)</f>
        <v>43</v>
      </c>
    </row>
    <row r="121" spans="1:3" ht="15">
      <c r="A121" s="80" t="s">
        <v>2051</v>
      </c>
      <c r="B121" s="112" t="s">
        <v>368</v>
      </c>
      <c r="C121" s="80">
        <f>VLOOKUP(GroupVertices[[#This Row],[Vertex]],Vertices[],MATCH("ID",Vertices[[#Headers],[Vertex]:[Top Word Pairs in Tags by Salience]],0),FALSE)</f>
        <v>42</v>
      </c>
    </row>
    <row r="122" spans="1:3" ht="15">
      <c r="A122" s="80" t="s">
        <v>2051</v>
      </c>
      <c r="B122" s="112" t="s">
        <v>367</v>
      </c>
      <c r="C122" s="80">
        <f>VLOOKUP(GroupVertices[[#This Row],[Vertex]],Vertices[],MATCH("ID",Vertices[[#Headers],[Vertex]:[Top Word Pairs in Tags by Salience]],0),FALSE)</f>
        <v>41</v>
      </c>
    </row>
    <row r="123" spans="1:3" ht="15">
      <c r="A123" s="80" t="s">
        <v>2051</v>
      </c>
      <c r="B123" s="112" t="s">
        <v>366</v>
      </c>
      <c r="C123" s="80">
        <f>VLOOKUP(GroupVertices[[#This Row],[Vertex]],Vertices[],MATCH("ID",Vertices[[#Headers],[Vertex]:[Top Word Pairs in Tags by Salience]],0),FALSE)</f>
        <v>40</v>
      </c>
    </row>
    <row r="124" spans="1:3" ht="15">
      <c r="A124" s="80" t="s">
        <v>2051</v>
      </c>
      <c r="B124" s="112" t="s">
        <v>365</v>
      </c>
      <c r="C124" s="80">
        <f>VLOOKUP(GroupVertices[[#This Row],[Vertex]],Vertices[],MATCH("ID",Vertices[[#Headers],[Vertex]:[Top Word Pairs in Tags by Salience]],0),FALSE)</f>
        <v>39</v>
      </c>
    </row>
    <row r="125" spans="1:3" ht="15">
      <c r="A125" s="80" t="s">
        <v>2051</v>
      </c>
      <c r="B125" s="112" t="s">
        <v>364</v>
      </c>
      <c r="C125" s="80">
        <f>VLOOKUP(GroupVertices[[#This Row],[Vertex]],Vertices[],MATCH("ID",Vertices[[#Headers],[Vertex]:[Top Word Pairs in Tags by Salience]],0),FALSE)</f>
        <v>38</v>
      </c>
    </row>
    <row r="126" spans="1:3" ht="15">
      <c r="A126" s="80" t="s">
        <v>2051</v>
      </c>
      <c r="B126" s="112" t="s">
        <v>363</v>
      </c>
      <c r="C126" s="80">
        <f>VLOOKUP(GroupVertices[[#This Row],[Vertex]],Vertices[],MATCH("ID",Vertices[[#Headers],[Vertex]:[Top Word Pairs in Tags by Salience]],0),FALSE)</f>
        <v>37</v>
      </c>
    </row>
    <row r="127" spans="1:3" ht="15">
      <c r="A127" s="80" t="s">
        <v>2051</v>
      </c>
      <c r="B127" s="112" t="s">
        <v>362</v>
      </c>
      <c r="C127" s="80">
        <f>VLOOKUP(GroupVertices[[#This Row],[Vertex]],Vertices[],MATCH("ID",Vertices[[#Headers],[Vertex]:[Top Word Pairs in Tags by Salience]],0),FALSE)</f>
        <v>36</v>
      </c>
    </row>
    <row r="128" spans="1:3" ht="15">
      <c r="A128" s="80" t="s">
        <v>2051</v>
      </c>
      <c r="B128" s="112" t="s">
        <v>361</v>
      </c>
      <c r="C128" s="80">
        <f>VLOOKUP(GroupVertices[[#This Row],[Vertex]],Vertices[],MATCH("ID",Vertices[[#Headers],[Vertex]:[Top Word Pairs in Tags by Salience]],0),FALSE)</f>
        <v>35</v>
      </c>
    </row>
    <row r="129" spans="1:3" ht="15">
      <c r="A129" s="80" t="s">
        <v>2051</v>
      </c>
      <c r="B129" s="112" t="s">
        <v>360</v>
      </c>
      <c r="C129" s="80">
        <f>VLOOKUP(GroupVertices[[#This Row],[Vertex]],Vertices[],MATCH("ID",Vertices[[#Headers],[Vertex]:[Top Word Pairs in Tags by Salience]],0),FALSE)</f>
        <v>34</v>
      </c>
    </row>
    <row r="130" spans="1:3" ht="15">
      <c r="A130" s="80" t="s">
        <v>2051</v>
      </c>
      <c r="B130" s="112" t="s">
        <v>359</v>
      </c>
      <c r="C130" s="80">
        <f>VLOOKUP(GroupVertices[[#This Row],[Vertex]],Vertices[],MATCH("ID",Vertices[[#Headers],[Vertex]:[Top Word Pairs in Tags by Salience]],0),FALSE)</f>
        <v>33</v>
      </c>
    </row>
    <row r="131" spans="1:3" ht="15">
      <c r="A131" s="80" t="s">
        <v>2051</v>
      </c>
      <c r="B131" s="112" t="s">
        <v>358</v>
      </c>
      <c r="C131" s="80">
        <f>VLOOKUP(GroupVertices[[#This Row],[Vertex]],Vertices[],MATCH("ID",Vertices[[#Headers],[Vertex]:[Top Word Pairs in Tags by Salience]],0),FALSE)</f>
        <v>32</v>
      </c>
    </row>
    <row r="132" spans="1:3" ht="15">
      <c r="A132" s="80" t="s">
        <v>2051</v>
      </c>
      <c r="B132" s="112" t="s">
        <v>357</v>
      </c>
      <c r="C132" s="80">
        <f>VLOOKUP(GroupVertices[[#This Row],[Vertex]],Vertices[],MATCH("ID",Vertices[[#Headers],[Vertex]:[Top Word Pairs in Tags by Salience]],0),FALSE)</f>
        <v>31</v>
      </c>
    </row>
    <row r="133" spans="1:3" ht="15">
      <c r="A133" s="80" t="s">
        <v>2051</v>
      </c>
      <c r="B133" s="112" t="s">
        <v>356</v>
      </c>
      <c r="C133" s="80">
        <f>VLOOKUP(GroupVertices[[#This Row],[Vertex]],Vertices[],MATCH("ID",Vertices[[#Headers],[Vertex]:[Top Word Pairs in Tags by Salience]],0),FALSE)</f>
        <v>30</v>
      </c>
    </row>
    <row r="134" spans="1:3" ht="15">
      <c r="A134" s="80" t="s">
        <v>2051</v>
      </c>
      <c r="B134" s="112" t="s">
        <v>355</v>
      </c>
      <c r="C134" s="80">
        <f>VLOOKUP(GroupVertices[[#This Row],[Vertex]],Vertices[],MATCH("ID",Vertices[[#Headers],[Vertex]:[Top Word Pairs in Tags by Salience]],0),FALSE)</f>
        <v>29</v>
      </c>
    </row>
    <row r="135" spans="1:3" ht="15">
      <c r="A135" s="80" t="s">
        <v>2051</v>
      </c>
      <c r="B135" s="112" t="s">
        <v>354</v>
      </c>
      <c r="C135" s="80">
        <f>VLOOKUP(GroupVertices[[#This Row],[Vertex]],Vertices[],MATCH("ID",Vertices[[#Headers],[Vertex]:[Top Word Pairs in Tags by Salience]],0),FALSE)</f>
        <v>28</v>
      </c>
    </row>
    <row r="136" spans="1:3" ht="15">
      <c r="A136" s="80" t="s">
        <v>2051</v>
      </c>
      <c r="B136" s="112" t="s">
        <v>353</v>
      </c>
      <c r="C136" s="80">
        <f>VLOOKUP(GroupVertices[[#This Row],[Vertex]],Vertices[],MATCH("ID",Vertices[[#Headers],[Vertex]:[Top Word Pairs in Tags by Salience]],0),FALSE)</f>
        <v>27</v>
      </c>
    </row>
    <row r="137" spans="1:3" ht="15">
      <c r="A137" s="80" t="s">
        <v>2051</v>
      </c>
      <c r="B137" s="112" t="s">
        <v>352</v>
      </c>
      <c r="C137" s="80">
        <f>VLOOKUP(GroupVertices[[#This Row],[Vertex]],Vertices[],MATCH("ID",Vertices[[#Headers],[Vertex]:[Top Word Pairs in Tags by Salience]],0),FALSE)</f>
        <v>26</v>
      </c>
    </row>
    <row r="138" spans="1:3" ht="15">
      <c r="A138" s="80" t="s">
        <v>2051</v>
      </c>
      <c r="B138" s="112" t="s">
        <v>351</v>
      </c>
      <c r="C138" s="80">
        <f>VLOOKUP(GroupVertices[[#This Row],[Vertex]],Vertices[],MATCH("ID",Vertices[[#Headers],[Vertex]:[Top Word Pairs in Tags by Salience]],0),FALSE)</f>
        <v>25</v>
      </c>
    </row>
    <row r="139" spans="1:3" ht="15">
      <c r="A139" s="80" t="s">
        <v>2051</v>
      </c>
      <c r="B139" s="112" t="s">
        <v>350</v>
      </c>
      <c r="C139" s="80">
        <f>VLOOKUP(GroupVertices[[#This Row],[Vertex]],Vertices[],MATCH("ID",Vertices[[#Headers],[Vertex]:[Top Word Pairs in Tags by Salience]],0),FALSE)</f>
        <v>24</v>
      </c>
    </row>
    <row r="140" spans="1:3" ht="15">
      <c r="A140" s="80" t="s">
        <v>2051</v>
      </c>
      <c r="B140" s="112" t="s">
        <v>349</v>
      </c>
      <c r="C140" s="80">
        <f>VLOOKUP(GroupVertices[[#This Row],[Vertex]],Vertices[],MATCH("ID",Vertices[[#Headers],[Vertex]:[Top Word Pairs in Tags by Salience]],0),FALSE)</f>
        <v>23</v>
      </c>
    </row>
    <row r="141" spans="1:3" ht="15">
      <c r="A141" s="80" t="s">
        <v>2051</v>
      </c>
      <c r="B141" s="112" t="s">
        <v>348</v>
      </c>
      <c r="C141" s="80">
        <f>VLOOKUP(GroupVertices[[#This Row],[Vertex]],Vertices[],MATCH("ID",Vertices[[#Headers],[Vertex]:[Top Word Pairs in Tags by Salience]],0),FALSE)</f>
        <v>22</v>
      </c>
    </row>
    <row r="142" spans="1:3" ht="15">
      <c r="A142" s="80" t="s">
        <v>2051</v>
      </c>
      <c r="B142" s="112" t="s">
        <v>347</v>
      </c>
      <c r="C142" s="80">
        <f>VLOOKUP(GroupVertices[[#This Row],[Vertex]],Vertices[],MATCH("ID",Vertices[[#Headers],[Vertex]:[Top Word Pairs in Tags by Salience]],0),FALSE)</f>
        <v>21</v>
      </c>
    </row>
    <row r="143" spans="1:3" ht="15">
      <c r="A143" s="80" t="s">
        <v>2051</v>
      </c>
      <c r="B143" s="112" t="s">
        <v>346</v>
      </c>
      <c r="C143" s="80">
        <f>VLOOKUP(GroupVertices[[#This Row],[Vertex]],Vertices[],MATCH("ID",Vertices[[#Headers],[Vertex]:[Top Word Pairs in Tags by Salience]],0),FALSE)</f>
        <v>20</v>
      </c>
    </row>
    <row r="144" spans="1:3" ht="15">
      <c r="A144" s="80" t="s">
        <v>2051</v>
      </c>
      <c r="B144" s="112" t="s">
        <v>345</v>
      </c>
      <c r="C144" s="80">
        <f>VLOOKUP(GroupVertices[[#This Row],[Vertex]],Vertices[],MATCH("ID",Vertices[[#Headers],[Vertex]:[Top Word Pairs in Tags by Salience]],0),FALSE)</f>
        <v>19</v>
      </c>
    </row>
    <row r="145" spans="1:3" ht="15">
      <c r="A145" s="80" t="s">
        <v>2051</v>
      </c>
      <c r="B145" s="112" t="s">
        <v>344</v>
      </c>
      <c r="C145" s="80">
        <f>VLOOKUP(GroupVertices[[#This Row],[Vertex]],Vertices[],MATCH("ID",Vertices[[#Headers],[Vertex]:[Top Word Pairs in Tags by Salience]],0),FALSE)</f>
        <v>18</v>
      </c>
    </row>
    <row r="146" spans="1:3" ht="15">
      <c r="A146" s="80" t="s">
        <v>2051</v>
      </c>
      <c r="B146" s="112" t="s">
        <v>343</v>
      </c>
      <c r="C146" s="80">
        <f>VLOOKUP(GroupVertices[[#This Row],[Vertex]],Vertices[],MATCH("ID",Vertices[[#Headers],[Vertex]:[Top Word Pairs in Tags by Salience]],0),FALSE)</f>
        <v>17</v>
      </c>
    </row>
    <row r="147" spans="1:3" ht="15">
      <c r="A147" s="80" t="s">
        <v>2051</v>
      </c>
      <c r="B147" s="112" t="s">
        <v>342</v>
      </c>
      <c r="C147" s="80">
        <f>VLOOKUP(GroupVertices[[#This Row],[Vertex]],Vertices[],MATCH("ID",Vertices[[#Headers],[Vertex]:[Top Word Pairs in Tags by Salience]],0),FALSE)</f>
        <v>16</v>
      </c>
    </row>
    <row r="148" spans="1:3" ht="15">
      <c r="A148" s="80" t="s">
        <v>2051</v>
      </c>
      <c r="B148" s="112" t="s">
        <v>341</v>
      </c>
      <c r="C148" s="80">
        <f>VLOOKUP(GroupVertices[[#This Row],[Vertex]],Vertices[],MATCH("ID",Vertices[[#Headers],[Vertex]:[Top Word Pairs in Tags by Salience]],0),FALSE)</f>
        <v>15</v>
      </c>
    </row>
    <row r="149" spans="1:3" ht="15">
      <c r="A149" s="80" t="s">
        <v>2051</v>
      </c>
      <c r="B149" s="112" t="s">
        <v>340</v>
      </c>
      <c r="C149" s="80">
        <f>VLOOKUP(GroupVertices[[#This Row],[Vertex]],Vertices[],MATCH("ID",Vertices[[#Headers],[Vertex]:[Top Word Pairs in Tags by Salience]],0),FALSE)</f>
        <v>14</v>
      </c>
    </row>
    <row r="150" spans="1:3" ht="15">
      <c r="A150" s="80" t="s">
        <v>2051</v>
      </c>
      <c r="B150" s="112" t="s">
        <v>339</v>
      </c>
      <c r="C150" s="80">
        <f>VLOOKUP(GroupVertices[[#This Row],[Vertex]],Vertices[],MATCH("ID",Vertices[[#Headers],[Vertex]:[Top Word Pairs in Tags by Salience]],0),FALSE)</f>
        <v>13</v>
      </c>
    </row>
    <row r="151" spans="1:3" ht="15">
      <c r="A151" s="80" t="s">
        <v>2051</v>
      </c>
      <c r="B151" s="112" t="s">
        <v>338</v>
      </c>
      <c r="C151" s="80">
        <f>VLOOKUP(GroupVertices[[#This Row],[Vertex]],Vertices[],MATCH("ID",Vertices[[#Headers],[Vertex]:[Top Word Pairs in Tags by Salience]],0),FALSE)</f>
        <v>12</v>
      </c>
    </row>
    <row r="152" spans="1:3" ht="15">
      <c r="A152" s="80" t="s">
        <v>2051</v>
      </c>
      <c r="B152" s="112" t="s">
        <v>337</v>
      </c>
      <c r="C152" s="80">
        <f>VLOOKUP(GroupVertices[[#This Row],[Vertex]],Vertices[],MATCH("ID",Vertices[[#Headers],[Vertex]:[Top Word Pairs in Tags by Salience]],0),FALSE)</f>
        <v>11</v>
      </c>
    </row>
    <row r="153" spans="1:3" ht="15">
      <c r="A153" s="80" t="s">
        <v>2051</v>
      </c>
      <c r="B153" s="112" t="s">
        <v>336</v>
      </c>
      <c r="C153" s="80">
        <f>VLOOKUP(GroupVertices[[#This Row],[Vertex]],Vertices[],MATCH("ID",Vertices[[#Headers],[Vertex]:[Top Word Pairs in Tags by Salience]],0),FALSE)</f>
        <v>10</v>
      </c>
    </row>
    <row r="154" spans="1:3" ht="15">
      <c r="A154" s="80" t="s">
        <v>2051</v>
      </c>
      <c r="B154" s="112" t="s">
        <v>335</v>
      </c>
      <c r="C154" s="80">
        <f>VLOOKUP(GroupVertices[[#This Row],[Vertex]],Vertices[],MATCH("ID",Vertices[[#Headers],[Vertex]:[Top Word Pairs in Tags by Salience]],0),FALSE)</f>
        <v>9</v>
      </c>
    </row>
    <row r="155" spans="1:3" ht="15">
      <c r="A155" s="80" t="s">
        <v>2051</v>
      </c>
      <c r="B155" s="112" t="s">
        <v>334</v>
      </c>
      <c r="C155" s="80">
        <f>VLOOKUP(GroupVertices[[#This Row],[Vertex]],Vertices[],MATCH("ID",Vertices[[#Headers],[Vertex]:[Top Word Pairs in Tags by Salience]],0),FALSE)</f>
        <v>8</v>
      </c>
    </row>
    <row r="156" spans="1:3" ht="15">
      <c r="A156" s="80" t="s">
        <v>2051</v>
      </c>
      <c r="B156" s="112" t="s">
        <v>333</v>
      </c>
      <c r="C156" s="80">
        <f>VLOOKUP(GroupVertices[[#This Row],[Vertex]],Vertices[],MATCH("ID",Vertices[[#Headers],[Vertex]:[Top Word Pairs in Tags by Salience]],0),FALSE)</f>
        <v>7</v>
      </c>
    </row>
    <row r="157" spans="1:3" ht="15">
      <c r="A157" s="80" t="s">
        <v>2051</v>
      </c>
      <c r="B157" s="112" t="s">
        <v>332</v>
      </c>
      <c r="C157" s="80">
        <f>VLOOKUP(GroupVertices[[#This Row],[Vertex]],Vertices[],MATCH("ID",Vertices[[#Headers],[Vertex]:[Top Word Pairs in Tags by Salience]],0),FALSE)</f>
        <v>6</v>
      </c>
    </row>
    <row r="158" spans="1:3" ht="15">
      <c r="A158" s="80" t="s">
        <v>2051</v>
      </c>
      <c r="B158" s="112" t="s">
        <v>331</v>
      </c>
      <c r="C158" s="80">
        <f>VLOOKUP(GroupVertices[[#This Row],[Vertex]],Vertices[],MATCH("ID",Vertices[[#Headers],[Vertex]:[Top Word Pairs in Tags by Salience]],0),FALSE)</f>
        <v>5</v>
      </c>
    </row>
    <row r="159" spans="1:3" ht="15">
      <c r="A159" s="80" t="s">
        <v>2051</v>
      </c>
      <c r="B159" s="112" t="s">
        <v>652</v>
      </c>
      <c r="C159" s="80">
        <f>VLOOKUP(GroupVertices[[#This Row],[Vertex]],Vertices[],MATCH("ID",Vertices[[#Headers],[Vertex]:[Top Word Pairs in Tags by Salience]],0),FALSE)</f>
        <v>4</v>
      </c>
    </row>
    <row r="160" spans="1:3" ht="15">
      <c r="A160" s="80" t="s">
        <v>2052</v>
      </c>
      <c r="B160" s="112" t="s">
        <v>330</v>
      </c>
      <c r="C160" s="80">
        <f>VLOOKUP(GroupVertices[[#This Row],[Vertex]],Vertices[],MATCH("ID",Vertices[[#Headers],[Vertex]:[Top Word Pairs in Tags by Salience]],0),FALSE)</f>
        <v>98</v>
      </c>
    </row>
    <row r="161" spans="1:3" ht="15">
      <c r="A161" s="80" t="s">
        <v>2052</v>
      </c>
      <c r="B161" s="112" t="s">
        <v>651</v>
      </c>
      <c r="C161" s="80">
        <f>VLOOKUP(GroupVertices[[#This Row],[Vertex]],Vertices[],MATCH("ID",Vertices[[#Headers],[Vertex]:[Top Word Pairs in Tags by Salience]],0),FALSE)</f>
        <v>333</v>
      </c>
    </row>
    <row r="162" spans="1:3" ht="15">
      <c r="A162" s="80" t="s">
        <v>2052</v>
      </c>
      <c r="B162" s="112" t="s">
        <v>650</v>
      </c>
      <c r="C162" s="80">
        <f>VLOOKUP(GroupVertices[[#This Row],[Vertex]],Vertices[],MATCH("ID",Vertices[[#Headers],[Vertex]:[Top Word Pairs in Tags by Salience]],0),FALSE)</f>
        <v>332</v>
      </c>
    </row>
    <row r="163" spans="1:3" ht="15">
      <c r="A163" s="80" t="s">
        <v>2052</v>
      </c>
      <c r="B163" s="112" t="s">
        <v>649</v>
      </c>
      <c r="C163" s="80">
        <f>VLOOKUP(GroupVertices[[#This Row],[Vertex]],Vertices[],MATCH("ID",Vertices[[#Headers],[Vertex]:[Top Word Pairs in Tags by Salience]],0),FALSE)</f>
        <v>331</v>
      </c>
    </row>
    <row r="164" spans="1:3" ht="15">
      <c r="A164" s="80" t="s">
        <v>2052</v>
      </c>
      <c r="B164" s="112" t="s">
        <v>648</v>
      </c>
      <c r="C164" s="80">
        <f>VLOOKUP(GroupVertices[[#This Row],[Vertex]],Vertices[],MATCH("ID",Vertices[[#Headers],[Vertex]:[Top Word Pairs in Tags by Salience]],0),FALSE)</f>
        <v>330</v>
      </c>
    </row>
    <row r="165" spans="1:3" ht="15">
      <c r="A165" s="80" t="s">
        <v>2052</v>
      </c>
      <c r="B165" s="112" t="s">
        <v>647</v>
      </c>
      <c r="C165" s="80">
        <f>VLOOKUP(GroupVertices[[#This Row],[Vertex]],Vertices[],MATCH("ID",Vertices[[#Headers],[Vertex]:[Top Word Pairs in Tags by Salience]],0),FALSE)</f>
        <v>329</v>
      </c>
    </row>
    <row r="166" spans="1:3" ht="15">
      <c r="A166" s="80" t="s">
        <v>2052</v>
      </c>
      <c r="B166" s="112" t="s">
        <v>646</v>
      </c>
      <c r="C166" s="80">
        <f>VLOOKUP(GroupVertices[[#This Row],[Vertex]],Vertices[],MATCH("ID",Vertices[[#Headers],[Vertex]:[Top Word Pairs in Tags by Salience]],0),FALSE)</f>
        <v>328</v>
      </c>
    </row>
    <row r="167" spans="1:3" ht="15">
      <c r="A167" s="80" t="s">
        <v>2052</v>
      </c>
      <c r="B167" s="112" t="s">
        <v>645</v>
      </c>
      <c r="C167" s="80">
        <f>VLOOKUP(GroupVertices[[#This Row],[Vertex]],Vertices[],MATCH("ID",Vertices[[#Headers],[Vertex]:[Top Word Pairs in Tags by Salience]],0),FALSE)</f>
        <v>327</v>
      </c>
    </row>
    <row r="168" spans="1:3" ht="15">
      <c r="A168" s="80" t="s">
        <v>2052</v>
      </c>
      <c r="B168" s="112" t="s">
        <v>644</v>
      </c>
      <c r="C168" s="80">
        <f>VLOOKUP(GroupVertices[[#This Row],[Vertex]],Vertices[],MATCH("ID",Vertices[[#Headers],[Vertex]:[Top Word Pairs in Tags by Salience]],0),FALSE)</f>
        <v>326</v>
      </c>
    </row>
    <row r="169" spans="1:3" ht="15">
      <c r="A169" s="80" t="s">
        <v>2052</v>
      </c>
      <c r="B169" s="112" t="s">
        <v>643</v>
      </c>
      <c r="C169" s="80">
        <f>VLOOKUP(GroupVertices[[#This Row],[Vertex]],Vertices[],MATCH("ID",Vertices[[#Headers],[Vertex]:[Top Word Pairs in Tags by Salience]],0),FALSE)</f>
        <v>325</v>
      </c>
    </row>
    <row r="170" spans="1:3" ht="15">
      <c r="A170" s="80" t="s">
        <v>2052</v>
      </c>
      <c r="B170" s="112" t="s">
        <v>642</v>
      </c>
      <c r="C170" s="80">
        <f>VLOOKUP(GroupVertices[[#This Row],[Vertex]],Vertices[],MATCH("ID",Vertices[[#Headers],[Vertex]:[Top Word Pairs in Tags by Salience]],0),FALSE)</f>
        <v>324</v>
      </c>
    </row>
    <row r="171" spans="1:3" ht="15">
      <c r="A171" s="80" t="s">
        <v>2052</v>
      </c>
      <c r="B171" s="112" t="s">
        <v>641</v>
      </c>
      <c r="C171" s="80">
        <f>VLOOKUP(GroupVertices[[#This Row],[Vertex]],Vertices[],MATCH("ID",Vertices[[#Headers],[Vertex]:[Top Word Pairs in Tags by Salience]],0),FALSE)</f>
        <v>323</v>
      </c>
    </row>
    <row r="172" spans="1:3" ht="15">
      <c r="A172" s="80" t="s">
        <v>2052</v>
      </c>
      <c r="B172" s="112" t="s">
        <v>640</v>
      </c>
      <c r="C172" s="80">
        <f>VLOOKUP(GroupVertices[[#This Row],[Vertex]],Vertices[],MATCH("ID",Vertices[[#Headers],[Vertex]:[Top Word Pairs in Tags by Salience]],0),FALSE)</f>
        <v>322</v>
      </c>
    </row>
    <row r="173" spans="1:3" ht="15">
      <c r="A173" s="80" t="s">
        <v>2052</v>
      </c>
      <c r="B173" s="112" t="s">
        <v>639</v>
      </c>
      <c r="C173" s="80">
        <f>VLOOKUP(GroupVertices[[#This Row],[Vertex]],Vertices[],MATCH("ID",Vertices[[#Headers],[Vertex]:[Top Word Pairs in Tags by Salience]],0),FALSE)</f>
        <v>321</v>
      </c>
    </row>
    <row r="174" spans="1:3" ht="15">
      <c r="A174" s="80" t="s">
        <v>2052</v>
      </c>
      <c r="B174" s="112" t="s">
        <v>638</v>
      </c>
      <c r="C174" s="80">
        <f>VLOOKUP(GroupVertices[[#This Row],[Vertex]],Vertices[],MATCH("ID",Vertices[[#Headers],[Vertex]:[Top Word Pairs in Tags by Salience]],0),FALSE)</f>
        <v>320</v>
      </c>
    </row>
    <row r="175" spans="1:3" ht="15">
      <c r="A175" s="80" t="s">
        <v>2052</v>
      </c>
      <c r="B175" s="112" t="s">
        <v>637</v>
      </c>
      <c r="C175" s="80">
        <f>VLOOKUP(GroupVertices[[#This Row],[Vertex]],Vertices[],MATCH("ID",Vertices[[#Headers],[Vertex]:[Top Word Pairs in Tags by Salience]],0),FALSE)</f>
        <v>319</v>
      </c>
    </row>
    <row r="176" spans="1:3" ht="15">
      <c r="A176" s="80" t="s">
        <v>2052</v>
      </c>
      <c r="B176" s="112" t="s">
        <v>636</v>
      </c>
      <c r="C176" s="80">
        <f>VLOOKUP(GroupVertices[[#This Row],[Vertex]],Vertices[],MATCH("ID",Vertices[[#Headers],[Vertex]:[Top Word Pairs in Tags by Salience]],0),FALSE)</f>
        <v>318</v>
      </c>
    </row>
    <row r="177" spans="1:3" ht="15">
      <c r="A177" s="80" t="s">
        <v>2052</v>
      </c>
      <c r="B177" s="112" t="s">
        <v>635</v>
      </c>
      <c r="C177" s="80">
        <f>VLOOKUP(GroupVertices[[#This Row],[Vertex]],Vertices[],MATCH("ID",Vertices[[#Headers],[Vertex]:[Top Word Pairs in Tags by Salience]],0),FALSE)</f>
        <v>317</v>
      </c>
    </row>
    <row r="178" spans="1:3" ht="15">
      <c r="A178" s="80" t="s">
        <v>2052</v>
      </c>
      <c r="B178" s="112" t="s">
        <v>634</v>
      </c>
      <c r="C178" s="80">
        <f>VLOOKUP(GroupVertices[[#This Row],[Vertex]],Vertices[],MATCH("ID",Vertices[[#Headers],[Vertex]:[Top Word Pairs in Tags by Salience]],0),FALSE)</f>
        <v>316</v>
      </c>
    </row>
    <row r="179" spans="1:3" ht="15">
      <c r="A179" s="80" t="s">
        <v>2052</v>
      </c>
      <c r="B179" s="112" t="s">
        <v>633</v>
      </c>
      <c r="C179" s="80">
        <f>VLOOKUP(GroupVertices[[#This Row],[Vertex]],Vertices[],MATCH("ID",Vertices[[#Headers],[Vertex]:[Top Word Pairs in Tags by Salience]],0),FALSE)</f>
        <v>315</v>
      </c>
    </row>
    <row r="180" spans="1:3" ht="15">
      <c r="A180" s="80" t="s">
        <v>2052</v>
      </c>
      <c r="B180" s="112" t="s">
        <v>632</v>
      </c>
      <c r="C180" s="80">
        <f>VLOOKUP(GroupVertices[[#This Row],[Vertex]],Vertices[],MATCH("ID",Vertices[[#Headers],[Vertex]:[Top Word Pairs in Tags by Salience]],0),FALSE)</f>
        <v>314</v>
      </c>
    </row>
    <row r="181" spans="1:3" ht="15">
      <c r="A181" s="80" t="s">
        <v>2052</v>
      </c>
      <c r="B181" s="112" t="s">
        <v>631</v>
      </c>
      <c r="C181" s="80">
        <f>VLOOKUP(GroupVertices[[#This Row],[Vertex]],Vertices[],MATCH("ID",Vertices[[#Headers],[Vertex]:[Top Word Pairs in Tags by Salience]],0),FALSE)</f>
        <v>313</v>
      </c>
    </row>
    <row r="182" spans="1:3" ht="15">
      <c r="A182" s="80" t="s">
        <v>2052</v>
      </c>
      <c r="B182" s="112" t="s">
        <v>630</v>
      </c>
      <c r="C182" s="80">
        <f>VLOOKUP(GroupVertices[[#This Row],[Vertex]],Vertices[],MATCH("ID",Vertices[[#Headers],[Vertex]:[Top Word Pairs in Tags by Salience]],0),FALSE)</f>
        <v>312</v>
      </c>
    </row>
    <row r="183" spans="1:3" ht="15">
      <c r="A183" s="80" t="s">
        <v>2052</v>
      </c>
      <c r="B183" s="112" t="s">
        <v>629</v>
      </c>
      <c r="C183" s="80">
        <f>VLOOKUP(GroupVertices[[#This Row],[Vertex]],Vertices[],MATCH("ID",Vertices[[#Headers],[Vertex]:[Top Word Pairs in Tags by Salience]],0),FALSE)</f>
        <v>311</v>
      </c>
    </row>
    <row r="184" spans="1:3" ht="15">
      <c r="A184" s="80" t="s">
        <v>2052</v>
      </c>
      <c r="B184" s="112" t="s">
        <v>628</v>
      </c>
      <c r="C184" s="80">
        <f>VLOOKUP(GroupVertices[[#This Row],[Vertex]],Vertices[],MATCH("ID",Vertices[[#Headers],[Vertex]:[Top Word Pairs in Tags by Salience]],0),FALSE)</f>
        <v>310</v>
      </c>
    </row>
    <row r="185" spans="1:3" ht="15">
      <c r="A185" s="80" t="s">
        <v>2052</v>
      </c>
      <c r="B185" s="112" t="s">
        <v>627</v>
      </c>
      <c r="C185" s="80">
        <f>VLOOKUP(GroupVertices[[#This Row],[Vertex]],Vertices[],MATCH("ID",Vertices[[#Headers],[Vertex]:[Top Word Pairs in Tags by Salience]],0),FALSE)</f>
        <v>309</v>
      </c>
    </row>
    <row r="186" spans="1:3" ht="15">
      <c r="A186" s="80" t="s">
        <v>2052</v>
      </c>
      <c r="B186" s="112" t="s">
        <v>626</v>
      </c>
      <c r="C186" s="80">
        <f>VLOOKUP(GroupVertices[[#This Row],[Vertex]],Vertices[],MATCH("ID",Vertices[[#Headers],[Vertex]:[Top Word Pairs in Tags by Salience]],0),FALSE)</f>
        <v>308</v>
      </c>
    </row>
    <row r="187" spans="1:3" ht="15">
      <c r="A187" s="80" t="s">
        <v>2052</v>
      </c>
      <c r="B187" s="112" t="s">
        <v>625</v>
      </c>
      <c r="C187" s="80">
        <f>VLOOKUP(GroupVertices[[#This Row],[Vertex]],Vertices[],MATCH("ID",Vertices[[#Headers],[Vertex]:[Top Word Pairs in Tags by Salience]],0),FALSE)</f>
        <v>307</v>
      </c>
    </row>
    <row r="188" spans="1:3" ht="15">
      <c r="A188" s="80" t="s">
        <v>2052</v>
      </c>
      <c r="B188" s="112" t="s">
        <v>624</v>
      </c>
      <c r="C188" s="80">
        <f>VLOOKUP(GroupVertices[[#This Row],[Vertex]],Vertices[],MATCH("ID",Vertices[[#Headers],[Vertex]:[Top Word Pairs in Tags by Salience]],0),FALSE)</f>
        <v>306</v>
      </c>
    </row>
    <row r="189" spans="1:3" ht="15">
      <c r="A189" s="80" t="s">
        <v>2052</v>
      </c>
      <c r="B189" s="112" t="s">
        <v>623</v>
      </c>
      <c r="C189" s="80">
        <f>VLOOKUP(GroupVertices[[#This Row],[Vertex]],Vertices[],MATCH("ID",Vertices[[#Headers],[Vertex]:[Top Word Pairs in Tags by Salience]],0),FALSE)</f>
        <v>305</v>
      </c>
    </row>
    <row r="190" spans="1:3" ht="15">
      <c r="A190" s="80" t="s">
        <v>2052</v>
      </c>
      <c r="B190" s="112" t="s">
        <v>622</v>
      </c>
      <c r="C190" s="80">
        <f>VLOOKUP(GroupVertices[[#This Row],[Vertex]],Vertices[],MATCH("ID",Vertices[[#Headers],[Vertex]:[Top Word Pairs in Tags by Salience]],0),FALSE)</f>
        <v>304</v>
      </c>
    </row>
    <row r="191" spans="1:3" ht="15">
      <c r="A191" s="80" t="s">
        <v>2052</v>
      </c>
      <c r="B191" s="112" t="s">
        <v>621</v>
      </c>
      <c r="C191" s="80">
        <f>VLOOKUP(GroupVertices[[#This Row],[Vertex]],Vertices[],MATCH("ID",Vertices[[#Headers],[Vertex]:[Top Word Pairs in Tags by Salience]],0),FALSE)</f>
        <v>303</v>
      </c>
    </row>
    <row r="192" spans="1:3" ht="15">
      <c r="A192" s="80" t="s">
        <v>2052</v>
      </c>
      <c r="B192" s="112" t="s">
        <v>620</v>
      </c>
      <c r="C192" s="80">
        <f>VLOOKUP(GroupVertices[[#This Row],[Vertex]],Vertices[],MATCH("ID",Vertices[[#Headers],[Vertex]:[Top Word Pairs in Tags by Salience]],0),FALSE)</f>
        <v>302</v>
      </c>
    </row>
    <row r="193" spans="1:3" ht="15">
      <c r="A193" s="80" t="s">
        <v>2052</v>
      </c>
      <c r="B193" s="112" t="s">
        <v>619</v>
      </c>
      <c r="C193" s="80">
        <f>VLOOKUP(GroupVertices[[#This Row],[Vertex]],Vertices[],MATCH("ID",Vertices[[#Headers],[Vertex]:[Top Word Pairs in Tags by Salience]],0),FALSE)</f>
        <v>301</v>
      </c>
    </row>
    <row r="194" spans="1:3" ht="15">
      <c r="A194" s="80" t="s">
        <v>2052</v>
      </c>
      <c r="B194" s="112" t="s">
        <v>618</v>
      </c>
      <c r="C194" s="80">
        <f>VLOOKUP(GroupVertices[[#This Row],[Vertex]],Vertices[],MATCH("ID",Vertices[[#Headers],[Vertex]:[Top Word Pairs in Tags by Salience]],0),FALSE)</f>
        <v>300</v>
      </c>
    </row>
    <row r="195" spans="1:3" ht="15">
      <c r="A195" s="80" t="s">
        <v>2052</v>
      </c>
      <c r="B195" s="112" t="s">
        <v>617</v>
      </c>
      <c r="C195" s="80">
        <f>VLOOKUP(GroupVertices[[#This Row],[Vertex]],Vertices[],MATCH("ID",Vertices[[#Headers],[Vertex]:[Top Word Pairs in Tags by Salience]],0),FALSE)</f>
        <v>299</v>
      </c>
    </row>
    <row r="196" spans="1:3" ht="15">
      <c r="A196" s="80" t="s">
        <v>2052</v>
      </c>
      <c r="B196" s="112" t="s">
        <v>616</v>
      </c>
      <c r="C196" s="80">
        <f>VLOOKUP(GroupVertices[[#This Row],[Vertex]],Vertices[],MATCH("ID",Vertices[[#Headers],[Vertex]:[Top Word Pairs in Tags by Salience]],0),FALSE)</f>
        <v>298</v>
      </c>
    </row>
    <row r="197" spans="1:3" ht="15">
      <c r="A197" s="80" t="s">
        <v>2052</v>
      </c>
      <c r="B197" s="112" t="s">
        <v>615</v>
      </c>
      <c r="C197" s="80">
        <f>VLOOKUP(GroupVertices[[#This Row],[Vertex]],Vertices[],MATCH("ID",Vertices[[#Headers],[Vertex]:[Top Word Pairs in Tags by Salience]],0),FALSE)</f>
        <v>297</v>
      </c>
    </row>
    <row r="198" spans="1:3" ht="15">
      <c r="A198" s="80" t="s">
        <v>2052</v>
      </c>
      <c r="B198" s="112" t="s">
        <v>614</v>
      </c>
      <c r="C198" s="80">
        <f>VLOOKUP(GroupVertices[[#This Row],[Vertex]],Vertices[],MATCH("ID",Vertices[[#Headers],[Vertex]:[Top Word Pairs in Tags by Salience]],0),FALSE)</f>
        <v>296</v>
      </c>
    </row>
    <row r="199" spans="1:3" ht="15">
      <c r="A199" s="80" t="s">
        <v>2052</v>
      </c>
      <c r="B199" s="112" t="s">
        <v>421</v>
      </c>
      <c r="C199" s="80">
        <f>VLOOKUP(GroupVertices[[#This Row],[Vertex]],Vertices[],MATCH("ID",Vertices[[#Headers],[Vertex]:[Top Word Pairs in Tags by Salience]],0),FALSE)</f>
        <v>99</v>
      </c>
    </row>
    <row r="200" spans="1:3" ht="15">
      <c r="A200" s="80" t="s">
        <v>2053</v>
      </c>
      <c r="B200" s="112" t="s">
        <v>328</v>
      </c>
      <c r="C200" s="80">
        <f>VLOOKUP(GroupVertices[[#This Row],[Vertex]],Vertices[],MATCH("ID",Vertices[[#Headers],[Vertex]:[Top Word Pairs in Tags by Salience]],0),FALSE)</f>
        <v>89</v>
      </c>
    </row>
    <row r="201" spans="1:3" ht="15">
      <c r="A201" s="80" t="s">
        <v>2053</v>
      </c>
      <c r="B201" s="112" t="s">
        <v>586</v>
      </c>
      <c r="C201" s="80">
        <f>VLOOKUP(GroupVertices[[#This Row],[Vertex]],Vertices[],MATCH("ID",Vertices[[#Headers],[Vertex]:[Top Word Pairs in Tags by Salience]],0),FALSE)</f>
        <v>268</v>
      </c>
    </row>
    <row r="202" spans="1:3" ht="15">
      <c r="A202" s="80" t="s">
        <v>2053</v>
      </c>
      <c r="B202" s="112" t="s">
        <v>585</v>
      </c>
      <c r="C202" s="80">
        <f>VLOOKUP(GroupVertices[[#This Row],[Vertex]],Vertices[],MATCH("ID",Vertices[[#Headers],[Vertex]:[Top Word Pairs in Tags by Salience]],0),FALSE)</f>
        <v>267</v>
      </c>
    </row>
    <row r="203" spans="1:3" ht="15">
      <c r="A203" s="80" t="s">
        <v>2053</v>
      </c>
      <c r="B203" s="112" t="s">
        <v>584</v>
      </c>
      <c r="C203" s="80">
        <f>VLOOKUP(GroupVertices[[#This Row],[Vertex]],Vertices[],MATCH("ID",Vertices[[#Headers],[Vertex]:[Top Word Pairs in Tags by Salience]],0),FALSE)</f>
        <v>266</v>
      </c>
    </row>
    <row r="204" spans="1:3" ht="15">
      <c r="A204" s="80" t="s">
        <v>2053</v>
      </c>
      <c r="B204" s="112" t="s">
        <v>583</v>
      </c>
      <c r="C204" s="80">
        <f>VLOOKUP(GroupVertices[[#This Row],[Vertex]],Vertices[],MATCH("ID",Vertices[[#Headers],[Vertex]:[Top Word Pairs in Tags by Salience]],0),FALSE)</f>
        <v>265</v>
      </c>
    </row>
    <row r="205" spans="1:3" ht="15">
      <c r="A205" s="80" t="s">
        <v>2053</v>
      </c>
      <c r="B205" s="112" t="s">
        <v>582</v>
      </c>
      <c r="C205" s="80">
        <f>VLOOKUP(GroupVertices[[#This Row],[Vertex]],Vertices[],MATCH("ID",Vertices[[#Headers],[Vertex]:[Top Word Pairs in Tags by Salience]],0),FALSE)</f>
        <v>264</v>
      </c>
    </row>
    <row r="206" spans="1:3" ht="15">
      <c r="A206" s="80" t="s">
        <v>2053</v>
      </c>
      <c r="B206" s="112" t="s">
        <v>581</v>
      </c>
      <c r="C206" s="80">
        <f>VLOOKUP(GroupVertices[[#This Row],[Vertex]],Vertices[],MATCH("ID",Vertices[[#Headers],[Vertex]:[Top Word Pairs in Tags by Salience]],0),FALSE)</f>
        <v>263</v>
      </c>
    </row>
    <row r="207" spans="1:3" ht="15">
      <c r="A207" s="80" t="s">
        <v>2053</v>
      </c>
      <c r="B207" s="112" t="s">
        <v>580</v>
      </c>
      <c r="C207" s="80">
        <f>VLOOKUP(GroupVertices[[#This Row],[Vertex]],Vertices[],MATCH("ID",Vertices[[#Headers],[Vertex]:[Top Word Pairs in Tags by Salience]],0),FALSE)</f>
        <v>262</v>
      </c>
    </row>
    <row r="208" spans="1:3" ht="15">
      <c r="A208" s="80" t="s">
        <v>2053</v>
      </c>
      <c r="B208" s="112" t="s">
        <v>579</v>
      </c>
      <c r="C208" s="80">
        <f>VLOOKUP(GroupVertices[[#This Row],[Vertex]],Vertices[],MATCH("ID",Vertices[[#Headers],[Vertex]:[Top Word Pairs in Tags by Salience]],0),FALSE)</f>
        <v>261</v>
      </c>
    </row>
    <row r="209" spans="1:3" ht="15">
      <c r="A209" s="80" t="s">
        <v>2053</v>
      </c>
      <c r="B209" s="112" t="s">
        <v>578</v>
      </c>
      <c r="C209" s="80">
        <f>VLOOKUP(GroupVertices[[#This Row],[Vertex]],Vertices[],MATCH("ID",Vertices[[#Headers],[Vertex]:[Top Word Pairs in Tags by Salience]],0),FALSE)</f>
        <v>260</v>
      </c>
    </row>
    <row r="210" spans="1:3" ht="15">
      <c r="A210" s="80" t="s">
        <v>2053</v>
      </c>
      <c r="B210" s="112" t="s">
        <v>577</v>
      </c>
      <c r="C210" s="80">
        <f>VLOOKUP(GroupVertices[[#This Row],[Vertex]],Vertices[],MATCH("ID",Vertices[[#Headers],[Vertex]:[Top Word Pairs in Tags by Salience]],0),FALSE)</f>
        <v>259</v>
      </c>
    </row>
    <row r="211" spans="1:3" ht="15">
      <c r="A211" s="80" t="s">
        <v>2053</v>
      </c>
      <c r="B211" s="112" t="s">
        <v>576</v>
      </c>
      <c r="C211" s="80">
        <f>VLOOKUP(GroupVertices[[#This Row],[Vertex]],Vertices[],MATCH("ID",Vertices[[#Headers],[Vertex]:[Top Word Pairs in Tags by Salience]],0),FALSE)</f>
        <v>258</v>
      </c>
    </row>
    <row r="212" spans="1:3" ht="15">
      <c r="A212" s="80" t="s">
        <v>2053</v>
      </c>
      <c r="B212" s="112" t="s">
        <v>575</v>
      </c>
      <c r="C212" s="80">
        <f>VLOOKUP(GroupVertices[[#This Row],[Vertex]],Vertices[],MATCH("ID",Vertices[[#Headers],[Vertex]:[Top Word Pairs in Tags by Salience]],0),FALSE)</f>
        <v>257</v>
      </c>
    </row>
    <row r="213" spans="1:3" ht="15">
      <c r="A213" s="80" t="s">
        <v>2053</v>
      </c>
      <c r="B213" s="112" t="s">
        <v>574</v>
      </c>
      <c r="C213" s="80">
        <f>VLOOKUP(GroupVertices[[#This Row],[Vertex]],Vertices[],MATCH("ID",Vertices[[#Headers],[Vertex]:[Top Word Pairs in Tags by Salience]],0),FALSE)</f>
        <v>256</v>
      </c>
    </row>
    <row r="214" spans="1:3" ht="15">
      <c r="A214" s="80" t="s">
        <v>2053</v>
      </c>
      <c r="B214" s="112" t="s">
        <v>573</v>
      </c>
      <c r="C214" s="80">
        <f>VLOOKUP(GroupVertices[[#This Row],[Vertex]],Vertices[],MATCH("ID",Vertices[[#Headers],[Vertex]:[Top Word Pairs in Tags by Salience]],0),FALSE)</f>
        <v>255</v>
      </c>
    </row>
    <row r="215" spans="1:3" ht="15">
      <c r="A215" s="80" t="s">
        <v>2053</v>
      </c>
      <c r="B215" s="112" t="s">
        <v>572</v>
      </c>
      <c r="C215" s="80">
        <f>VLOOKUP(GroupVertices[[#This Row],[Vertex]],Vertices[],MATCH("ID",Vertices[[#Headers],[Vertex]:[Top Word Pairs in Tags by Salience]],0),FALSE)</f>
        <v>254</v>
      </c>
    </row>
    <row r="216" spans="1:3" ht="15">
      <c r="A216" s="80" t="s">
        <v>2053</v>
      </c>
      <c r="B216" s="112" t="s">
        <v>571</v>
      </c>
      <c r="C216" s="80">
        <f>VLOOKUP(GroupVertices[[#This Row],[Vertex]],Vertices[],MATCH("ID",Vertices[[#Headers],[Vertex]:[Top Word Pairs in Tags by Salience]],0),FALSE)</f>
        <v>253</v>
      </c>
    </row>
    <row r="217" spans="1:3" ht="15">
      <c r="A217" s="80" t="s">
        <v>2053</v>
      </c>
      <c r="B217" s="112" t="s">
        <v>570</v>
      </c>
      <c r="C217" s="80">
        <f>VLOOKUP(GroupVertices[[#This Row],[Vertex]],Vertices[],MATCH("ID",Vertices[[#Headers],[Vertex]:[Top Word Pairs in Tags by Salience]],0),FALSE)</f>
        <v>252</v>
      </c>
    </row>
    <row r="218" spans="1:3" ht="15">
      <c r="A218" s="80" t="s">
        <v>2053</v>
      </c>
      <c r="B218" s="112" t="s">
        <v>569</v>
      </c>
      <c r="C218" s="80">
        <f>VLOOKUP(GroupVertices[[#This Row],[Vertex]],Vertices[],MATCH("ID",Vertices[[#Headers],[Vertex]:[Top Word Pairs in Tags by Salience]],0),FALSE)</f>
        <v>251</v>
      </c>
    </row>
    <row r="219" spans="1:3" ht="15">
      <c r="A219" s="80" t="s">
        <v>2053</v>
      </c>
      <c r="B219" s="112" t="s">
        <v>568</v>
      </c>
      <c r="C219" s="80">
        <f>VLOOKUP(GroupVertices[[#This Row],[Vertex]],Vertices[],MATCH("ID",Vertices[[#Headers],[Vertex]:[Top Word Pairs in Tags by Salience]],0),FALSE)</f>
        <v>250</v>
      </c>
    </row>
    <row r="220" spans="1:3" ht="15">
      <c r="A220" s="80" t="s">
        <v>2053</v>
      </c>
      <c r="B220" s="112" t="s">
        <v>567</v>
      </c>
      <c r="C220" s="80">
        <f>VLOOKUP(GroupVertices[[#This Row],[Vertex]],Vertices[],MATCH("ID",Vertices[[#Headers],[Vertex]:[Top Word Pairs in Tags by Salience]],0),FALSE)</f>
        <v>249</v>
      </c>
    </row>
    <row r="221" spans="1:3" ht="15">
      <c r="A221" s="80" t="s">
        <v>2053</v>
      </c>
      <c r="B221" s="112" t="s">
        <v>566</v>
      </c>
      <c r="C221" s="80">
        <f>VLOOKUP(GroupVertices[[#This Row],[Vertex]],Vertices[],MATCH("ID",Vertices[[#Headers],[Vertex]:[Top Word Pairs in Tags by Salience]],0),FALSE)</f>
        <v>248</v>
      </c>
    </row>
    <row r="222" spans="1:3" ht="15">
      <c r="A222" s="80" t="s">
        <v>2053</v>
      </c>
      <c r="B222" s="112" t="s">
        <v>565</v>
      </c>
      <c r="C222" s="80">
        <f>VLOOKUP(GroupVertices[[#This Row],[Vertex]],Vertices[],MATCH("ID",Vertices[[#Headers],[Vertex]:[Top Word Pairs in Tags by Salience]],0),FALSE)</f>
        <v>247</v>
      </c>
    </row>
    <row r="223" spans="1:3" ht="15">
      <c r="A223" s="80" t="s">
        <v>2053</v>
      </c>
      <c r="B223" s="112" t="s">
        <v>564</v>
      </c>
      <c r="C223" s="80">
        <f>VLOOKUP(GroupVertices[[#This Row],[Vertex]],Vertices[],MATCH("ID",Vertices[[#Headers],[Vertex]:[Top Word Pairs in Tags by Salience]],0),FALSE)</f>
        <v>246</v>
      </c>
    </row>
    <row r="224" spans="1:3" ht="15">
      <c r="A224" s="80" t="s">
        <v>2053</v>
      </c>
      <c r="B224" s="112" t="s">
        <v>563</v>
      </c>
      <c r="C224" s="80">
        <f>VLOOKUP(GroupVertices[[#This Row],[Vertex]],Vertices[],MATCH("ID",Vertices[[#Headers],[Vertex]:[Top Word Pairs in Tags by Salience]],0),FALSE)</f>
        <v>245</v>
      </c>
    </row>
    <row r="225" spans="1:3" ht="15">
      <c r="A225" s="80" t="s">
        <v>2053</v>
      </c>
      <c r="B225" s="112" t="s">
        <v>562</v>
      </c>
      <c r="C225" s="80">
        <f>VLOOKUP(GroupVertices[[#This Row],[Vertex]],Vertices[],MATCH("ID",Vertices[[#Headers],[Vertex]:[Top Word Pairs in Tags by Salience]],0),FALSE)</f>
        <v>244</v>
      </c>
    </row>
    <row r="226" spans="1:3" ht="15">
      <c r="A226" s="80" t="s">
        <v>2053</v>
      </c>
      <c r="B226" s="112" t="s">
        <v>561</v>
      </c>
      <c r="C226" s="80">
        <f>VLOOKUP(GroupVertices[[#This Row],[Vertex]],Vertices[],MATCH("ID",Vertices[[#Headers],[Vertex]:[Top Word Pairs in Tags by Salience]],0),FALSE)</f>
        <v>243</v>
      </c>
    </row>
    <row r="227" spans="1:3" ht="15">
      <c r="A227" s="80" t="s">
        <v>2053</v>
      </c>
      <c r="B227" s="112" t="s">
        <v>560</v>
      </c>
      <c r="C227" s="80">
        <f>VLOOKUP(GroupVertices[[#This Row],[Vertex]],Vertices[],MATCH("ID",Vertices[[#Headers],[Vertex]:[Top Word Pairs in Tags by Salience]],0),FALSE)</f>
        <v>242</v>
      </c>
    </row>
    <row r="228" spans="1:3" ht="15">
      <c r="A228" s="80" t="s">
        <v>2053</v>
      </c>
      <c r="B228" s="112" t="s">
        <v>559</v>
      </c>
      <c r="C228" s="80">
        <f>VLOOKUP(GroupVertices[[#This Row],[Vertex]],Vertices[],MATCH("ID",Vertices[[#Headers],[Vertex]:[Top Word Pairs in Tags by Salience]],0),FALSE)</f>
        <v>241</v>
      </c>
    </row>
    <row r="229" spans="1:3" ht="15">
      <c r="A229" s="80" t="s">
        <v>2053</v>
      </c>
      <c r="B229" s="112" t="s">
        <v>558</v>
      </c>
      <c r="C229" s="80">
        <f>VLOOKUP(GroupVertices[[#This Row],[Vertex]],Vertices[],MATCH("ID",Vertices[[#Headers],[Vertex]:[Top Word Pairs in Tags by Salience]],0),FALSE)</f>
        <v>240</v>
      </c>
    </row>
    <row r="230" spans="1:3" ht="15">
      <c r="A230" s="80" t="s">
        <v>2053</v>
      </c>
      <c r="B230" s="112" t="s">
        <v>557</v>
      </c>
      <c r="C230" s="80">
        <f>VLOOKUP(GroupVertices[[#This Row],[Vertex]],Vertices[],MATCH("ID",Vertices[[#Headers],[Vertex]:[Top Word Pairs in Tags by Salience]],0),FALSE)</f>
        <v>239</v>
      </c>
    </row>
    <row r="231" spans="1:3" ht="15">
      <c r="A231" s="80" t="s">
        <v>2053</v>
      </c>
      <c r="B231" s="112" t="s">
        <v>556</v>
      </c>
      <c r="C231" s="80">
        <f>VLOOKUP(GroupVertices[[#This Row],[Vertex]],Vertices[],MATCH("ID",Vertices[[#Headers],[Vertex]:[Top Word Pairs in Tags by Salience]],0),FALSE)</f>
        <v>238</v>
      </c>
    </row>
    <row r="232" spans="1:3" ht="15">
      <c r="A232" s="80" t="s">
        <v>2053</v>
      </c>
      <c r="B232" s="112" t="s">
        <v>555</v>
      </c>
      <c r="C232" s="80">
        <f>VLOOKUP(GroupVertices[[#This Row],[Vertex]],Vertices[],MATCH("ID",Vertices[[#Headers],[Vertex]:[Top Word Pairs in Tags by Salience]],0),FALSE)</f>
        <v>237</v>
      </c>
    </row>
    <row r="233" spans="1:3" ht="15">
      <c r="A233" s="80" t="s">
        <v>2053</v>
      </c>
      <c r="B233" s="112" t="s">
        <v>554</v>
      </c>
      <c r="C233" s="80">
        <f>VLOOKUP(GroupVertices[[#This Row],[Vertex]],Vertices[],MATCH("ID",Vertices[[#Headers],[Vertex]:[Top Word Pairs in Tags by Salience]],0),FALSE)</f>
        <v>236</v>
      </c>
    </row>
    <row r="234" spans="1:3" ht="15">
      <c r="A234" s="80" t="s">
        <v>2053</v>
      </c>
      <c r="B234" s="112" t="s">
        <v>553</v>
      </c>
      <c r="C234" s="80">
        <f>VLOOKUP(GroupVertices[[#This Row],[Vertex]],Vertices[],MATCH("ID",Vertices[[#Headers],[Vertex]:[Top Word Pairs in Tags by Salience]],0),FALSE)</f>
        <v>235</v>
      </c>
    </row>
    <row r="235" spans="1:3" ht="15">
      <c r="A235" s="80" t="s">
        <v>2053</v>
      </c>
      <c r="B235" s="112" t="s">
        <v>552</v>
      </c>
      <c r="C235" s="80">
        <f>VLOOKUP(GroupVertices[[#This Row],[Vertex]],Vertices[],MATCH("ID",Vertices[[#Headers],[Vertex]:[Top Word Pairs in Tags by Salience]],0),FALSE)</f>
        <v>234</v>
      </c>
    </row>
    <row r="236" spans="1:3" ht="15">
      <c r="A236" s="80" t="s">
        <v>2053</v>
      </c>
      <c r="B236" s="112" t="s">
        <v>551</v>
      </c>
      <c r="C236" s="80">
        <f>VLOOKUP(GroupVertices[[#This Row],[Vertex]],Vertices[],MATCH("ID",Vertices[[#Headers],[Vertex]:[Top Word Pairs in Tags by Salience]],0),FALSE)</f>
        <v>233</v>
      </c>
    </row>
    <row r="237" spans="1:3" ht="15">
      <c r="A237" s="80" t="s">
        <v>2053</v>
      </c>
      <c r="B237" s="112" t="s">
        <v>550</v>
      </c>
      <c r="C237" s="80">
        <f>VLOOKUP(GroupVertices[[#This Row],[Vertex]],Vertices[],MATCH("ID",Vertices[[#Headers],[Vertex]:[Top Word Pairs in Tags by Salience]],0),FALSE)</f>
        <v>232</v>
      </c>
    </row>
    <row r="238" spans="1:3" ht="15">
      <c r="A238" s="80" t="s">
        <v>2053</v>
      </c>
      <c r="B238" s="112" t="s">
        <v>549</v>
      </c>
      <c r="C238" s="80">
        <f>VLOOKUP(GroupVertices[[#This Row],[Vertex]],Vertices[],MATCH("ID",Vertices[[#Headers],[Vertex]:[Top Word Pairs in Tags by Salience]],0),FALSE)</f>
        <v>231</v>
      </c>
    </row>
    <row r="239" spans="1:3" ht="15">
      <c r="A239" s="80" t="s">
        <v>2053</v>
      </c>
      <c r="B239" s="112" t="s">
        <v>536</v>
      </c>
      <c r="C239" s="80">
        <f>VLOOKUP(GroupVertices[[#This Row],[Vertex]],Vertices[],MATCH("ID",Vertices[[#Headers],[Vertex]:[Top Word Pairs in Tags by Salience]],0),FALSE)</f>
        <v>218</v>
      </c>
    </row>
    <row r="240" spans="1:3" ht="15">
      <c r="A240" s="80" t="s">
        <v>2054</v>
      </c>
      <c r="B240" s="112" t="s">
        <v>419</v>
      </c>
      <c r="C240" s="80">
        <f>VLOOKUP(GroupVertices[[#This Row],[Vertex]],Vertices[],MATCH("ID",Vertices[[#Headers],[Vertex]:[Top Word Pairs in Tags by Salience]],0),FALSE)</f>
        <v>96</v>
      </c>
    </row>
    <row r="241" spans="1:3" ht="15">
      <c r="A241" s="80" t="s">
        <v>2054</v>
      </c>
      <c r="B241" s="112" t="s">
        <v>417</v>
      </c>
      <c r="C241" s="80">
        <f>VLOOKUP(GroupVertices[[#This Row],[Vertex]],Vertices[],MATCH("ID",Vertices[[#Headers],[Vertex]:[Top Word Pairs in Tags by Salience]],0),FALSE)</f>
        <v>94</v>
      </c>
    </row>
    <row r="242" spans="1:3" ht="15">
      <c r="A242" s="80" t="s">
        <v>2054</v>
      </c>
      <c r="B242" s="112" t="s">
        <v>412</v>
      </c>
      <c r="C242" s="80">
        <f>VLOOKUP(GroupVertices[[#This Row],[Vertex]],Vertices[],MATCH("ID",Vertices[[#Headers],[Vertex]:[Top Word Pairs in Tags by Salience]],0),FALSE)</f>
        <v>88</v>
      </c>
    </row>
    <row r="243" spans="1:3" ht="15">
      <c r="A243" s="80" t="s">
        <v>2054</v>
      </c>
      <c r="B243" s="112" t="s">
        <v>323</v>
      </c>
      <c r="C243" s="80">
        <f>VLOOKUP(GroupVertices[[#This Row],[Vertex]],Vertices[],MATCH("ID",Vertices[[#Headers],[Vertex]:[Top Word Pairs in Tags by Salience]],0),FALSE)</f>
        <v>50</v>
      </c>
    </row>
    <row r="244" spans="1:3" ht="15">
      <c r="A244" s="80" t="s">
        <v>2054</v>
      </c>
      <c r="B244" s="112" t="s">
        <v>408</v>
      </c>
      <c r="C244" s="80">
        <f>VLOOKUP(GroupVertices[[#This Row],[Vertex]],Vertices[],MATCH("ID",Vertices[[#Headers],[Vertex]:[Top Word Pairs in Tags by Salience]],0),FALSE)</f>
        <v>83</v>
      </c>
    </row>
    <row r="245" spans="1:3" ht="15">
      <c r="A245" s="80" t="s">
        <v>2054</v>
      </c>
      <c r="B245" s="112" t="s">
        <v>407</v>
      </c>
      <c r="C245" s="80">
        <f>VLOOKUP(GroupVertices[[#This Row],[Vertex]],Vertices[],MATCH("ID",Vertices[[#Headers],[Vertex]:[Top Word Pairs in Tags by Salience]],0),FALSE)</f>
        <v>82</v>
      </c>
    </row>
    <row r="246" spans="1:3" ht="15">
      <c r="A246" s="80" t="s">
        <v>2054</v>
      </c>
      <c r="B246" s="112" t="s">
        <v>406</v>
      </c>
      <c r="C246" s="80">
        <f>VLOOKUP(GroupVertices[[#This Row],[Vertex]],Vertices[],MATCH("ID",Vertices[[#Headers],[Vertex]:[Top Word Pairs in Tags by Salience]],0),FALSE)</f>
        <v>81</v>
      </c>
    </row>
    <row r="247" spans="1:3" ht="15">
      <c r="A247" s="80" t="s">
        <v>2054</v>
      </c>
      <c r="B247" s="112" t="s">
        <v>405</v>
      </c>
      <c r="C247" s="80">
        <f>VLOOKUP(GroupVertices[[#This Row],[Vertex]],Vertices[],MATCH("ID",Vertices[[#Headers],[Vertex]:[Top Word Pairs in Tags by Salience]],0),FALSE)</f>
        <v>80</v>
      </c>
    </row>
    <row r="248" spans="1:3" ht="15">
      <c r="A248" s="80" t="s">
        <v>2054</v>
      </c>
      <c r="B248" s="112" t="s">
        <v>404</v>
      </c>
      <c r="C248" s="80">
        <f>VLOOKUP(GroupVertices[[#This Row],[Vertex]],Vertices[],MATCH("ID",Vertices[[#Headers],[Vertex]:[Top Word Pairs in Tags by Salience]],0),FALSE)</f>
        <v>79</v>
      </c>
    </row>
    <row r="249" spans="1:3" ht="15">
      <c r="A249" s="80" t="s">
        <v>2054</v>
      </c>
      <c r="B249" s="112" t="s">
        <v>403</v>
      </c>
      <c r="C249" s="80">
        <f>VLOOKUP(GroupVertices[[#This Row],[Vertex]],Vertices[],MATCH("ID",Vertices[[#Headers],[Vertex]:[Top Word Pairs in Tags by Salience]],0),FALSE)</f>
        <v>78</v>
      </c>
    </row>
    <row r="250" spans="1:3" ht="15">
      <c r="A250" s="80" t="s">
        <v>2054</v>
      </c>
      <c r="B250" s="112" t="s">
        <v>402</v>
      </c>
      <c r="C250" s="80">
        <f>VLOOKUP(GroupVertices[[#This Row],[Vertex]],Vertices[],MATCH("ID",Vertices[[#Headers],[Vertex]:[Top Word Pairs in Tags by Salience]],0),FALSE)</f>
        <v>77</v>
      </c>
    </row>
    <row r="251" spans="1:3" ht="15">
      <c r="A251" s="80" t="s">
        <v>2054</v>
      </c>
      <c r="B251" s="112" t="s">
        <v>401</v>
      </c>
      <c r="C251" s="80">
        <f>VLOOKUP(GroupVertices[[#This Row],[Vertex]],Vertices[],MATCH("ID",Vertices[[#Headers],[Vertex]:[Top Word Pairs in Tags by Salience]],0),FALSE)</f>
        <v>76</v>
      </c>
    </row>
    <row r="252" spans="1:3" ht="15">
      <c r="A252" s="80" t="s">
        <v>2054</v>
      </c>
      <c r="B252" s="112" t="s">
        <v>400</v>
      </c>
      <c r="C252" s="80">
        <f>VLOOKUP(GroupVertices[[#This Row],[Vertex]],Vertices[],MATCH("ID",Vertices[[#Headers],[Vertex]:[Top Word Pairs in Tags by Salience]],0),FALSE)</f>
        <v>75</v>
      </c>
    </row>
    <row r="253" spans="1:3" ht="15">
      <c r="A253" s="80" t="s">
        <v>2054</v>
      </c>
      <c r="B253" s="112" t="s">
        <v>399</v>
      </c>
      <c r="C253" s="80">
        <f>VLOOKUP(GroupVertices[[#This Row],[Vertex]],Vertices[],MATCH("ID",Vertices[[#Headers],[Vertex]:[Top Word Pairs in Tags by Salience]],0),FALSE)</f>
        <v>74</v>
      </c>
    </row>
    <row r="254" spans="1:3" ht="15">
      <c r="A254" s="80" t="s">
        <v>2054</v>
      </c>
      <c r="B254" s="112" t="s">
        <v>398</v>
      </c>
      <c r="C254" s="80">
        <f>VLOOKUP(GroupVertices[[#This Row],[Vertex]],Vertices[],MATCH("ID",Vertices[[#Headers],[Vertex]:[Top Word Pairs in Tags by Salience]],0),FALSE)</f>
        <v>73</v>
      </c>
    </row>
    <row r="255" spans="1:3" ht="15">
      <c r="A255" s="80" t="s">
        <v>2054</v>
      </c>
      <c r="B255" s="112" t="s">
        <v>397</v>
      </c>
      <c r="C255" s="80">
        <f>VLOOKUP(GroupVertices[[#This Row],[Vertex]],Vertices[],MATCH("ID",Vertices[[#Headers],[Vertex]:[Top Word Pairs in Tags by Salience]],0),FALSE)</f>
        <v>72</v>
      </c>
    </row>
    <row r="256" spans="1:3" ht="15">
      <c r="A256" s="80" t="s">
        <v>2054</v>
      </c>
      <c r="B256" s="112" t="s">
        <v>396</v>
      </c>
      <c r="C256" s="80">
        <f>VLOOKUP(GroupVertices[[#This Row],[Vertex]],Vertices[],MATCH("ID",Vertices[[#Headers],[Vertex]:[Top Word Pairs in Tags by Salience]],0),FALSE)</f>
        <v>71</v>
      </c>
    </row>
    <row r="257" spans="1:3" ht="15">
      <c r="A257" s="80" t="s">
        <v>2054</v>
      </c>
      <c r="B257" s="112" t="s">
        <v>395</v>
      </c>
      <c r="C257" s="80">
        <f>VLOOKUP(GroupVertices[[#This Row],[Vertex]],Vertices[],MATCH("ID",Vertices[[#Headers],[Vertex]:[Top Word Pairs in Tags by Salience]],0),FALSE)</f>
        <v>70</v>
      </c>
    </row>
    <row r="258" spans="1:3" ht="15">
      <c r="A258" s="80" t="s">
        <v>2054</v>
      </c>
      <c r="B258" s="112" t="s">
        <v>394</v>
      </c>
      <c r="C258" s="80">
        <f>VLOOKUP(GroupVertices[[#This Row],[Vertex]],Vertices[],MATCH("ID",Vertices[[#Headers],[Vertex]:[Top Word Pairs in Tags by Salience]],0),FALSE)</f>
        <v>69</v>
      </c>
    </row>
    <row r="259" spans="1:3" ht="15">
      <c r="A259" s="80" t="s">
        <v>2054</v>
      </c>
      <c r="B259" s="112" t="s">
        <v>393</v>
      </c>
      <c r="C259" s="80">
        <f>VLOOKUP(GroupVertices[[#This Row],[Vertex]],Vertices[],MATCH("ID",Vertices[[#Headers],[Vertex]:[Top Word Pairs in Tags by Salience]],0),FALSE)</f>
        <v>68</v>
      </c>
    </row>
    <row r="260" spans="1:3" ht="15">
      <c r="A260" s="80" t="s">
        <v>2054</v>
      </c>
      <c r="B260" s="112" t="s">
        <v>392</v>
      </c>
      <c r="C260" s="80">
        <f>VLOOKUP(GroupVertices[[#This Row],[Vertex]],Vertices[],MATCH("ID",Vertices[[#Headers],[Vertex]:[Top Word Pairs in Tags by Salience]],0),FALSE)</f>
        <v>67</v>
      </c>
    </row>
    <row r="261" spans="1:3" ht="15">
      <c r="A261" s="80" t="s">
        <v>2054</v>
      </c>
      <c r="B261" s="112" t="s">
        <v>391</v>
      </c>
      <c r="C261" s="80">
        <f>VLOOKUP(GroupVertices[[#This Row],[Vertex]],Vertices[],MATCH("ID",Vertices[[#Headers],[Vertex]:[Top Word Pairs in Tags by Salience]],0),FALSE)</f>
        <v>66</v>
      </c>
    </row>
    <row r="262" spans="1:3" ht="15">
      <c r="A262" s="80" t="s">
        <v>2054</v>
      </c>
      <c r="B262" s="112" t="s">
        <v>390</v>
      </c>
      <c r="C262" s="80">
        <f>VLOOKUP(GroupVertices[[#This Row],[Vertex]],Vertices[],MATCH("ID",Vertices[[#Headers],[Vertex]:[Top Word Pairs in Tags by Salience]],0),FALSE)</f>
        <v>65</v>
      </c>
    </row>
    <row r="263" spans="1:3" ht="15">
      <c r="A263" s="80" t="s">
        <v>2054</v>
      </c>
      <c r="B263" s="112" t="s">
        <v>389</v>
      </c>
      <c r="C263" s="80">
        <f>VLOOKUP(GroupVertices[[#This Row],[Vertex]],Vertices[],MATCH("ID",Vertices[[#Headers],[Vertex]:[Top Word Pairs in Tags by Salience]],0),FALSE)</f>
        <v>64</v>
      </c>
    </row>
    <row r="264" spans="1:3" ht="15">
      <c r="A264" s="80" t="s">
        <v>2054</v>
      </c>
      <c r="B264" s="112" t="s">
        <v>388</v>
      </c>
      <c r="C264" s="80">
        <f>VLOOKUP(GroupVertices[[#This Row],[Vertex]],Vertices[],MATCH("ID",Vertices[[#Headers],[Vertex]:[Top Word Pairs in Tags by Salience]],0),FALSE)</f>
        <v>63</v>
      </c>
    </row>
    <row r="265" spans="1:3" ht="15">
      <c r="A265" s="80" t="s">
        <v>2054</v>
      </c>
      <c r="B265" s="112" t="s">
        <v>387</v>
      </c>
      <c r="C265" s="80">
        <f>VLOOKUP(GroupVertices[[#This Row],[Vertex]],Vertices[],MATCH("ID",Vertices[[#Headers],[Vertex]:[Top Word Pairs in Tags by Salience]],0),FALSE)</f>
        <v>62</v>
      </c>
    </row>
    <row r="266" spans="1:3" ht="15">
      <c r="A266" s="80" t="s">
        <v>2054</v>
      </c>
      <c r="B266" s="112" t="s">
        <v>386</v>
      </c>
      <c r="C266" s="80">
        <f>VLOOKUP(GroupVertices[[#This Row],[Vertex]],Vertices[],MATCH("ID",Vertices[[#Headers],[Vertex]:[Top Word Pairs in Tags by Salience]],0),FALSE)</f>
        <v>61</v>
      </c>
    </row>
    <row r="267" spans="1:3" ht="15">
      <c r="A267" s="80" t="s">
        <v>2054</v>
      </c>
      <c r="B267" s="112" t="s">
        <v>385</v>
      </c>
      <c r="C267" s="80">
        <f>VLOOKUP(GroupVertices[[#This Row],[Vertex]],Vertices[],MATCH("ID",Vertices[[#Headers],[Vertex]:[Top Word Pairs in Tags by Salience]],0),FALSE)</f>
        <v>60</v>
      </c>
    </row>
    <row r="268" spans="1:3" ht="15">
      <c r="A268" s="80" t="s">
        <v>2054</v>
      </c>
      <c r="B268" s="112" t="s">
        <v>384</v>
      </c>
      <c r="C268" s="80">
        <f>VLOOKUP(GroupVertices[[#This Row],[Vertex]],Vertices[],MATCH("ID",Vertices[[#Headers],[Vertex]:[Top Word Pairs in Tags by Salience]],0),FALSE)</f>
        <v>59</v>
      </c>
    </row>
    <row r="269" spans="1:3" ht="15">
      <c r="A269" s="80" t="s">
        <v>2054</v>
      </c>
      <c r="B269" s="112" t="s">
        <v>383</v>
      </c>
      <c r="C269" s="80">
        <f>VLOOKUP(GroupVertices[[#This Row],[Vertex]],Vertices[],MATCH("ID",Vertices[[#Headers],[Vertex]:[Top Word Pairs in Tags by Salience]],0),FALSE)</f>
        <v>58</v>
      </c>
    </row>
    <row r="270" spans="1:3" ht="15">
      <c r="A270" s="80" t="s">
        <v>2054</v>
      </c>
      <c r="B270" s="112" t="s">
        <v>382</v>
      </c>
      <c r="C270" s="80">
        <f>VLOOKUP(GroupVertices[[#This Row],[Vertex]],Vertices[],MATCH("ID",Vertices[[#Headers],[Vertex]:[Top Word Pairs in Tags by Salience]],0),FALSE)</f>
        <v>57</v>
      </c>
    </row>
    <row r="271" spans="1:3" ht="15">
      <c r="A271" s="80" t="s">
        <v>2054</v>
      </c>
      <c r="B271" s="112" t="s">
        <v>381</v>
      </c>
      <c r="C271" s="80">
        <f>VLOOKUP(GroupVertices[[#This Row],[Vertex]],Vertices[],MATCH("ID",Vertices[[#Headers],[Vertex]:[Top Word Pairs in Tags by Salience]],0),FALSE)</f>
        <v>56</v>
      </c>
    </row>
    <row r="272" spans="1:3" ht="15">
      <c r="A272" s="80" t="s">
        <v>2054</v>
      </c>
      <c r="B272" s="112" t="s">
        <v>380</v>
      </c>
      <c r="C272" s="80">
        <f>VLOOKUP(GroupVertices[[#This Row],[Vertex]],Vertices[],MATCH("ID",Vertices[[#Headers],[Vertex]:[Top Word Pairs in Tags by Salience]],0),FALSE)</f>
        <v>55</v>
      </c>
    </row>
    <row r="273" spans="1:3" ht="15">
      <c r="A273" s="80" t="s">
        <v>2054</v>
      </c>
      <c r="B273" s="112" t="s">
        <v>379</v>
      </c>
      <c r="C273" s="80">
        <f>VLOOKUP(GroupVertices[[#This Row],[Vertex]],Vertices[],MATCH("ID",Vertices[[#Headers],[Vertex]:[Top Word Pairs in Tags by Salience]],0),FALSE)</f>
        <v>54</v>
      </c>
    </row>
    <row r="274" spans="1:3" ht="15">
      <c r="A274" s="80" t="s">
        <v>2054</v>
      </c>
      <c r="B274" s="112" t="s">
        <v>378</v>
      </c>
      <c r="C274" s="80">
        <f>VLOOKUP(GroupVertices[[#This Row],[Vertex]],Vertices[],MATCH("ID",Vertices[[#Headers],[Vertex]:[Top Word Pairs in Tags by Salience]],0),FALSE)</f>
        <v>53</v>
      </c>
    </row>
    <row r="275" spans="1:3" ht="15">
      <c r="A275" s="80" t="s">
        <v>2054</v>
      </c>
      <c r="B275" s="112" t="s">
        <v>377</v>
      </c>
      <c r="C275" s="80">
        <f>VLOOKUP(GroupVertices[[#This Row],[Vertex]],Vertices[],MATCH("ID",Vertices[[#Headers],[Vertex]:[Top Word Pairs in Tags by Salience]],0),FALSE)</f>
        <v>52</v>
      </c>
    </row>
    <row r="276" spans="1:3" ht="15">
      <c r="A276" s="80" t="s">
        <v>2054</v>
      </c>
      <c r="B276" s="112" t="s">
        <v>376</v>
      </c>
      <c r="C276" s="80">
        <f>VLOOKUP(GroupVertices[[#This Row],[Vertex]],Vertices[],MATCH("ID",Vertices[[#Headers],[Vertex]:[Top Word Pairs in Tags by Salience]],0),FALSE)</f>
        <v>51</v>
      </c>
    </row>
    <row r="277" spans="1:3" ht="15">
      <c r="A277" s="80" t="s">
        <v>2055</v>
      </c>
      <c r="B277" s="112" t="s">
        <v>548</v>
      </c>
      <c r="C277" s="80">
        <f>VLOOKUP(GroupVertices[[#This Row],[Vertex]],Vertices[],MATCH("ID",Vertices[[#Headers],[Vertex]:[Top Word Pairs in Tags by Salience]],0),FALSE)</f>
        <v>230</v>
      </c>
    </row>
    <row r="278" spans="1:3" ht="15">
      <c r="A278" s="80" t="s">
        <v>2055</v>
      </c>
      <c r="B278" s="112" t="s">
        <v>327</v>
      </c>
      <c r="C278" s="80">
        <f>VLOOKUP(GroupVertices[[#This Row],[Vertex]],Vertices[],MATCH("ID",Vertices[[#Headers],[Vertex]:[Top Word Pairs in Tags by Salience]],0),FALSE)</f>
        <v>192</v>
      </c>
    </row>
    <row r="279" spans="1:3" ht="15">
      <c r="A279" s="80" t="s">
        <v>2055</v>
      </c>
      <c r="B279" s="112" t="s">
        <v>547</v>
      </c>
      <c r="C279" s="80">
        <f>VLOOKUP(GroupVertices[[#This Row],[Vertex]],Vertices[],MATCH("ID",Vertices[[#Headers],[Vertex]:[Top Word Pairs in Tags by Salience]],0),FALSE)</f>
        <v>229</v>
      </c>
    </row>
    <row r="280" spans="1:3" ht="15">
      <c r="A280" s="80" t="s">
        <v>2055</v>
      </c>
      <c r="B280" s="112" t="s">
        <v>546</v>
      </c>
      <c r="C280" s="80">
        <f>VLOOKUP(GroupVertices[[#This Row],[Vertex]],Vertices[],MATCH("ID",Vertices[[#Headers],[Vertex]:[Top Word Pairs in Tags by Salience]],0),FALSE)</f>
        <v>228</v>
      </c>
    </row>
    <row r="281" spans="1:3" ht="15">
      <c r="A281" s="80" t="s">
        <v>2055</v>
      </c>
      <c r="B281" s="112" t="s">
        <v>545</v>
      </c>
      <c r="C281" s="80">
        <f>VLOOKUP(GroupVertices[[#This Row],[Vertex]],Vertices[],MATCH("ID",Vertices[[#Headers],[Vertex]:[Top Word Pairs in Tags by Salience]],0),FALSE)</f>
        <v>227</v>
      </c>
    </row>
    <row r="282" spans="1:3" ht="15">
      <c r="A282" s="80" t="s">
        <v>2055</v>
      </c>
      <c r="B282" s="112" t="s">
        <v>544</v>
      </c>
      <c r="C282" s="80">
        <f>VLOOKUP(GroupVertices[[#This Row],[Vertex]],Vertices[],MATCH("ID",Vertices[[#Headers],[Vertex]:[Top Word Pairs in Tags by Salience]],0),FALSE)</f>
        <v>226</v>
      </c>
    </row>
    <row r="283" spans="1:3" ht="15">
      <c r="A283" s="80" t="s">
        <v>2055</v>
      </c>
      <c r="B283" s="112" t="s">
        <v>543</v>
      </c>
      <c r="C283" s="80">
        <f>VLOOKUP(GroupVertices[[#This Row],[Vertex]],Vertices[],MATCH("ID",Vertices[[#Headers],[Vertex]:[Top Word Pairs in Tags by Salience]],0),FALSE)</f>
        <v>225</v>
      </c>
    </row>
    <row r="284" spans="1:3" ht="15">
      <c r="A284" s="80" t="s">
        <v>2055</v>
      </c>
      <c r="B284" s="112" t="s">
        <v>542</v>
      </c>
      <c r="C284" s="80">
        <f>VLOOKUP(GroupVertices[[#This Row],[Vertex]],Vertices[],MATCH("ID",Vertices[[#Headers],[Vertex]:[Top Word Pairs in Tags by Salience]],0),FALSE)</f>
        <v>224</v>
      </c>
    </row>
    <row r="285" spans="1:3" ht="15">
      <c r="A285" s="80" t="s">
        <v>2055</v>
      </c>
      <c r="B285" s="112" t="s">
        <v>541</v>
      </c>
      <c r="C285" s="80">
        <f>VLOOKUP(GroupVertices[[#This Row],[Vertex]],Vertices[],MATCH("ID",Vertices[[#Headers],[Vertex]:[Top Word Pairs in Tags by Salience]],0),FALSE)</f>
        <v>223</v>
      </c>
    </row>
    <row r="286" spans="1:3" ht="15">
      <c r="A286" s="80" t="s">
        <v>2055</v>
      </c>
      <c r="B286" s="112" t="s">
        <v>540</v>
      </c>
      <c r="C286" s="80">
        <f>VLOOKUP(GroupVertices[[#This Row],[Vertex]],Vertices[],MATCH("ID",Vertices[[#Headers],[Vertex]:[Top Word Pairs in Tags by Salience]],0),FALSE)</f>
        <v>222</v>
      </c>
    </row>
    <row r="287" spans="1:3" ht="15">
      <c r="A287" s="80" t="s">
        <v>2055</v>
      </c>
      <c r="B287" s="112" t="s">
        <v>539</v>
      </c>
      <c r="C287" s="80">
        <f>VLOOKUP(GroupVertices[[#This Row],[Vertex]],Vertices[],MATCH("ID",Vertices[[#Headers],[Vertex]:[Top Word Pairs in Tags by Salience]],0),FALSE)</f>
        <v>221</v>
      </c>
    </row>
    <row r="288" spans="1:3" ht="15">
      <c r="A288" s="80" t="s">
        <v>2055</v>
      </c>
      <c r="B288" s="112" t="s">
        <v>531</v>
      </c>
      <c r="C288" s="80">
        <f>VLOOKUP(GroupVertices[[#This Row],[Vertex]],Vertices[],MATCH("ID",Vertices[[#Headers],[Vertex]:[Top Word Pairs in Tags by Salience]],0),FALSE)</f>
        <v>213</v>
      </c>
    </row>
    <row r="289" spans="1:3" ht="15">
      <c r="A289" s="80" t="s">
        <v>2055</v>
      </c>
      <c r="B289" s="112" t="s">
        <v>527</v>
      </c>
      <c r="C289" s="80">
        <f>VLOOKUP(GroupVertices[[#This Row],[Vertex]],Vertices[],MATCH("ID",Vertices[[#Headers],[Vertex]:[Top Word Pairs in Tags by Salience]],0),FALSE)</f>
        <v>209</v>
      </c>
    </row>
    <row r="290" spans="1:3" ht="15">
      <c r="A290" s="80" t="s">
        <v>2055</v>
      </c>
      <c r="B290" s="112" t="s">
        <v>524</v>
      </c>
      <c r="C290" s="80">
        <f>VLOOKUP(GroupVertices[[#This Row],[Vertex]],Vertices[],MATCH("ID",Vertices[[#Headers],[Vertex]:[Top Word Pairs in Tags by Salience]],0),FALSE)</f>
        <v>206</v>
      </c>
    </row>
    <row r="291" spans="1:3" ht="15">
      <c r="A291" s="80" t="s">
        <v>2055</v>
      </c>
      <c r="B291" s="112" t="s">
        <v>523</v>
      </c>
      <c r="C291" s="80">
        <f>VLOOKUP(GroupVertices[[#This Row],[Vertex]],Vertices[],MATCH("ID",Vertices[[#Headers],[Vertex]:[Top Word Pairs in Tags by Salience]],0),FALSE)</f>
        <v>205</v>
      </c>
    </row>
    <row r="292" spans="1:3" ht="15">
      <c r="A292" s="80" t="s">
        <v>2055</v>
      </c>
      <c r="B292" s="112" t="s">
        <v>522</v>
      </c>
      <c r="C292" s="80">
        <f>VLOOKUP(GroupVertices[[#This Row],[Vertex]],Vertices[],MATCH("ID",Vertices[[#Headers],[Vertex]:[Top Word Pairs in Tags by Salience]],0),FALSE)</f>
        <v>204</v>
      </c>
    </row>
    <row r="293" spans="1:3" ht="15">
      <c r="A293" s="80" t="s">
        <v>2055</v>
      </c>
      <c r="B293" s="112" t="s">
        <v>521</v>
      </c>
      <c r="C293" s="80">
        <f>VLOOKUP(GroupVertices[[#This Row],[Vertex]],Vertices[],MATCH("ID",Vertices[[#Headers],[Vertex]:[Top Word Pairs in Tags by Salience]],0),FALSE)</f>
        <v>203</v>
      </c>
    </row>
    <row r="294" spans="1:3" ht="15">
      <c r="A294" s="80" t="s">
        <v>2055</v>
      </c>
      <c r="B294" s="112" t="s">
        <v>520</v>
      </c>
      <c r="C294" s="80">
        <f>VLOOKUP(GroupVertices[[#This Row],[Vertex]],Vertices[],MATCH("ID",Vertices[[#Headers],[Vertex]:[Top Word Pairs in Tags by Salience]],0),FALSE)</f>
        <v>202</v>
      </c>
    </row>
    <row r="295" spans="1:3" ht="15">
      <c r="A295" s="80" t="s">
        <v>2055</v>
      </c>
      <c r="B295" s="112" t="s">
        <v>519</v>
      </c>
      <c r="C295" s="80">
        <f>VLOOKUP(GroupVertices[[#This Row],[Vertex]],Vertices[],MATCH("ID",Vertices[[#Headers],[Vertex]:[Top Word Pairs in Tags by Salience]],0),FALSE)</f>
        <v>201</v>
      </c>
    </row>
    <row r="296" spans="1:3" ht="15">
      <c r="A296" s="80" t="s">
        <v>2055</v>
      </c>
      <c r="B296" s="112" t="s">
        <v>518</v>
      </c>
      <c r="C296" s="80">
        <f>VLOOKUP(GroupVertices[[#This Row],[Vertex]],Vertices[],MATCH("ID",Vertices[[#Headers],[Vertex]:[Top Word Pairs in Tags by Salience]],0),FALSE)</f>
        <v>200</v>
      </c>
    </row>
    <row r="297" spans="1:3" ht="15">
      <c r="A297" s="80" t="s">
        <v>2055</v>
      </c>
      <c r="B297" s="112" t="s">
        <v>517</v>
      </c>
      <c r="C297" s="80">
        <f>VLOOKUP(GroupVertices[[#This Row],[Vertex]],Vertices[],MATCH("ID",Vertices[[#Headers],[Vertex]:[Top Word Pairs in Tags by Salience]],0),FALSE)</f>
        <v>199</v>
      </c>
    </row>
    <row r="298" spans="1:3" ht="15">
      <c r="A298" s="80" t="s">
        <v>2055</v>
      </c>
      <c r="B298" s="112" t="s">
        <v>516</v>
      </c>
      <c r="C298" s="80">
        <f>VLOOKUP(GroupVertices[[#This Row],[Vertex]],Vertices[],MATCH("ID",Vertices[[#Headers],[Vertex]:[Top Word Pairs in Tags by Salience]],0),FALSE)</f>
        <v>198</v>
      </c>
    </row>
    <row r="299" spans="1:3" ht="15">
      <c r="A299" s="80" t="s">
        <v>2055</v>
      </c>
      <c r="B299" s="112" t="s">
        <v>515</v>
      </c>
      <c r="C299" s="80">
        <f>VLOOKUP(GroupVertices[[#This Row],[Vertex]],Vertices[],MATCH("ID",Vertices[[#Headers],[Vertex]:[Top Word Pairs in Tags by Salience]],0),FALSE)</f>
        <v>197</v>
      </c>
    </row>
    <row r="300" spans="1:3" ht="15">
      <c r="A300" s="80" t="s">
        <v>2055</v>
      </c>
      <c r="B300" s="112" t="s">
        <v>514</v>
      </c>
      <c r="C300" s="80">
        <f>VLOOKUP(GroupVertices[[#This Row],[Vertex]],Vertices[],MATCH("ID",Vertices[[#Headers],[Vertex]:[Top Word Pairs in Tags by Salience]],0),FALSE)</f>
        <v>196</v>
      </c>
    </row>
    <row r="301" spans="1:3" ht="15">
      <c r="A301" s="80" t="s">
        <v>2055</v>
      </c>
      <c r="B301" s="112" t="s">
        <v>513</v>
      </c>
      <c r="C301" s="80">
        <f>VLOOKUP(GroupVertices[[#This Row],[Vertex]],Vertices[],MATCH("ID",Vertices[[#Headers],[Vertex]:[Top Word Pairs in Tags by Salience]],0),FALSE)</f>
        <v>195</v>
      </c>
    </row>
    <row r="302" spans="1:3" ht="15">
      <c r="A302" s="80" t="s">
        <v>2055</v>
      </c>
      <c r="B302" s="112" t="s">
        <v>512</v>
      </c>
      <c r="C302" s="80">
        <f>VLOOKUP(GroupVertices[[#This Row],[Vertex]],Vertices[],MATCH("ID",Vertices[[#Headers],[Vertex]:[Top Word Pairs in Tags by Salience]],0),FALSE)</f>
        <v>194</v>
      </c>
    </row>
    <row r="303" spans="1:3" ht="15">
      <c r="A303" s="80" t="s">
        <v>2055</v>
      </c>
      <c r="B303" s="112" t="s">
        <v>511</v>
      </c>
      <c r="C303" s="80">
        <f>VLOOKUP(GroupVertices[[#This Row],[Vertex]],Vertices[],MATCH("ID",Vertices[[#Headers],[Vertex]:[Top Word Pairs in Tags by Salience]],0),FALSE)</f>
        <v>193</v>
      </c>
    </row>
    <row r="304" spans="1:3" ht="15">
      <c r="A304" s="80" t="s">
        <v>2055</v>
      </c>
      <c r="B304" s="112" t="s">
        <v>420</v>
      </c>
      <c r="C304" s="80">
        <f>VLOOKUP(GroupVertices[[#This Row],[Vertex]],Vertices[],MATCH("ID",Vertices[[#Headers],[Vertex]:[Top Word Pairs in Tags by Salience]],0),FALSE)</f>
        <v>97</v>
      </c>
    </row>
    <row r="305" spans="1:3" ht="15">
      <c r="A305" s="80" t="s">
        <v>2055</v>
      </c>
      <c r="B305" s="112" t="s">
        <v>409</v>
      </c>
      <c r="C305" s="80">
        <f>VLOOKUP(GroupVertices[[#This Row],[Vertex]],Vertices[],MATCH("ID",Vertices[[#Headers],[Vertex]:[Top Word Pairs in Tags by Salience]],0),FALSE)</f>
        <v>84</v>
      </c>
    </row>
    <row r="306" spans="1:3" ht="15">
      <c r="A306" s="80" t="s">
        <v>2056</v>
      </c>
      <c r="B306" s="112" t="s">
        <v>326</v>
      </c>
      <c r="C306" s="80">
        <f>VLOOKUP(GroupVertices[[#This Row],[Vertex]],Vertices[],MATCH("ID",Vertices[[#Headers],[Vertex]:[Top Word Pairs in Tags by Salience]],0),FALSE)</f>
        <v>173</v>
      </c>
    </row>
    <row r="307" spans="1:3" ht="15">
      <c r="A307" s="80" t="s">
        <v>2056</v>
      </c>
      <c r="B307" s="112" t="s">
        <v>533</v>
      </c>
      <c r="C307" s="80">
        <f>VLOOKUP(GroupVertices[[#This Row],[Vertex]],Vertices[],MATCH("ID",Vertices[[#Headers],[Vertex]:[Top Word Pairs in Tags by Salience]],0),FALSE)</f>
        <v>215</v>
      </c>
    </row>
    <row r="308" spans="1:3" ht="15">
      <c r="A308" s="80" t="s">
        <v>2056</v>
      </c>
      <c r="B308" s="112" t="s">
        <v>532</v>
      </c>
      <c r="C308" s="80">
        <f>VLOOKUP(GroupVertices[[#This Row],[Vertex]],Vertices[],MATCH("ID",Vertices[[#Headers],[Vertex]:[Top Word Pairs in Tags by Salience]],0),FALSE)</f>
        <v>214</v>
      </c>
    </row>
    <row r="309" spans="1:3" ht="15">
      <c r="A309" s="80" t="s">
        <v>2056</v>
      </c>
      <c r="B309" s="112" t="s">
        <v>530</v>
      </c>
      <c r="C309" s="80">
        <f>VLOOKUP(GroupVertices[[#This Row],[Vertex]],Vertices[],MATCH("ID",Vertices[[#Headers],[Vertex]:[Top Word Pairs in Tags by Salience]],0),FALSE)</f>
        <v>212</v>
      </c>
    </row>
    <row r="310" spans="1:3" ht="15">
      <c r="A310" s="80" t="s">
        <v>2056</v>
      </c>
      <c r="B310" s="112" t="s">
        <v>528</v>
      </c>
      <c r="C310" s="80">
        <f>VLOOKUP(GroupVertices[[#This Row],[Vertex]],Vertices[],MATCH("ID",Vertices[[#Headers],[Vertex]:[Top Word Pairs in Tags by Salience]],0),FALSE)</f>
        <v>210</v>
      </c>
    </row>
    <row r="311" spans="1:3" ht="15">
      <c r="A311" s="80" t="s">
        <v>2056</v>
      </c>
      <c r="B311" s="112" t="s">
        <v>525</v>
      </c>
      <c r="C311" s="80">
        <f>VLOOKUP(GroupVertices[[#This Row],[Vertex]],Vertices[],MATCH("ID",Vertices[[#Headers],[Vertex]:[Top Word Pairs in Tags by Salience]],0),FALSE)</f>
        <v>207</v>
      </c>
    </row>
    <row r="312" spans="1:3" ht="15">
      <c r="A312" s="80" t="s">
        <v>2056</v>
      </c>
      <c r="B312" s="112" t="s">
        <v>410</v>
      </c>
      <c r="C312" s="80">
        <f>VLOOKUP(GroupVertices[[#This Row],[Vertex]],Vertices[],MATCH("ID",Vertices[[#Headers],[Vertex]:[Top Word Pairs in Tags by Salience]],0),FALSE)</f>
        <v>85</v>
      </c>
    </row>
    <row r="313" spans="1:3" ht="15">
      <c r="A313" s="80" t="s">
        <v>2056</v>
      </c>
      <c r="B313" s="112" t="s">
        <v>510</v>
      </c>
      <c r="C313" s="80">
        <f>VLOOKUP(GroupVertices[[#This Row],[Vertex]],Vertices[],MATCH("ID",Vertices[[#Headers],[Vertex]:[Top Word Pairs in Tags by Salience]],0),FALSE)</f>
        <v>191</v>
      </c>
    </row>
    <row r="314" spans="1:3" ht="15">
      <c r="A314" s="80" t="s">
        <v>2056</v>
      </c>
      <c r="B314" s="112" t="s">
        <v>509</v>
      </c>
      <c r="C314" s="80">
        <f>VLOOKUP(GroupVertices[[#This Row],[Vertex]],Vertices[],MATCH("ID",Vertices[[#Headers],[Vertex]:[Top Word Pairs in Tags by Salience]],0),FALSE)</f>
        <v>190</v>
      </c>
    </row>
    <row r="315" spans="1:3" ht="15">
      <c r="A315" s="80" t="s">
        <v>2056</v>
      </c>
      <c r="B315" s="112" t="s">
        <v>508</v>
      </c>
      <c r="C315" s="80">
        <f>VLOOKUP(GroupVertices[[#This Row],[Vertex]],Vertices[],MATCH("ID",Vertices[[#Headers],[Vertex]:[Top Word Pairs in Tags by Salience]],0),FALSE)</f>
        <v>189</v>
      </c>
    </row>
    <row r="316" spans="1:3" ht="15">
      <c r="A316" s="80" t="s">
        <v>2056</v>
      </c>
      <c r="B316" s="112" t="s">
        <v>507</v>
      </c>
      <c r="C316" s="80">
        <f>VLOOKUP(GroupVertices[[#This Row],[Vertex]],Vertices[],MATCH("ID",Vertices[[#Headers],[Vertex]:[Top Word Pairs in Tags by Salience]],0),FALSE)</f>
        <v>188</v>
      </c>
    </row>
    <row r="317" spans="1:3" ht="15">
      <c r="A317" s="80" t="s">
        <v>2056</v>
      </c>
      <c r="B317" s="112" t="s">
        <v>506</v>
      </c>
      <c r="C317" s="80">
        <f>VLOOKUP(GroupVertices[[#This Row],[Vertex]],Vertices[],MATCH("ID",Vertices[[#Headers],[Vertex]:[Top Word Pairs in Tags by Salience]],0),FALSE)</f>
        <v>187</v>
      </c>
    </row>
    <row r="318" spans="1:3" ht="15">
      <c r="A318" s="80" t="s">
        <v>2056</v>
      </c>
      <c r="B318" s="112" t="s">
        <v>505</v>
      </c>
      <c r="C318" s="80">
        <f>VLOOKUP(GroupVertices[[#This Row],[Vertex]],Vertices[],MATCH("ID",Vertices[[#Headers],[Vertex]:[Top Word Pairs in Tags by Salience]],0),FALSE)</f>
        <v>186</v>
      </c>
    </row>
    <row r="319" spans="1:3" ht="15">
      <c r="A319" s="80" t="s">
        <v>2056</v>
      </c>
      <c r="B319" s="112" t="s">
        <v>504</v>
      </c>
      <c r="C319" s="80">
        <f>VLOOKUP(GroupVertices[[#This Row],[Vertex]],Vertices[],MATCH("ID",Vertices[[#Headers],[Vertex]:[Top Word Pairs in Tags by Salience]],0),FALSE)</f>
        <v>185</v>
      </c>
    </row>
    <row r="320" spans="1:3" ht="15">
      <c r="A320" s="80" t="s">
        <v>2056</v>
      </c>
      <c r="B320" s="112" t="s">
        <v>503</v>
      </c>
      <c r="C320" s="80">
        <f>VLOOKUP(GroupVertices[[#This Row],[Vertex]],Vertices[],MATCH("ID",Vertices[[#Headers],[Vertex]:[Top Word Pairs in Tags by Salience]],0),FALSE)</f>
        <v>184</v>
      </c>
    </row>
    <row r="321" spans="1:3" ht="15">
      <c r="A321" s="80" t="s">
        <v>2056</v>
      </c>
      <c r="B321" s="112" t="s">
        <v>502</v>
      </c>
      <c r="C321" s="80">
        <f>VLOOKUP(GroupVertices[[#This Row],[Vertex]],Vertices[],MATCH("ID",Vertices[[#Headers],[Vertex]:[Top Word Pairs in Tags by Salience]],0),FALSE)</f>
        <v>183</v>
      </c>
    </row>
    <row r="322" spans="1:3" ht="15">
      <c r="A322" s="80" t="s">
        <v>2056</v>
      </c>
      <c r="B322" s="112" t="s">
        <v>501</v>
      </c>
      <c r="C322" s="80">
        <f>VLOOKUP(GroupVertices[[#This Row],[Vertex]],Vertices[],MATCH("ID",Vertices[[#Headers],[Vertex]:[Top Word Pairs in Tags by Salience]],0),FALSE)</f>
        <v>182</v>
      </c>
    </row>
    <row r="323" spans="1:3" ht="15">
      <c r="A323" s="80" t="s">
        <v>2056</v>
      </c>
      <c r="B323" s="112" t="s">
        <v>500</v>
      </c>
      <c r="C323" s="80">
        <f>VLOOKUP(GroupVertices[[#This Row],[Vertex]],Vertices[],MATCH("ID",Vertices[[#Headers],[Vertex]:[Top Word Pairs in Tags by Salience]],0),FALSE)</f>
        <v>181</v>
      </c>
    </row>
    <row r="324" spans="1:3" ht="15">
      <c r="A324" s="80" t="s">
        <v>2056</v>
      </c>
      <c r="B324" s="112" t="s">
        <v>499</v>
      </c>
      <c r="C324" s="80">
        <f>VLOOKUP(GroupVertices[[#This Row],[Vertex]],Vertices[],MATCH("ID",Vertices[[#Headers],[Vertex]:[Top Word Pairs in Tags by Salience]],0),FALSE)</f>
        <v>180</v>
      </c>
    </row>
    <row r="325" spans="1:3" ht="15">
      <c r="A325" s="80" t="s">
        <v>2056</v>
      </c>
      <c r="B325" s="112" t="s">
        <v>498</v>
      </c>
      <c r="C325" s="80">
        <f>VLOOKUP(GroupVertices[[#This Row],[Vertex]],Vertices[],MATCH("ID",Vertices[[#Headers],[Vertex]:[Top Word Pairs in Tags by Salience]],0),FALSE)</f>
        <v>179</v>
      </c>
    </row>
    <row r="326" spans="1:3" ht="15">
      <c r="A326" s="80" t="s">
        <v>2056</v>
      </c>
      <c r="B326" s="112" t="s">
        <v>497</v>
      </c>
      <c r="C326" s="80">
        <f>VLOOKUP(GroupVertices[[#This Row],[Vertex]],Vertices[],MATCH("ID",Vertices[[#Headers],[Vertex]:[Top Word Pairs in Tags by Salience]],0),FALSE)</f>
        <v>178</v>
      </c>
    </row>
    <row r="327" spans="1:3" ht="15">
      <c r="A327" s="80" t="s">
        <v>2056</v>
      </c>
      <c r="B327" s="112" t="s">
        <v>496</v>
      </c>
      <c r="C327" s="80">
        <f>VLOOKUP(GroupVertices[[#This Row],[Vertex]],Vertices[],MATCH("ID",Vertices[[#Headers],[Vertex]:[Top Word Pairs in Tags by Salience]],0),FALSE)</f>
        <v>177</v>
      </c>
    </row>
    <row r="328" spans="1:3" ht="15">
      <c r="A328" s="80" t="s">
        <v>2056</v>
      </c>
      <c r="B328" s="112" t="s">
        <v>495</v>
      </c>
      <c r="C328" s="80">
        <f>VLOOKUP(GroupVertices[[#This Row],[Vertex]],Vertices[],MATCH("ID",Vertices[[#Headers],[Vertex]:[Top Word Pairs in Tags by Salience]],0),FALSE)</f>
        <v>176</v>
      </c>
    </row>
    <row r="329" spans="1:3" ht="15">
      <c r="A329" s="80" t="s">
        <v>2056</v>
      </c>
      <c r="B329" s="112" t="s">
        <v>494</v>
      </c>
      <c r="C329" s="80">
        <f>VLOOKUP(GroupVertices[[#This Row],[Vertex]],Vertices[],MATCH("ID",Vertices[[#Headers],[Vertex]:[Top Word Pairs in Tags by Salience]],0),FALSE)</f>
        <v>175</v>
      </c>
    </row>
    <row r="330" spans="1:3" ht="15">
      <c r="A330" s="80" t="s">
        <v>2056</v>
      </c>
      <c r="B330" s="112" t="s">
        <v>493</v>
      </c>
      <c r="C330" s="80">
        <f>VLOOKUP(GroupVertices[[#This Row],[Vertex]],Vertices[],MATCH("ID",Vertices[[#Headers],[Vertex]:[Top Word Pairs in Tags by Salience]],0),FALSE)</f>
        <v>174</v>
      </c>
    </row>
    <row r="331" spans="1:3" ht="15">
      <c r="A331" s="80" t="s">
        <v>2056</v>
      </c>
      <c r="B331" s="112" t="s">
        <v>414</v>
      </c>
      <c r="C331" s="80">
        <f>VLOOKUP(GroupVertices[[#This Row],[Vertex]],Vertices[],MATCH("ID",Vertices[[#Headers],[Vertex]:[Top Word Pairs in Tags by Salience]],0),FALSE)</f>
        <v>91</v>
      </c>
    </row>
    <row r="332" spans="1:3" ht="15">
      <c r="A332" s="80" t="s">
        <v>2056</v>
      </c>
      <c r="B332" s="112" t="s">
        <v>411</v>
      </c>
      <c r="C332" s="80">
        <f>VLOOKUP(GroupVertices[[#This Row],[Vertex]],Vertices[],MATCH("ID",Vertices[[#Headers],[Vertex]:[Top Word Pairs in Tags by Salience]],0),FALSE)</f>
        <v>86</v>
      </c>
    </row>
  </sheetData>
  <dataValidations count="3" xWindow="58" yWindow="226">
    <dataValidation allowBlank="1" showInputMessage="1" showErrorMessage="1" promptTitle="Group Name" prompt="Enter the name of the group.  The group name must also be entered on the Groups worksheet." sqref="A2:A332"/>
    <dataValidation allowBlank="1" showInputMessage="1" showErrorMessage="1" promptTitle="Vertex Name" prompt="Enter the name of a vertex to include in the group." sqref="B2:B332"/>
    <dataValidation allowBlank="1" showInputMessage="1" promptTitle="Vertex ID" prompt="This is the value of the hidden ID cell in the Vertices worksheet.  It gets filled in by the items on the NodeXL, Analysis, Groups menu." sqref="C2:C3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3341</v>
      </c>
      <c r="B2" s="34" t="s">
        <v>247</v>
      </c>
      <c r="D2" s="31">
        <f>MIN(Vertices[Degree])</f>
        <v>0</v>
      </c>
      <c r="E2" s="3">
        <f>COUNTIF(Vertices[Degree],"&gt;= "&amp;D2)-COUNTIF(Vertices[Degree],"&gt;="&amp;D3)</f>
        <v>0</v>
      </c>
      <c r="F2" s="37">
        <f>MIN(Vertices[In-Degree])</f>
        <v>0</v>
      </c>
      <c r="G2" s="38">
        <f>COUNTIF(Vertices[In-Degree],"&gt;= "&amp;F2)-COUNTIF(Vertices[In-Degree],"&gt;="&amp;F3)</f>
        <v>2</v>
      </c>
      <c r="H2" s="37">
        <f>MIN(Vertices[Out-Degree])</f>
        <v>0</v>
      </c>
      <c r="I2" s="38">
        <f>COUNTIF(Vertices[Out-Degree],"&gt;= "&amp;H2)-COUNTIF(Vertices[Out-Degree],"&gt;="&amp;H3)</f>
        <v>322</v>
      </c>
      <c r="J2" s="37">
        <f>MIN(Vertices[Betweenness Centrality])</f>
        <v>0</v>
      </c>
      <c r="K2" s="38">
        <f>COUNTIF(Vertices[Betweenness Centrality],"&gt;= "&amp;J2)-COUNTIF(Vertices[Betweenness Centrality],"&gt;="&amp;J3)</f>
        <v>319</v>
      </c>
      <c r="L2" s="37">
        <f>MIN(Vertices[Closeness Centrality])</f>
        <v>0.000712</v>
      </c>
      <c r="M2" s="38">
        <f>COUNTIF(Vertices[Closeness Centrality],"&gt;= "&amp;L2)-COUNTIF(Vertices[Closeness Centrality],"&gt;="&amp;L3)</f>
        <v>49</v>
      </c>
      <c r="N2" s="37">
        <f>MIN(Vertices[Eigenvector Centrality])</f>
        <v>3E-05</v>
      </c>
      <c r="O2" s="38">
        <f>COUNTIF(Vertices[Eigenvector Centrality],"&gt;= "&amp;N2)-COUNTIF(Vertices[Eigenvector Centrality],"&gt;="&amp;N3)</f>
        <v>50</v>
      </c>
      <c r="P2" s="37">
        <f>MIN(Vertices[PageRank])</f>
        <v>0.396941</v>
      </c>
      <c r="Q2" s="38">
        <f>COUNTIF(Vertices[PageRank],"&gt;= "&amp;P2)-COUNTIF(Vertices[PageRank],"&gt;="&amp;P3)</f>
        <v>297</v>
      </c>
      <c r="R2" s="37">
        <f>MIN(Vertices[Clustering Coefficient])</f>
        <v>0</v>
      </c>
      <c r="S2" s="43">
        <f>COUNTIF(Vertices[Clustering Coefficient],"&gt;= "&amp;R2)-COUNTIF(Vertices[Clustering Coefficient],"&gt;="&amp;R3)</f>
        <v>285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18"/>
      <c r="B3" s="118"/>
      <c r="D3" s="32">
        <f aca="true" t="shared" si="1" ref="D3:D26">D2+($D$50-$D$2)/BinDivisor</f>
        <v>0</v>
      </c>
      <c r="E3" s="3">
        <f>COUNTIF(Vertices[Degree],"&gt;= "&amp;D3)-COUNTIF(Vertices[Degree],"&gt;="&amp;D4)</f>
        <v>0</v>
      </c>
      <c r="F3" s="39">
        <f aca="true" t="shared" si="2" ref="F3:F26">F2+($F$50-$F$2)/BinDivisor</f>
        <v>0.16666666666666666</v>
      </c>
      <c r="G3" s="40">
        <f>COUNTIF(Vertices[In-Degree],"&gt;= "&amp;F3)-COUNTIF(Vertices[In-Degree],"&gt;="&amp;F4)</f>
        <v>0</v>
      </c>
      <c r="H3" s="39">
        <f aca="true" t="shared" si="3" ref="H3:H26">H2+($H$50-$H$2)/BinDivisor</f>
        <v>1.0416666666666667</v>
      </c>
      <c r="I3" s="40">
        <f>COUNTIF(Vertices[Out-Degree],"&gt;= "&amp;H3)-COUNTIF(Vertices[Out-Degree],"&gt;="&amp;H4)</f>
        <v>0</v>
      </c>
      <c r="J3" s="39">
        <f aca="true" t="shared" si="4" ref="J3:J26">J2+($J$50-$J$2)/BinDivisor</f>
        <v>747.2535087708334</v>
      </c>
      <c r="K3" s="40">
        <f>COUNTIF(Vertices[Betweenness Centrality],"&gt;= "&amp;J3)-COUNTIF(Vertices[Betweenness Centrality],"&gt;="&amp;J4)</f>
        <v>1</v>
      </c>
      <c r="L3" s="39">
        <f aca="true" t="shared" si="5" ref="L3:L26">L2+($L$50-$L$2)/BinDivisor</f>
        <v>0.0007289166666666667</v>
      </c>
      <c r="M3" s="40">
        <f>COUNTIF(Vertices[Closeness Centrality],"&gt;= "&amp;L3)-COUNTIF(Vertices[Closeness Centrality],"&gt;="&amp;L4)</f>
        <v>0</v>
      </c>
      <c r="N3" s="39">
        <f aca="true" t="shared" si="6" ref="N3:N26">N2+($N$50-$N$2)/BinDivisor</f>
        <v>0.0007479791666666666</v>
      </c>
      <c r="O3" s="40">
        <f>COUNTIF(Vertices[Eigenvector Centrality],"&gt;= "&amp;N3)-COUNTIF(Vertices[Eigenvector Centrality],"&gt;="&amp;N4)</f>
        <v>79</v>
      </c>
      <c r="P3" s="39">
        <f aca="true" t="shared" si="7" ref="P3:P26">P2+($P$50-$P$2)/BinDivisor</f>
        <v>0.8670479166666667</v>
      </c>
      <c r="Q3" s="40">
        <f>COUNTIF(Vertices[PageRank],"&gt;= "&amp;P3)-COUNTIF(Vertices[PageRank],"&gt;="&amp;P4)</f>
        <v>16</v>
      </c>
      <c r="R3" s="39">
        <f aca="true" t="shared" si="8" ref="R3:R26">R2+($R$50-$R$2)/BinDivisor</f>
        <v>0.020833333333333332</v>
      </c>
      <c r="S3" s="44">
        <f>COUNTIF(Vertices[Clustering Coefficient],"&gt;= "&amp;R3)-COUNTIF(Vertices[Clustering Coefficient],"&gt;="&amp;R4)</f>
        <v>4</v>
      </c>
      <c r="T3" s="39" t="e">
        <f aca="true" t="shared" si="9" ref="T3:T26">T2+($T$50-$T$2)/BinDivisor</f>
        <v>#REF!</v>
      </c>
      <c r="U3" s="40" t="e">
        <f ca="1" t="shared" si="0"/>
        <v>#REF!</v>
      </c>
      <c r="W3" t="s">
        <v>125</v>
      </c>
      <c r="X3" t="s">
        <v>85</v>
      </c>
    </row>
    <row r="4" spans="1:24" ht="15">
      <c r="A4" s="34" t="s">
        <v>146</v>
      </c>
      <c r="B4" s="34">
        <v>331</v>
      </c>
      <c r="D4" s="32">
        <f t="shared" si="1"/>
        <v>0</v>
      </c>
      <c r="E4" s="3">
        <f>COUNTIF(Vertices[Degree],"&gt;= "&amp;D4)-COUNTIF(Vertices[Degree],"&gt;="&amp;D5)</f>
        <v>0</v>
      </c>
      <c r="F4" s="37">
        <f t="shared" si="2"/>
        <v>0.3333333333333333</v>
      </c>
      <c r="G4" s="38">
        <f>COUNTIF(Vertices[In-Degree],"&gt;= "&amp;F4)-COUNTIF(Vertices[In-Degree],"&gt;="&amp;F5)</f>
        <v>0</v>
      </c>
      <c r="H4" s="37">
        <f t="shared" si="3"/>
        <v>2.0833333333333335</v>
      </c>
      <c r="I4" s="38">
        <f>COUNTIF(Vertices[Out-Degree],"&gt;= "&amp;H4)-COUNTIF(Vertices[Out-Degree],"&gt;="&amp;H5)</f>
        <v>0</v>
      </c>
      <c r="J4" s="37">
        <f t="shared" si="4"/>
        <v>1494.5070175416668</v>
      </c>
      <c r="K4" s="38">
        <f>COUNTIF(Vertices[Betweenness Centrality],"&gt;= "&amp;J4)-COUNTIF(Vertices[Betweenness Centrality],"&gt;="&amp;J5)</f>
        <v>1</v>
      </c>
      <c r="L4" s="37">
        <f t="shared" si="5"/>
        <v>0.0007458333333333334</v>
      </c>
      <c r="M4" s="38">
        <f>COUNTIF(Vertices[Closeness Centrality],"&gt;= "&amp;L4)-COUNTIF(Vertices[Closeness Centrality],"&gt;="&amp;L5)</f>
        <v>0</v>
      </c>
      <c r="N4" s="37">
        <f t="shared" si="6"/>
        <v>0.0014659583333333334</v>
      </c>
      <c r="O4" s="38">
        <f>COUNTIF(Vertices[Eigenvector Centrality],"&gt;= "&amp;N4)-COUNTIF(Vertices[Eigenvector Centrality],"&gt;="&amp;N5)</f>
        <v>76</v>
      </c>
      <c r="P4" s="37">
        <f t="shared" si="7"/>
        <v>1.3371548333333334</v>
      </c>
      <c r="Q4" s="38">
        <f>COUNTIF(Vertices[PageRank],"&gt;= "&amp;P4)-COUNTIF(Vertices[PageRank],"&gt;="&amp;P5)</f>
        <v>7</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0.5</v>
      </c>
      <c r="G5" s="40">
        <f>COUNTIF(Vertices[In-Degree],"&gt;= "&amp;F5)-COUNTIF(Vertices[In-Degree],"&gt;="&amp;F6)</f>
        <v>0</v>
      </c>
      <c r="H5" s="39">
        <f t="shared" si="3"/>
        <v>3.125</v>
      </c>
      <c r="I5" s="40">
        <f>COUNTIF(Vertices[Out-Degree],"&gt;= "&amp;H5)-COUNTIF(Vertices[Out-Degree],"&gt;="&amp;H6)</f>
        <v>0</v>
      </c>
      <c r="J5" s="39">
        <f t="shared" si="4"/>
        <v>2241.7605263125</v>
      </c>
      <c r="K5" s="40">
        <f>COUNTIF(Vertices[Betweenness Centrality],"&gt;= "&amp;J5)-COUNTIF(Vertices[Betweenness Centrality],"&gt;="&amp;J6)</f>
        <v>0</v>
      </c>
      <c r="L5" s="39">
        <f t="shared" si="5"/>
        <v>0.0007627500000000001</v>
      </c>
      <c r="M5" s="40">
        <f>COUNTIF(Vertices[Closeness Centrality],"&gt;= "&amp;L5)-COUNTIF(Vertices[Closeness Centrality],"&gt;="&amp;L6)</f>
        <v>0</v>
      </c>
      <c r="N5" s="39">
        <f t="shared" si="6"/>
        <v>0.0021839375</v>
      </c>
      <c r="O5" s="40">
        <f>COUNTIF(Vertices[Eigenvector Centrality],"&gt;= "&amp;N5)-COUNTIF(Vertices[Eigenvector Centrality],"&gt;="&amp;N6)</f>
        <v>74</v>
      </c>
      <c r="P5" s="39">
        <f t="shared" si="7"/>
        <v>1.8072617500000001</v>
      </c>
      <c r="Q5" s="40">
        <f>COUNTIF(Vertices[PageRank],"&gt;= "&amp;P5)-COUNTIF(Vertices[PageRank],"&gt;="&amp;P6)</f>
        <v>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450</v>
      </c>
      <c r="D6" s="32">
        <f t="shared" si="1"/>
        <v>0</v>
      </c>
      <c r="E6" s="3">
        <f>COUNTIF(Vertices[Degree],"&gt;= "&amp;D6)-COUNTIF(Vertices[Degree],"&gt;="&amp;D7)</f>
        <v>0</v>
      </c>
      <c r="F6" s="37">
        <f t="shared" si="2"/>
        <v>0.6666666666666666</v>
      </c>
      <c r="G6" s="38">
        <f>COUNTIF(Vertices[In-Degree],"&gt;= "&amp;F6)-COUNTIF(Vertices[In-Degree],"&gt;="&amp;F7)</f>
        <v>0</v>
      </c>
      <c r="H6" s="37">
        <f t="shared" si="3"/>
        <v>4.166666666666667</v>
      </c>
      <c r="I6" s="38">
        <f>COUNTIF(Vertices[Out-Degree],"&gt;= "&amp;H6)-COUNTIF(Vertices[Out-Degree],"&gt;="&amp;H7)</f>
        <v>0</v>
      </c>
      <c r="J6" s="37">
        <f t="shared" si="4"/>
        <v>2989.0140350833335</v>
      </c>
      <c r="K6" s="38">
        <f>COUNTIF(Vertices[Betweenness Centrality],"&gt;= "&amp;J6)-COUNTIF(Vertices[Betweenness Centrality],"&gt;="&amp;J7)</f>
        <v>0</v>
      </c>
      <c r="L6" s="37">
        <f t="shared" si="5"/>
        <v>0.0007796666666666668</v>
      </c>
      <c r="M6" s="38">
        <f>COUNTIF(Vertices[Closeness Centrality],"&gt;= "&amp;L6)-COUNTIF(Vertices[Closeness Centrality],"&gt;="&amp;L7)</f>
        <v>0</v>
      </c>
      <c r="N6" s="37">
        <f t="shared" si="6"/>
        <v>0.002901916666666667</v>
      </c>
      <c r="O6" s="38">
        <f>COUNTIF(Vertices[Eigenvector Centrality],"&gt;= "&amp;N6)-COUNTIF(Vertices[Eigenvector Centrality],"&gt;="&amp;N7)</f>
        <v>0</v>
      </c>
      <c r="P6" s="37">
        <f t="shared" si="7"/>
        <v>2.277368666666667</v>
      </c>
      <c r="Q6" s="38">
        <f>COUNTIF(Vertices[PageRank],"&gt;= "&amp;P6)-COUNTIF(Vertices[PageRank],"&gt;="&amp;P7)</f>
        <v>1</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0.8333333333333333</v>
      </c>
      <c r="G7" s="40">
        <f>COUNTIF(Vertices[In-Degree],"&gt;= "&amp;F7)-COUNTIF(Vertices[In-Degree],"&gt;="&amp;F8)</f>
        <v>0</v>
      </c>
      <c r="H7" s="39">
        <f t="shared" si="3"/>
        <v>5.208333333333334</v>
      </c>
      <c r="I7" s="40">
        <f>COUNTIF(Vertices[Out-Degree],"&gt;= "&amp;H7)-COUNTIF(Vertices[Out-Degree],"&gt;="&amp;H8)</f>
        <v>0</v>
      </c>
      <c r="J7" s="39">
        <f t="shared" si="4"/>
        <v>3736.267543854167</v>
      </c>
      <c r="K7" s="40">
        <f>COUNTIF(Vertices[Betweenness Centrality],"&gt;= "&amp;J7)-COUNTIF(Vertices[Betweenness Centrality],"&gt;="&amp;J8)</f>
        <v>0</v>
      </c>
      <c r="L7" s="39">
        <f t="shared" si="5"/>
        <v>0.0007965833333333335</v>
      </c>
      <c r="M7" s="40">
        <f>COUNTIF(Vertices[Closeness Centrality],"&gt;= "&amp;L7)-COUNTIF(Vertices[Closeness Centrality],"&gt;="&amp;L8)</f>
        <v>0</v>
      </c>
      <c r="N7" s="39">
        <f t="shared" si="6"/>
        <v>0.0036198958333333335</v>
      </c>
      <c r="O7" s="40">
        <f>COUNTIF(Vertices[Eigenvector Centrality],"&gt;= "&amp;N7)-COUNTIF(Vertices[Eigenvector Centrality],"&gt;="&amp;N8)</f>
        <v>4</v>
      </c>
      <c r="P7" s="39">
        <f t="shared" si="7"/>
        <v>2.7474755833333333</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450</v>
      </c>
      <c r="D8" s="32">
        <f t="shared" si="1"/>
        <v>0</v>
      </c>
      <c r="E8" s="3">
        <f>COUNTIF(Vertices[Degree],"&gt;= "&amp;D8)-COUNTIF(Vertices[Degree],"&gt;="&amp;D9)</f>
        <v>0</v>
      </c>
      <c r="F8" s="37">
        <f t="shared" si="2"/>
        <v>0.9999999999999999</v>
      </c>
      <c r="G8" s="38">
        <f>COUNTIF(Vertices[In-Degree],"&gt;= "&amp;F8)-COUNTIF(Vertices[In-Degree],"&gt;="&amp;F9)</f>
        <v>280</v>
      </c>
      <c r="H8" s="37">
        <f t="shared" si="3"/>
        <v>6.250000000000001</v>
      </c>
      <c r="I8" s="38">
        <f>COUNTIF(Vertices[Out-Degree],"&gt;= "&amp;H8)-COUNTIF(Vertices[Out-Degree],"&gt;="&amp;H9)</f>
        <v>0</v>
      </c>
      <c r="J8" s="37">
        <f t="shared" si="4"/>
        <v>4483.521052625</v>
      </c>
      <c r="K8" s="38">
        <f>COUNTIF(Vertices[Betweenness Centrality],"&gt;= "&amp;J8)-COUNTIF(Vertices[Betweenness Centrality],"&gt;="&amp;J9)</f>
        <v>0</v>
      </c>
      <c r="L8" s="37">
        <f t="shared" si="5"/>
        <v>0.0008135000000000002</v>
      </c>
      <c r="M8" s="38">
        <f>COUNTIF(Vertices[Closeness Centrality],"&gt;= "&amp;L8)-COUNTIF(Vertices[Closeness Centrality],"&gt;="&amp;L9)</f>
        <v>0</v>
      </c>
      <c r="N8" s="37">
        <f t="shared" si="6"/>
        <v>0.004337875</v>
      </c>
      <c r="O8" s="38">
        <f>COUNTIF(Vertices[Eigenvector Centrality],"&gt;= "&amp;N8)-COUNTIF(Vertices[Eigenvector Centrality],"&gt;="&amp;N9)</f>
        <v>16</v>
      </c>
      <c r="P8" s="37">
        <f t="shared" si="7"/>
        <v>3.2175825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1.1666666666666665</v>
      </c>
      <c r="G9" s="40">
        <f>COUNTIF(Vertices[In-Degree],"&gt;= "&amp;F9)-COUNTIF(Vertices[In-Degree],"&gt;="&amp;F10)</f>
        <v>0</v>
      </c>
      <c r="H9" s="39">
        <f t="shared" si="3"/>
        <v>7.291666666666668</v>
      </c>
      <c r="I9" s="40">
        <f>COUNTIF(Vertices[Out-Degree],"&gt;= "&amp;H9)-COUNTIF(Vertices[Out-Degree],"&gt;="&amp;H10)</f>
        <v>0</v>
      </c>
      <c r="J9" s="39">
        <f t="shared" si="4"/>
        <v>5230.774561395834</v>
      </c>
      <c r="K9" s="40">
        <f>COUNTIF(Vertices[Betweenness Centrality],"&gt;= "&amp;J9)-COUNTIF(Vertices[Betweenness Centrality],"&gt;="&amp;J10)</f>
        <v>0</v>
      </c>
      <c r="L9" s="39">
        <f t="shared" si="5"/>
        <v>0.0008304166666666669</v>
      </c>
      <c r="M9" s="40">
        <f>COUNTIF(Vertices[Closeness Centrality],"&gt;= "&amp;L9)-COUNTIF(Vertices[Closeness Centrality],"&gt;="&amp;L10)</f>
        <v>0</v>
      </c>
      <c r="N9" s="39">
        <f t="shared" si="6"/>
        <v>0.005055854166666667</v>
      </c>
      <c r="O9" s="40">
        <f>COUNTIF(Vertices[Eigenvector Centrality],"&gt;= "&amp;N9)-COUNTIF(Vertices[Eigenvector Centrality],"&gt;="&amp;N10)</f>
        <v>0</v>
      </c>
      <c r="P9" s="39">
        <f t="shared" si="7"/>
        <v>3.6876894166666663</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1.3333333333333333</v>
      </c>
      <c r="G10" s="38">
        <f>COUNTIF(Vertices[In-Degree],"&gt;= "&amp;F10)-COUNTIF(Vertices[In-Degree],"&gt;="&amp;F11)</f>
        <v>0</v>
      </c>
      <c r="H10" s="37">
        <f t="shared" si="3"/>
        <v>8.333333333333334</v>
      </c>
      <c r="I10" s="38">
        <f>COUNTIF(Vertices[Out-Degree],"&gt;= "&amp;H10)-COUNTIF(Vertices[Out-Degree],"&gt;="&amp;H11)</f>
        <v>0</v>
      </c>
      <c r="J10" s="37">
        <f t="shared" si="4"/>
        <v>5978.028070166667</v>
      </c>
      <c r="K10" s="38">
        <f>COUNTIF(Vertices[Betweenness Centrality],"&gt;= "&amp;J10)-COUNTIF(Vertices[Betweenness Centrality],"&gt;="&amp;J11)</f>
        <v>0</v>
      </c>
      <c r="L10" s="37">
        <f t="shared" si="5"/>
        <v>0.0008473333333333336</v>
      </c>
      <c r="M10" s="38">
        <f>COUNTIF(Vertices[Closeness Centrality],"&gt;= "&amp;L10)-COUNTIF(Vertices[Closeness Centrality],"&gt;="&amp;L11)</f>
        <v>0</v>
      </c>
      <c r="N10" s="37">
        <f t="shared" si="6"/>
        <v>0.005773833333333334</v>
      </c>
      <c r="O10" s="38">
        <f>COUNTIF(Vertices[Eigenvector Centrality],"&gt;= "&amp;N10)-COUNTIF(Vertices[Eigenvector Centrality],"&gt;="&amp;N11)</f>
        <v>2</v>
      </c>
      <c r="P10" s="37">
        <f t="shared" si="7"/>
        <v>4.157796333333333</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1.5</v>
      </c>
      <c r="G11" s="40">
        <f>COUNTIF(Vertices[In-Degree],"&gt;= "&amp;F11)-COUNTIF(Vertices[In-Degree],"&gt;="&amp;F12)</f>
        <v>0</v>
      </c>
      <c r="H11" s="39">
        <f t="shared" si="3"/>
        <v>9.375</v>
      </c>
      <c r="I11" s="40">
        <f>COUNTIF(Vertices[Out-Degree],"&gt;= "&amp;H11)-COUNTIF(Vertices[Out-Degree],"&gt;="&amp;H12)</f>
        <v>0</v>
      </c>
      <c r="J11" s="39">
        <f t="shared" si="4"/>
        <v>6725.2815789375</v>
      </c>
      <c r="K11" s="40">
        <f>COUNTIF(Vertices[Betweenness Centrality],"&gt;= "&amp;J11)-COUNTIF(Vertices[Betweenness Centrality],"&gt;="&amp;J12)</f>
        <v>0</v>
      </c>
      <c r="L11" s="39">
        <f t="shared" si="5"/>
        <v>0.0008642500000000003</v>
      </c>
      <c r="M11" s="40">
        <f>COUNTIF(Vertices[Closeness Centrality],"&gt;= "&amp;L11)-COUNTIF(Vertices[Closeness Centrality],"&gt;="&amp;L12)</f>
        <v>0</v>
      </c>
      <c r="N11" s="39">
        <f t="shared" si="6"/>
        <v>0.006491812500000001</v>
      </c>
      <c r="O11" s="40">
        <f>COUNTIF(Vertices[Eigenvector Centrality],"&gt;= "&amp;N11)-COUNTIF(Vertices[Eigenvector Centrality],"&gt;="&amp;N12)</f>
        <v>3</v>
      </c>
      <c r="P11" s="39">
        <f t="shared" si="7"/>
        <v>4.627903249999999</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170</v>
      </c>
      <c r="B12" s="34">
        <v>0.011235955056179775</v>
      </c>
      <c r="D12" s="32">
        <f t="shared" si="1"/>
        <v>0</v>
      </c>
      <c r="E12" s="3">
        <f>COUNTIF(Vertices[Degree],"&gt;= "&amp;D12)-COUNTIF(Vertices[Degree],"&gt;="&amp;D13)</f>
        <v>0</v>
      </c>
      <c r="F12" s="37">
        <f t="shared" si="2"/>
        <v>1.6666666666666667</v>
      </c>
      <c r="G12" s="38">
        <f>COUNTIF(Vertices[In-Degree],"&gt;= "&amp;F12)-COUNTIF(Vertices[In-Degree],"&gt;="&amp;F13)</f>
        <v>0</v>
      </c>
      <c r="H12" s="37">
        <f t="shared" si="3"/>
        <v>10.416666666666666</v>
      </c>
      <c r="I12" s="38">
        <f>COUNTIF(Vertices[Out-Degree],"&gt;= "&amp;H12)-COUNTIF(Vertices[Out-Degree],"&gt;="&amp;H13)</f>
        <v>0</v>
      </c>
      <c r="J12" s="37">
        <f t="shared" si="4"/>
        <v>7472.535087708333</v>
      </c>
      <c r="K12" s="38">
        <f>COUNTIF(Vertices[Betweenness Centrality],"&gt;= "&amp;J12)-COUNTIF(Vertices[Betweenness Centrality],"&gt;="&amp;J13)</f>
        <v>0</v>
      </c>
      <c r="L12" s="37">
        <f t="shared" si="5"/>
        <v>0.000881166666666667</v>
      </c>
      <c r="M12" s="38">
        <f>COUNTIF(Vertices[Closeness Centrality],"&gt;= "&amp;L12)-COUNTIF(Vertices[Closeness Centrality],"&gt;="&amp;L13)</f>
        <v>0</v>
      </c>
      <c r="N12" s="37">
        <f t="shared" si="6"/>
        <v>0.007209791666666668</v>
      </c>
      <c r="O12" s="38">
        <f>COUNTIF(Vertices[Eigenvector Centrality],"&gt;= "&amp;N12)-COUNTIF(Vertices[Eigenvector Centrality],"&gt;="&amp;N13)</f>
        <v>5</v>
      </c>
      <c r="P12" s="37">
        <f t="shared" si="7"/>
        <v>5.098010166666666</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171</v>
      </c>
      <c r="B13" s="34">
        <v>0.022222222222222223</v>
      </c>
      <c r="D13" s="32">
        <f t="shared" si="1"/>
        <v>0</v>
      </c>
      <c r="E13" s="3">
        <f>COUNTIF(Vertices[Degree],"&gt;= "&amp;D13)-COUNTIF(Vertices[Degree],"&gt;="&amp;D14)</f>
        <v>0</v>
      </c>
      <c r="F13" s="39">
        <f t="shared" si="2"/>
        <v>1.8333333333333335</v>
      </c>
      <c r="G13" s="40">
        <f>COUNTIF(Vertices[In-Degree],"&gt;= "&amp;F13)-COUNTIF(Vertices[In-Degree],"&gt;="&amp;F14)</f>
        <v>0</v>
      </c>
      <c r="H13" s="39">
        <f t="shared" si="3"/>
        <v>11.458333333333332</v>
      </c>
      <c r="I13" s="40">
        <f>COUNTIF(Vertices[Out-Degree],"&gt;= "&amp;H13)-COUNTIF(Vertices[Out-Degree],"&gt;="&amp;H14)</f>
        <v>0</v>
      </c>
      <c r="J13" s="39">
        <f t="shared" si="4"/>
        <v>8219.788596479166</v>
      </c>
      <c r="K13" s="40">
        <f>COUNTIF(Vertices[Betweenness Centrality],"&gt;= "&amp;J13)-COUNTIF(Vertices[Betweenness Centrality],"&gt;="&amp;J14)</f>
        <v>0</v>
      </c>
      <c r="L13" s="39">
        <f t="shared" si="5"/>
        <v>0.0008980833333333337</v>
      </c>
      <c r="M13" s="40">
        <f>COUNTIF(Vertices[Closeness Centrality],"&gt;= "&amp;L13)-COUNTIF(Vertices[Closeness Centrality],"&gt;="&amp;L14)</f>
        <v>79</v>
      </c>
      <c r="N13" s="39">
        <f t="shared" si="6"/>
        <v>0.007927770833333335</v>
      </c>
      <c r="O13" s="40">
        <f>COUNTIF(Vertices[Eigenvector Centrality],"&gt;= "&amp;N13)-COUNTIF(Vertices[Eigenvector Centrality],"&gt;="&amp;N14)</f>
        <v>0</v>
      </c>
      <c r="P13" s="39">
        <f t="shared" si="7"/>
        <v>5.568117083333332</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118"/>
      <c r="B14" s="118"/>
      <c r="D14" s="32">
        <f t="shared" si="1"/>
        <v>0</v>
      </c>
      <c r="E14" s="3">
        <f>COUNTIF(Vertices[Degree],"&gt;= "&amp;D14)-COUNTIF(Vertices[Degree],"&gt;="&amp;D15)</f>
        <v>0</v>
      </c>
      <c r="F14" s="37">
        <f t="shared" si="2"/>
        <v>2</v>
      </c>
      <c r="G14" s="38">
        <f>COUNTIF(Vertices[In-Degree],"&gt;= "&amp;F14)-COUNTIF(Vertices[In-Degree],"&gt;="&amp;F15)</f>
        <v>19</v>
      </c>
      <c r="H14" s="37">
        <f t="shared" si="3"/>
        <v>12.499999999999998</v>
      </c>
      <c r="I14" s="38">
        <f>COUNTIF(Vertices[Out-Degree],"&gt;= "&amp;H14)-COUNTIF(Vertices[Out-Degree],"&gt;="&amp;H15)</f>
        <v>0</v>
      </c>
      <c r="J14" s="37">
        <f t="shared" si="4"/>
        <v>8967.042105249999</v>
      </c>
      <c r="K14" s="38">
        <f>COUNTIF(Vertices[Betweenness Centrality],"&gt;= "&amp;J14)-COUNTIF(Vertices[Betweenness Centrality],"&gt;="&amp;J15)</f>
        <v>0</v>
      </c>
      <c r="L14" s="37">
        <f t="shared" si="5"/>
        <v>0.0009150000000000004</v>
      </c>
      <c r="M14" s="38">
        <f>COUNTIF(Vertices[Closeness Centrality],"&gt;= "&amp;L14)-COUNTIF(Vertices[Closeness Centrality],"&gt;="&amp;L15)</f>
        <v>39</v>
      </c>
      <c r="N14" s="37">
        <f t="shared" si="6"/>
        <v>0.008645750000000002</v>
      </c>
      <c r="O14" s="38">
        <f>COUNTIF(Vertices[Eigenvector Centrality],"&gt;= "&amp;N14)-COUNTIF(Vertices[Eigenvector Centrality],"&gt;="&amp;N15)</f>
        <v>2</v>
      </c>
      <c r="P14" s="37">
        <f t="shared" si="7"/>
        <v>6.038223999999999</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2.1666666666666665</v>
      </c>
      <c r="G15" s="40">
        <f>COUNTIF(Vertices[In-Degree],"&gt;= "&amp;F15)-COUNTIF(Vertices[In-Degree],"&gt;="&amp;F16)</f>
        <v>0</v>
      </c>
      <c r="H15" s="39">
        <f t="shared" si="3"/>
        <v>13.541666666666664</v>
      </c>
      <c r="I15" s="40">
        <f>COUNTIF(Vertices[Out-Degree],"&gt;= "&amp;H15)-COUNTIF(Vertices[Out-Degree],"&gt;="&amp;H16)</f>
        <v>0</v>
      </c>
      <c r="J15" s="39">
        <f t="shared" si="4"/>
        <v>9714.295614020832</v>
      </c>
      <c r="K15" s="40">
        <f>COUNTIF(Vertices[Betweenness Centrality],"&gt;= "&amp;J15)-COUNTIF(Vertices[Betweenness Centrality],"&gt;="&amp;J16)</f>
        <v>0</v>
      </c>
      <c r="L15" s="39">
        <f t="shared" si="5"/>
        <v>0.0009319166666666672</v>
      </c>
      <c r="M15" s="40">
        <f>COUNTIF(Vertices[Closeness Centrality],"&gt;= "&amp;L15)-COUNTIF(Vertices[Closeness Centrality],"&gt;="&amp;L16)</f>
        <v>56</v>
      </c>
      <c r="N15" s="39">
        <f t="shared" si="6"/>
        <v>0.00936372916666667</v>
      </c>
      <c r="O15" s="40">
        <f>COUNTIF(Vertices[Eigenvector Centrality],"&gt;= "&amp;N15)-COUNTIF(Vertices[Eigenvector Centrality],"&gt;="&amp;N16)</f>
        <v>3</v>
      </c>
      <c r="P15" s="39">
        <f t="shared" si="7"/>
        <v>6.508330916666665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2.333333333333333</v>
      </c>
      <c r="G16" s="38">
        <f>COUNTIF(Vertices[In-Degree],"&gt;= "&amp;F16)-COUNTIF(Vertices[In-Degree],"&gt;="&amp;F17)</f>
        <v>0</v>
      </c>
      <c r="H16" s="37">
        <f t="shared" si="3"/>
        <v>14.58333333333333</v>
      </c>
      <c r="I16" s="38">
        <f>COUNTIF(Vertices[Out-Degree],"&gt;= "&amp;H16)-COUNTIF(Vertices[Out-Degree],"&gt;="&amp;H17)</f>
        <v>0</v>
      </c>
      <c r="J16" s="37">
        <f t="shared" si="4"/>
        <v>10461.549122791665</v>
      </c>
      <c r="K16" s="38">
        <f>COUNTIF(Vertices[Betweenness Centrality],"&gt;= "&amp;J16)-COUNTIF(Vertices[Betweenness Centrality],"&gt;="&amp;J17)</f>
        <v>0</v>
      </c>
      <c r="L16" s="37">
        <f t="shared" si="5"/>
        <v>0.0009488333333333339</v>
      </c>
      <c r="M16" s="38">
        <f>COUNTIF(Vertices[Closeness Centrality],"&gt;= "&amp;L16)-COUNTIF(Vertices[Closeness Centrality],"&gt;="&amp;L17)</f>
        <v>4</v>
      </c>
      <c r="N16" s="37">
        <f t="shared" si="6"/>
        <v>0.010081708333333337</v>
      </c>
      <c r="O16" s="38">
        <f>COUNTIF(Vertices[Eigenvector Centrality],"&gt;= "&amp;N16)-COUNTIF(Vertices[Eigenvector Centrality],"&gt;="&amp;N17)</f>
        <v>0</v>
      </c>
      <c r="P16" s="37">
        <f t="shared" si="7"/>
        <v>6.978437833333332</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154</v>
      </c>
      <c r="B17" s="34">
        <v>331</v>
      </c>
      <c r="D17" s="32">
        <f t="shared" si="1"/>
        <v>0</v>
      </c>
      <c r="E17" s="3">
        <f>COUNTIF(Vertices[Degree],"&gt;= "&amp;D17)-COUNTIF(Vertices[Degree],"&gt;="&amp;D18)</f>
        <v>0</v>
      </c>
      <c r="F17" s="39">
        <f t="shared" si="2"/>
        <v>2.4999999999999996</v>
      </c>
      <c r="G17" s="40">
        <f>COUNTIF(Vertices[In-Degree],"&gt;= "&amp;F17)-COUNTIF(Vertices[In-Degree],"&gt;="&amp;F18)</f>
        <v>0</v>
      </c>
      <c r="H17" s="39">
        <f t="shared" si="3"/>
        <v>15.624999999999996</v>
      </c>
      <c r="I17" s="40">
        <f>COUNTIF(Vertices[Out-Degree],"&gt;= "&amp;H17)-COUNTIF(Vertices[Out-Degree],"&gt;="&amp;H18)</f>
        <v>0</v>
      </c>
      <c r="J17" s="39">
        <f t="shared" si="4"/>
        <v>11208.802631562497</v>
      </c>
      <c r="K17" s="40">
        <f>COUNTIF(Vertices[Betweenness Centrality],"&gt;= "&amp;J17)-COUNTIF(Vertices[Betweenness Centrality],"&gt;="&amp;J18)</f>
        <v>0</v>
      </c>
      <c r="L17" s="39">
        <f t="shared" si="5"/>
        <v>0.0009657500000000006</v>
      </c>
      <c r="M17" s="40">
        <f>COUNTIF(Vertices[Closeness Centrality],"&gt;= "&amp;L17)-COUNTIF(Vertices[Closeness Centrality],"&gt;="&amp;L18)</f>
        <v>39</v>
      </c>
      <c r="N17" s="39">
        <f t="shared" si="6"/>
        <v>0.010799687500000004</v>
      </c>
      <c r="O17" s="40">
        <f>COUNTIF(Vertices[Eigenvector Centrality],"&gt;= "&amp;N17)-COUNTIF(Vertices[Eigenvector Centrality],"&gt;="&amp;N18)</f>
        <v>3</v>
      </c>
      <c r="P17" s="39">
        <f t="shared" si="7"/>
        <v>7.448544749999998</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155</v>
      </c>
      <c r="B18" s="34">
        <v>450</v>
      </c>
      <c r="D18" s="32">
        <f t="shared" si="1"/>
        <v>0</v>
      </c>
      <c r="E18" s="3">
        <f>COUNTIF(Vertices[Degree],"&gt;= "&amp;D18)-COUNTIF(Vertices[Degree],"&gt;="&amp;D19)</f>
        <v>0</v>
      </c>
      <c r="F18" s="37">
        <f t="shared" si="2"/>
        <v>2.666666666666666</v>
      </c>
      <c r="G18" s="38">
        <f>COUNTIF(Vertices[In-Degree],"&gt;= "&amp;F18)-COUNTIF(Vertices[In-Degree],"&gt;="&amp;F19)</f>
        <v>0</v>
      </c>
      <c r="H18" s="37">
        <f t="shared" si="3"/>
        <v>16.666666666666664</v>
      </c>
      <c r="I18" s="38">
        <f>COUNTIF(Vertices[Out-Degree],"&gt;= "&amp;H18)-COUNTIF(Vertices[Out-Degree],"&gt;="&amp;H19)</f>
        <v>0</v>
      </c>
      <c r="J18" s="37">
        <f t="shared" si="4"/>
        <v>11956.05614033333</v>
      </c>
      <c r="K18" s="38">
        <f>COUNTIF(Vertices[Betweenness Centrality],"&gt;= "&amp;J18)-COUNTIF(Vertices[Betweenness Centrality],"&gt;="&amp;J19)</f>
        <v>0</v>
      </c>
      <c r="L18" s="37">
        <f t="shared" si="5"/>
        <v>0.0009826666666666673</v>
      </c>
      <c r="M18" s="38">
        <f>COUNTIF(Vertices[Closeness Centrality],"&gt;= "&amp;L18)-COUNTIF(Vertices[Closeness Centrality],"&gt;="&amp;L19)</f>
        <v>1</v>
      </c>
      <c r="N18" s="37">
        <f t="shared" si="6"/>
        <v>0.01151766666666667</v>
      </c>
      <c r="O18" s="38">
        <f>COUNTIF(Vertices[Eigenvector Centrality],"&gt;= "&amp;N18)-COUNTIF(Vertices[Eigenvector Centrality],"&gt;="&amp;N19)</f>
        <v>2</v>
      </c>
      <c r="P18" s="37">
        <f t="shared" si="7"/>
        <v>7.918651666666665</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118"/>
      <c r="B19" s="118"/>
      <c r="D19" s="32">
        <f t="shared" si="1"/>
        <v>0</v>
      </c>
      <c r="E19" s="3">
        <f>COUNTIF(Vertices[Degree],"&gt;= "&amp;D19)-COUNTIF(Vertices[Degree],"&gt;="&amp;D20)</f>
        <v>0</v>
      </c>
      <c r="F19" s="39">
        <f t="shared" si="2"/>
        <v>2.8333333333333326</v>
      </c>
      <c r="G19" s="40">
        <f>COUNTIF(Vertices[In-Degree],"&gt;= "&amp;F19)-COUNTIF(Vertices[In-Degree],"&gt;="&amp;F20)</f>
        <v>0</v>
      </c>
      <c r="H19" s="39">
        <f t="shared" si="3"/>
        <v>17.708333333333332</v>
      </c>
      <c r="I19" s="40">
        <f>COUNTIF(Vertices[Out-Degree],"&gt;= "&amp;H19)-COUNTIF(Vertices[Out-Degree],"&gt;="&amp;H20)</f>
        <v>0</v>
      </c>
      <c r="J19" s="39">
        <f t="shared" si="4"/>
        <v>12703.309649104163</v>
      </c>
      <c r="K19" s="40">
        <f>COUNTIF(Vertices[Betweenness Centrality],"&gt;= "&amp;J19)-COUNTIF(Vertices[Betweenness Centrality],"&gt;="&amp;J20)</f>
        <v>0</v>
      </c>
      <c r="L19" s="39">
        <f t="shared" si="5"/>
        <v>0.0009995833333333339</v>
      </c>
      <c r="M19" s="40">
        <f>COUNTIF(Vertices[Closeness Centrality],"&gt;= "&amp;L19)-COUNTIF(Vertices[Closeness Centrality],"&gt;="&amp;L20)</f>
        <v>18</v>
      </c>
      <c r="N19" s="39">
        <f t="shared" si="6"/>
        <v>0.012235645833333338</v>
      </c>
      <c r="O19" s="40">
        <f>COUNTIF(Vertices[Eigenvector Centrality],"&gt;= "&amp;N19)-COUNTIF(Vertices[Eigenvector Centrality],"&gt;="&amp;N20)</f>
        <v>0</v>
      </c>
      <c r="P19" s="39">
        <f t="shared" si="7"/>
        <v>8.388758583333331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2.999999999999999</v>
      </c>
      <c r="G20" s="38">
        <f>COUNTIF(Vertices[In-Degree],"&gt;= "&amp;F20)-COUNTIF(Vertices[In-Degree],"&gt;="&amp;F21)</f>
        <v>11</v>
      </c>
      <c r="H20" s="37">
        <f t="shared" si="3"/>
        <v>18.75</v>
      </c>
      <c r="I20" s="38">
        <f>COUNTIF(Vertices[Out-Degree],"&gt;= "&amp;H20)-COUNTIF(Vertices[Out-Degree],"&gt;="&amp;H21)</f>
        <v>0</v>
      </c>
      <c r="J20" s="37">
        <f t="shared" si="4"/>
        <v>13450.563157874996</v>
      </c>
      <c r="K20" s="38">
        <f>COUNTIF(Vertices[Betweenness Centrality],"&gt;= "&amp;J20)-COUNTIF(Vertices[Betweenness Centrality],"&gt;="&amp;J21)</f>
        <v>0</v>
      </c>
      <c r="L20" s="37">
        <f t="shared" si="5"/>
        <v>0.0010165000000000005</v>
      </c>
      <c r="M20" s="38">
        <f>COUNTIF(Vertices[Closeness Centrality],"&gt;= "&amp;L20)-COUNTIF(Vertices[Closeness Centrality],"&gt;="&amp;L21)</f>
        <v>1</v>
      </c>
      <c r="N20" s="37">
        <f t="shared" si="6"/>
        <v>0.012953625000000005</v>
      </c>
      <c r="O20" s="38">
        <f>COUNTIF(Vertices[Eigenvector Centrality],"&gt;= "&amp;N20)-COUNTIF(Vertices[Eigenvector Centrality],"&gt;="&amp;N21)</f>
        <v>2</v>
      </c>
      <c r="P20" s="37">
        <f t="shared" si="7"/>
        <v>8.858865499999999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157</v>
      </c>
      <c r="B21" s="34">
        <v>3.300207</v>
      </c>
      <c r="D21" s="32">
        <f t="shared" si="1"/>
        <v>0</v>
      </c>
      <c r="E21" s="3">
        <f>COUNTIF(Vertices[Degree],"&gt;= "&amp;D21)-COUNTIF(Vertices[Degree],"&gt;="&amp;D22)</f>
        <v>0</v>
      </c>
      <c r="F21" s="39">
        <f t="shared" si="2"/>
        <v>3.1666666666666656</v>
      </c>
      <c r="G21" s="40">
        <f>COUNTIF(Vertices[In-Degree],"&gt;= "&amp;F21)-COUNTIF(Vertices[In-Degree],"&gt;="&amp;F22)</f>
        <v>0</v>
      </c>
      <c r="H21" s="39">
        <f t="shared" si="3"/>
        <v>19.791666666666668</v>
      </c>
      <c r="I21" s="40">
        <f>COUNTIF(Vertices[Out-Degree],"&gt;= "&amp;H21)-COUNTIF(Vertices[Out-Degree],"&gt;="&amp;H22)</f>
        <v>0</v>
      </c>
      <c r="J21" s="39">
        <f t="shared" si="4"/>
        <v>14197.81666664583</v>
      </c>
      <c r="K21" s="40">
        <f>COUNTIF(Vertices[Betweenness Centrality],"&gt;= "&amp;J21)-COUNTIF(Vertices[Betweenness Centrality],"&gt;="&amp;J22)</f>
        <v>1</v>
      </c>
      <c r="L21" s="39">
        <f t="shared" si="5"/>
        <v>0.001033416666666667</v>
      </c>
      <c r="M21" s="40">
        <f>COUNTIF(Vertices[Closeness Centrality],"&gt;= "&amp;L21)-COUNTIF(Vertices[Closeness Centrality],"&gt;="&amp;L22)</f>
        <v>14</v>
      </c>
      <c r="N21" s="39">
        <f t="shared" si="6"/>
        <v>0.013671604166666672</v>
      </c>
      <c r="O21" s="40">
        <f>COUNTIF(Vertices[Eigenvector Centrality],"&gt;= "&amp;N21)-COUNTIF(Vertices[Eigenvector Centrality],"&gt;="&amp;N22)</f>
        <v>0</v>
      </c>
      <c r="P21" s="39">
        <f t="shared" si="7"/>
        <v>9.328972416666666</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18"/>
      <c r="B22" s="118"/>
      <c r="D22" s="32">
        <f t="shared" si="1"/>
        <v>0</v>
      </c>
      <c r="E22" s="3">
        <f>COUNTIF(Vertices[Degree],"&gt;= "&amp;D22)-COUNTIF(Vertices[Degree],"&gt;="&amp;D23)</f>
        <v>0</v>
      </c>
      <c r="F22" s="37">
        <f t="shared" si="2"/>
        <v>3.333333333333332</v>
      </c>
      <c r="G22" s="38">
        <f>COUNTIF(Vertices[In-Degree],"&gt;= "&amp;F22)-COUNTIF(Vertices[In-Degree],"&gt;="&amp;F23)</f>
        <v>0</v>
      </c>
      <c r="H22" s="37">
        <f t="shared" si="3"/>
        <v>20.833333333333336</v>
      </c>
      <c r="I22" s="38">
        <f>COUNTIF(Vertices[Out-Degree],"&gt;= "&amp;H22)-COUNTIF(Vertices[Out-Degree],"&gt;="&amp;H23)</f>
        <v>0</v>
      </c>
      <c r="J22" s="37">
        <f t="shared" si="4"/>
        <v>14945.070175416662</v>
      </c>
      <c r="K22" s="38">
        <f>COUNTIF(Vertices[Betweenness Centrality],"&gt;= "&amp;J22)-COUNTIF(Vertices[Betweenness Centrality],"&gt;="&amp;J23)</f>
        <v>1</v>
      </c>
      <c r="L22" s="37">
        <f t="shared" si="5"/>
        <v>0.0010503333333333337</v>
      </c>
      <c r="M22" s="38">
        <f>COUNTIF(Vertices[Closeness Centrality],"&gt;= "&amp;L22)-COUNTIF(Vertices[Closeness Centrality],"&gt;="&amp;L23)</f>
        <v>2</v>
      </c>
      <c r="N22" s="37">
        <f t="shared" si="6"/>
        <v>0.01438958333333334</v>
      </c>
      <c r="O22" s="38">
        <f>COUNTIF(Vertices[Eigenvector Centrality],"&gt;= "&amp;N22)-COUNTIF(Vertices[Eigenvector Centrality],"&gt;="&amp;N23)</f>
        <v>0</v>
      </c>
      <c r="P22" s="37">
        <f t="shared" si="7"/>
        <v>9.799079333333333</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158</v>
      </c>
      <c r="B23" s="34">
        <v>0.004119747322164241</v>
      </c>
      <c r="D23" s="32">
        <f t="shared" si="1"/>
        <v>0</v>
      </c>
      <c r="E23" s="3">
        <f>COUNTIF(Vertices[Degree],"&gt;= "&amp;D23)-COUNTIF(Vertices[Degree],"&gt;="&amp;D24)</f>
        <v>0</v>
      </c>
      <c r="F23" s="39">
        <f t="shared" si="2"/>
        <v>3.4999999999999987</v>
      </c>
      <c r="G23" s="40">
        <f>COUNTIF(Vertices[In-Degree],"&gt;= "&amp;F23)-COUNTIF(Vertices[In-Degree],"&gt;="&amp;F24)</f>
        <v>0</v>
      </c>
      <c r="H23" s="39">
        <f t="shared" si="3"/>
        <v>21.875000000000004</v>
      </c>
      <c r="I23" s="40">
        <f>COUNTIF(Vertices[Out-Degree],"&gt;= "&amp;H23)-COUNTIF(Vertices[Out-Degree],"&gt;="&amp;H24)</f>
        <v>0</v>
      </c>
      <c r="J23" s="39">
        <f t="shared" si="4"/>
        <v>15692.323684187495</v>
      </c>
      <c r="K23" s="40">
        <f>COUNTIF(Vertices[Betweenness Centrality],"&gt;= "&amp;J23)-COUNTIF(Vertices[Betweenness Centrality],"&gt;="&amp;J24)</f>
        <v>0</v>
      </c>
      <c r="L23" s="39">
        <f t="shared" si="5"/>
        <v>0.0010672500000000003</v>
      </c>
      <c r="M23" s="40">
        <f>COUNTIF(Vertices[Closeness Centrality],"&gt;= "&amp;L23)-COUNTIF(Vertices[Closeness Centrality],"&gt;="&amp;L24)</f>
        <v>4</v>
      </c>
      <c r="N23" s="39">
        <f t="shared" si="6"/>
        <v>0.015107562500000006</v>
      </c>
      <c r="O23" s="40">
        <f>COUNTIF(Vertices[Eigenvector Centrality],"&gt;= "&amp;N23)-COUNTIF(Vertices[Eigenvector Centrality],"&gt;="&amp;N24)</f>
        <v>1</v>
      </c>
      <c r="P23" s="39">
        <f t="shared" si="7"/>
        <v>10.26918625</v>
      </c>
      <c r="Q23" s="40">
        <f>COUNTIF(Vertices[PageRank],"&gt;= "&amp;P23)-COUNTIF(Vertices[PageRank],"&gt;="&amp;P24)</f>
        <v>0</v>
      </c>
      <c r="R23" s="39">
        <f t="shared" si="8"/>
        <v>0.43749999999999983</v>
      </c>
      <c r="S23" s="44">
        <f>COUNTIF(Vertices[Clustering Coefficient],"&gt;= "&amp;R23)-COUNTIF(Vertices[Clustering Coefficient],"&gt;="&amp;R24)</f>
        <v>2</v>
      </c>
      <c r="T23" s="39" t="e">
        <f ca="1" t="shared" si="9"/>
        <v>#REF!</v>
      </c>
      <c r="U23" s="40" t="e">
        <f ca="1" t="shared" si="0"/>
        <v>#REF!</v>
      </c>
    </row>
    <row r="24" spans="1:21" ht="15">
      <c r="A24" s="34" t="s">
        <v>3342</v>
      </c>
      <c r="B24" s="34">
        <v>0.624165</v>
      </c>
      <c r="D24" s="32">
        <f t="shared" si="1"/>
        <v>0</v>
      </c>
      <c r="E24" s="3">
        <f>COUNTIF(Vertices[Degree],"&gt;= "&amp;D24)-COUNTIF(Vertices[Degree],"&gt;="&amp;D25)</f>
        <v>0</v>
      </c>
      <c r="F24" s="37">
        <f t="shared" si="2"/>
        <v>3.666666666666665</v>
      </c>
      <c r="G24" s="38">
        <f>COUNTIF(Vertices[In-Degree],"&gt;= "&amp;F24)-COUNTIF(Vertices[In-Degree],"&gt;="&amp;F25)</f>
        <v>0</v>
      </c>
      <c r="H24" s="37">
        <f t="shared" si="3"/>
        <v>22.91666666666667</v>
      </c>
      <c r="I24" s="38">
        <f>COUNTIF(Vertices[Out-Degree],"&gt;= "&amp;H24)-COUNTIF(Vertices[Out-Degree],"&gt;="&amp;H25)</f>
        <v>0</v>
      </c>
      <c r="J24" s="37">
        <f t="shared" si="4"/>
        <v>16439.577192958328</v>
      </c>
      <c r="K24" s="38">
        <f>COUNTIF(Vertices[Betweenness Centrality],"&gt;= "&amp;J24)-COUNTIF(Vertices[Betweenness Centrality],"&gt;="&amp;J25)</f>
        <v>0</v>
      </c>
      <c r="L24" s="37">
        <f t="shared" si="5"/>
        <v>0.0010841666666666669</v>
      </c>
      <c r="M24" s="38">
        <f>COUNTIF(Vertices[Closeness Centrality],"&gt;= "&amp;L24)-COUNTIF(Vertices[Closeness Centrality],"&gt;="&amp;L25)</f>
        <v>3</v>
      </c>
      <c r="N24" s="37">
        <f t="shared" si="6"/>
        <v>0.015825541666666672</v>
      </c>
      <c r="O24" s="38">
        <f>COUNTIF(Vertices[Eigenvector Centrality],"&gt;= "&amp;N24)-COUNTIF(Vertices[Eigenvector Centrality],"&gt;="&amp;N25)</f>
        <v>0</v>
      </c>
      <c r="P24" s="37">
        <f t="shared" si="7"/>
        <v>10.739293166666668</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3.8333333333333317</v>
      </c>
      <c r="G25" s="40">
        <f>COUNTIF(Vertices[In-Degree],"&gt;= "&amp;F25)-COUNTIF(Vertices[In-Degree],"&gt;="&amp;F26)</f>
        <v>0</v>
      </c>
      <c r="H25" s="39">
        <f t="shared" si="3"/>
        <v>23.95833333333334</v>
      </c>
      <c r="I25" s="40">
        <f>COUNTIF(Vertices[Out-Degree],"&gt;= "&amp;H25)-COUNTIF(Vertices[Out-Degree],"&gt;="&amp;H26)</f>
        <v>0</v>
      </c>
      <c r="J25" s="39">
        <f t="shared" si="4"/>
        <v>17186.830701729163</v>
      </c>
      <c r="K25" s="40">
        <f>COUNTIF(Vertices[Betweenness Centrality],"&gt;= "&amp;J25)-COUNTIF(Vertices[Betweenness Centrality],"&gt;="&amp;J26)</f>
        <v>1</v>
      </c>
      <c r="L25" s="39">
        <f t="shared" si="5"/>
        <v>0.0011010833333333335</v>
      </c>
      <c r="M25" s="40">
        <f>COUNTIF(Vertices[Closeness Centrality],"&gt;= "&amp;L25)-COUNTIF(Vertices[Closeness Centrality],"&gt;="&amp;L26)</f>
        <v>2</v>
      </c>
      <c r="N25" s="39">
        <f t="shared" si="6"/>
        <v>0.01654352083333334</v>
      </c>
      <c r="O25" s="40">
        <f>COUNTIF(Vertices[Eigenvector Centrality],"&gt;= "&amp;N25)-COUNTIF(Vertices[Eigenvector Centrality],"&gt;="&amp;N26)</f>
        <v>1</v>
      </c>
      <c r="P25" s="39">
        <f t="shared" si="7"/>
        <v>11.209400083333335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3343</v>
      </c>
      <c r="B26" s="34" t="s">
        <v>3357</v>
      </c>
      <c r="D26" s="32">
        <f t="shared" si="1"/>
        <v>0</v>
      </c>
      <c r="E26" s="3">
        <f>COUNTIF(Vertices[Degree],"&gt;= "&amp;D26)-COUNTIF(Vertices[Degree],"&gt;="&amp;D28)</f>
        <v>0</v>
      </c>
      <c r="F26" s="37">
        <f t="shared" si="2"/>
        <v>3.9999999999999982</v>
      </c>
      <c r="G26" s="38">
        <f>COUNTIF(Vertices[In-Degree],"&gt;= "&amp;F26)-COUNTIF(Vertices[In-Degree],"&gt;="&amp;F28)</f>
        <v>6</v>
      </c>
      <c r="H26" s="37">
        <f t="shared" si="3"/>
        <v>25.000000000000007</v>
      </c>
      <c r="I26" s="38">
        <f>COUNTIF(Vertices[Out-Degree],"&gt;= "&amp;H26)-COUNTIF(Vertices[Out-Degree],"&gt;="&amp;H28)</f>
        <v>0</v>
      </c>
      <c r="J26" s="37">
        <f t="shared" si="4"/>
        <v>17934.084210499997</v>
      </c>
      <c r="K26" s="38">
        <f>COUNTIF(Vertices[Betweenness Centrality],"&gt;= "&amp;J26)-COUNTIF(Vertices[Betweenness Centrality],"&gt;="&amp;J28)</f>
        <v>0</v>
      </c>
      <c r="L26" s="37">
        <f t="shared" si="5"/>
        <v>0.001118</v>
      </c>
      <c r="M26" s="38">
        <f>COUNTIF(Vertices[Closeness Centrality],"&gt;= "&amp;L26)-COUNTIF(Vertices[Closeness Centrality],"&gt;="&amp;L28)</f>
        <v>1</v>
      </c>
      <c r="N26" s="37">
        <f t="shared" si="6"/>
        <v>0.017261500000000006</v>
      </c>
      <c r="O26" s="38">
        <f>COUNTIF(Vertices[Eigenvector Centrality],"&gt;= "&amp;N26)-COUNTIF(Vertices[Eigenvector Centrality],"&gt;="&amp;N28)</f>
        <v>0</v>
      </c>
      <c r="P26" s="37">
        <f t="shared" si="7"/>
        <v>11.679507000000003</v>
      </c>
      <c r="Q26" s="38">
        <f>COUNTIF(Vertices[PageRank],"&gt;= "&amp;P26)-COUNTIF(Vertices[PageRank],"&gt;="&amp;P28)</f>
        <v>0</v>
      </c>
      <c r="R26" s="37">
        <f t="shared" si="8"/>
        <v>0.4999999999999998</v>
      </c>
      <c r="S26" s="43">
        <f>COUNTIF(Vertices[Clustering Coefficient],"&gt;= "&amp;R26)-COUNTIF(Vertices[Clustering Coefficient],"&gt;="&amp;R28)</f>
        <v>7</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0</v>
      </c>
      <c r="F27" s="62"/>
      <c r="G27" s="63">
        <f>COUNTIF(Vertices[In-Degree],"&gt;= "&amp;F27)-COUNTIF(Vertices[In-Degree],"&gt;="&amp;F28)</f>
        <v>-13</v>
      </c>
      <c r="H27" s="62"/>
      <c r="I27" s="63">
        <f>COUNTIF(Vertices[Out-Degree],"&gt;= "&amp;H27)-COUNTIF(Vertices[Out-Degree],"&gt;="&amp;H28)</f>
        <v>-9</v>
      </c>
      <c r="J27" s="62"/>
      <c r="K27" s="63">
        <f>COUNTIF(Vertices[Betweenness Centrality],"&gt;= "&amp;J27)-COUNTIF(Vertices[Betweenness Centrality],"&gt;="&amp;J28)</f>
        <v>-7</v>
      </c>
      <c r="L27" s="62"/>
      <c r="M27" s="63">
        <f>COUNTIF(Vertices[Closeness Centrality],"&gt;= "&amp;L27)-COUNTIF(Vertices[Closeness Centrality],"&gt;="&amp;L28)</f>
        <v>-19</v>
      </c>
      <c r="N27" s="62"/>
      <c r="O27" s="63">
        <f>COUNTIF(Vertices[Eigenvector Centrality],"&gt;= "&amp;N27)-COUNTIF(Vertices[Eigenvector Centrality],"&gt;="&amp;N28)</f>
        <v>-8</v>
      </c>
      <c r="P27" s="62"/>
      <c r="Q27" s="63">
        <f>COUNTIF(Vertices[Eigenvector Centrality],"&gt;= "&amp;P27)-COUNTIF(Vertices[Eigenvector Centrality],"&gt;="&amp;P28)</f>
        <v>0</v>
      </c>
      <c r="R27" s="62"/>
      <c r="S27" s="64">
        <f>COUNTIF(Vertices[Clustering Coefficient],"&gt;= "&amp;R27)-COUNTIF(Vertices[Clustering Coefficient],"&gt;="&amp;R28)</f>
        <v>-26</v>
      </c>
      <c r="T27" s="62"/>
      <c r="U27" s="63">
        <f ca="1">COUNTIF(Vertices[Clustering Coefficient],"&gt;= "&amp;T27)-COUNTIF(Vertices[Clustering Coefficient],"&gt;="&amp;T28)</f>
        <v>0</v>
      </c>
    </row>
    <row r="28" spans="1:21" ht="15">
      <c r="A28" s="34" t="s">
        <v>3344</v>
      </c>
      <c r="B28" s="34" t="s">
        <v>3511</v>
      </c>
      <c r="D28" s="32">
        <f>D26+($D$50-$D$2)/BinDivisor</f>
        <v>0</v>
      </c>
      <c r="E28" s="3">
        <f>COUNTIF(Vertices[Degree],"&gt;= "&amp;D28)-COUNTIF(Vertices[Degree],"&gt;="&amp;D42)</f>
        <v>0</v>
      </c>
      <c r="F28" s="39">
        <f>F26+($F$50-$F$2)/BinDivisor</f>
        <v>4.166666666666665</v>
      </c>
      <c r="G28" s="40">
        <f>COUNTIF(Vertices[In-Degree],"&gt;= "&amp;F28)-COUNTIF(Vertices[In-Degree],"&gt;="&amp;F42)</f>
        <v>0</v>
      </c>
      <c r="H28" s="39">
        <f>H26+($H$50-$H$2)/BinDivisor</f>
        <v>26.041666666666675</v>
      </c>
      <c r="I28" s="40">
        <f>COUNTIF(Vertices[Out-Degree],"&gt;= "&amp;H28)-COUNTIF(Vertices[Out-Degree],"&gt;="&amp;H42)</f>
        <v>0</v>
      </c>
      <c r="J28" s="39">
        <f>J26+($J$50-$J$2)/BinDivisor</f>
        <v>18681.337719270832</v>
      </c>
      <c r="K28" s="40">
        <f>COUNTIF(Vertices[Betweenness Centrality],"&gt;= "&amp;J28)-COUNTIF(Vertices[Betweenness Centrality],"&gt;="&amp;J42)</f>
        <v>0</v>
      </c>
      <c r="L28" s="39">
        <f>L26+($L$50-$L$2)/BinDivisor</f>
        <v>0.0011349166666666667</v>
      </c>
      <c r="M28" s="40">
        <f>COUNTIF(Vertices[Closeness Centrality],"&gt;= "&amp;L28)-COUNTIF(Vertices[Closeness Centrality],"&gt;="&amp;L42)</f>
        <v>3</v>
      </c>
      <c r="N28" s="39">
        <f>N26+($N$50-$N$2)/BinDivisor</f>
        <v>0.017979479166666673</v>
      </c>
      <c r="O28" s="40">
        <f>COUNTIF(Vertices[Eigenvector Centrality],"&gt;= "&amp;N28)-COUNTIF(Vertices[Eigenvector Centrality],"&gt;="&amp;N42)</f>
        <v>1</v>
      </c>
      <c r="P28" s="39">
        <f>P26+($P$50-$P$2)/BinDivisor</f>
        <v>12.14961391666667</v>
      </c>
      <c r="Q28" s="40">
        <f>COUNTIF(Vertices[PageRank],"&gt;= "&amp;P28)-COUNTIF(Vertices[PageRank],"&gt;="&amp;P42)</f>
        <v>0</v>
      </c>
      <c r="R28" s="39">
        <f>R26+($R$50-$R$2)/BinDivisor</f>
        <v>0.5208333333333331</v>
      </c>
      <c r="S28" s="44">
        <f>COUNTIF(Vertices[Clustering Coefficient],"&gt;= "&amp;R28)-COUNTIF(Vertices[Clustering Coefficient],"&gt;="&amp;R42)</f>
        <v>2</v>
      </c>
      <c r="T28" s="39" t="e">
        <f ca="1">T26+($T$50-$T$2)/BinDivisor</f>
        <v>#REF!</v>
      </c>
      <c r="U28" s="40" t="e">
        <f ca="1">COUNTIF(INDIRECT(DynamicFilterSourceColumnRange),"&gt;= "&amp;T28)-COUNTIF(INDIRECT(DynamicFilterSourceColumnRange),"&gt;="&amp;T42)</f>
        <v>#REF!</v>
      </c>
    </row>
    <row r="29" spans="1:21" ht="15">
      <c r="A29" s="118"/>
      <c r="B29" s="118"/>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3345</v>
      </c>
      <c r="B30" s="34" t="s">
        <v>3506</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3346</v>
      </c>
      <c r="B31" s="34" t="s">
        <v>3507</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409.5">
      <c r="A32" s="34" t="s">
        <v>3347</v>
      </c>
      <c r="B32" s="52" t="s">
        <v>3508</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3348</v>
      </c>
      <c r="B33" s="34" t="s">
        <v>3509</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3349</v>
      </c>
      <c r="B34" s="34" t="s">
        <v>3510</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3350</v>
      </c>
      <c r="B35" s="34" t="s">
        <v>2048</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3351</v>
      </c>
      <c r="B36" s="34" t="s">
        <v>2048</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3352</v>
      </c>
      <c r="B37" s="34" t="s">
        <v>2048</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3353</v>
      </c>
      <c r="B38" s="34"/>
      <c r="D38" s="32"/>
      <c r="E38" s="3">
        <f>COUNTIF(Vertices[Degree],"&gt;= "&amp;D38)-COUNTIF(Vertices[Degree],"&gt;="&amp;D42)</f>
        <v>0</v>
      </c>
      <c r="F38" s="62"/>
      <c r="G38" s="63">
        <f>COUNTIF(Vertices[In-Degree],"&gt;= "&amp;F38)-COUNTIF(Vertices[In-Degree],"&gt;="&amp;F42)</f>
        <v>-13</v>
      </c>
      <c r="H38" s="62"/>
      <c r="I38" s="63">
        <f>COUNTIF(Vertices[Out-Degree],"&gt;= "&amp;H38)-COUNTIF(Vertices[Out-Degree],"&gt;="&amp;H42)</f>
        <v>-9</v>
      </c>
      <c r="J38" s="62"/>
      <c r="K38" s="63">
        <f>COUNTIF(Vertices[Betweenness Centrality],"&gt;= "&amp;J38)-COUNTIF(Vertices[Betweenness Centrality],"&gt;="&amp;J42)</f>
        <v>-7</v>
      </c>
      <c r="L38" s="62"/>
      <c r="M38" s="63">
        <f>COUNTIF(Vertices[Closeness Centrality],"&gt;= "&amp;L38)-COUNTIF(Vertices[Closeness Centrality],"&gt;="&amp;L42)</f>
        <v>-16</v>
      </c>
      <c r="N38" s="62"/>
      <c r="O38" s="63">
        <f>COUNTIF(Vertices[Eigenvector Centrality],"&gt;= "&amp;N38)-COUNTIF(Vertices[Eigenvector Centrality],"&gt;="&amp;N42)</f>
        <v>-7</v>
      </c>
      <c r="P38" s="62"/>
      <c r="Q38" s="63">
        <f>COUNTIF(Vertices[Eigenvector Centrality],"&gt;= "&amp;P38)-COUNTIF(Vertices[Eigenvector Centrality],"&gt;="&amp;P42)</f>
        <v>0</v>
      </c>
      <c r="R38" s="62"/>
      <c r="S38" s="64">
        <f>COUNTIF(Vertices[Clustering Coefficient],"&gt;= "&amp;R38)-COUNTIF(Vertices[Clustering Coefficient],"&gt;="&amp;R42)</f>
        <v>-24</v>
      </c>
      <c r="T38" s="62"/>
      <c r="U38" s="63">
        <f ca="1">COUNTIF(Vertices[Clustering Coefficient],"&gt;= "&amp;T38)-COUNTIF(Vertices[Clustering Coefficient],"&gt;="&amp;T42)</f>
        <v>0</v>
      </c>
    </row>
    <row r="39" spans="1:21" ht="15">
      <c r="A39" s="34" t="s">
        <v>21</v>
      </c>
      <c r="B39" s="34"/>
      <c r="D39" s="32"/>
      <c r="E39" s="3">
        <f>COUNTIF(Vertices[Degree],"&gt;= "&amp;D39)-COUNTIF(Vertices[Degree],"&gt;="&amp;D42)</f>
        <v>0</v>
      </c>
      <c r="F39" s="62"/>
      <c r="G39" s="63">
        <f>COUNTIF(Vertices[In-Degree],"&gt;= "&amp;F39)-COUNTIF(Vertices[In-Degree],"&gt;="&amp;F42)</f>
        <v>-13</v>
      </c>
      <c r="H39" s="62"/>
      <c r="I39" s="63">
        <f>COUNTIF(Vertices[Out-Degree],"&gt;= "&amp;H39)-COUNTIF(Vertices[Out-Degree],"&gt;="&amp;H42)</f>
        <v>-9</v>
      </c>
      <c r="J39" s="62"/>
      <c r="K39" s="63">
        <f>COUNTIF(Vertices[Betweenness Centrality],"&gt;= "&amp;J39)-COUNTIF(Vertices[Betweenness Centrality],"&gt;="&amp;J42)</f>
        <v>-7</v>
      </c>
      <c r="L39" s="62"/>
      <c r="M39" s="63">
        <f>COUNTIF(Vertices[Closeness Centrality],"&gt;= "&amp;L39)-COUNTIF(Vertices[Closeness Centrality],"&gt;="&amp;L42)</f>
        <v>-16</v>
      </c>
      <c r="N39" s="62"/>
      <c r="O39" s="63">
        <f>COUNTIF(Vertices[Eigenvector Centrality],"&gt;= "&amp;N39)-COUNTIF(Vertices[Eigenvector Centrality],"&gt;="&amp;N42)</f>
        <v>-7</v>
      </c>
      <c r="P39" s="62"/>
      <c r="Q39" s="63">
        <f>COUNTIF(Vertices[Eigenvector Centrality],"&gt;= "&amp;P39)-COUNTIF(Vertices[Eigenvector Centrality],"&gt;="&amp;P42)</f>
        <v>0</v>
      </c>
      <c r="R39" s="62"/>
      <c r="S39" s="64">
        <f>COUNTIF(Vertices[Clustering Coefficient],"&gt;= "&amp;R39)-COUNTIF(Vertices[Clustering Coefficient],"&gt;="&amp;R42)</f>
        <v>-24</v>
      </c>
      <c r="T39" s="62"/>
      <c r="U39" s="63">
        <f ca="1">COUNTIF(Vertices[Clustering Coefficient],"&gt;= "&amp;T39)-COUNTIF(Vertices[Clustering Coefficient],"&gt;="&amp;T42)</f>
        <v>0</v>
      </c>
    </row>
    <row r="40" spans="1:21" ht="15">
      <c r="A40" s="34" t="s">
        <v>3354</v>
      </c>
      <c r="B40" s="34" t="s">
        <v>659</v>
      </c>
      <c r="D40" s="32"/>
      <c r="E40" s="3">
        <f>COUNTIF(Vertices[Degree],"&gt;= "&amp;D40)-COUNTIF(Vertices[Degree],"&gt;="&amp;D42)</f>
        <v>0</v>
      </c>
      <c r="F40" s="62"/>
      <c r="G40" s="63">
        <f>COUNTIF(Vertices[In-Degree],"&gt;= "&amp;F40)-COUNTIF(Vertices[In-Degree],"&gt;="&amp;F42)</f>
        <v>-13</v>
      </c>
      <c r="H40" s="62"/>
      <c r="I40" s="63">
        <f>COUNTIF(Vertices[Out-Degree],"&gt;= "&amp;H40)-COUNTIF(Vertices[Out-Degree],"&gt;="&amp;H42)</f>
        <v>-9</v>
      </c>
      <c r="J40" s="62"/>
      <c r="K40" s="63">
        <f>COUNTIF(Vertices[Betweenness Centrality],"&gt;= "&amp;J40)-COUNTIF(Vertices[Betweenness Centrality],"&gt;="&amp;J42)</f>
        <v>-7</v>
      </c>
      <c r="L40" s="62"/>
      <c r="M40" s="63">
        <f>COUNTIF(Vertices[Closeness Centrality],"&gt;= "&amp;L40)-COUNTIF(Vertices[Closeness Centrality],"&gt;="&amp;L42)</f>
        <v>-16</v>
      </c>
      <c r="N40" s="62"/>
      <c r="O40" s="63">
        <f>COUNTIF(Vertices[Eigenvector Centrality],"&gt;= "&amp;N40)-COUNTIF(Vertices[Eigenvector Centrality],"&gt;="&amp;N42)</f>
        <v>-7</v>
      </c>
      <c r="P40" s="62"/>
      <c r="Q40" s="63">
        <f>COUNTIF(Vertices[Eigenvector Centrality],"&gt;= "&amp;P40)-COUNTIF(Vertices[Eigenvector Centrality],"&gt;="&amp;P42)</f>
        <v>0</v>
      </c>
      <c r="R40" s="62"/>
      <c r="S40" s="64">
        <f>COUNTIF(Vertices[Clustering Coefficient],"&gt;= "&amp;R40)-COUNTIF(Vertices[Clustering Coefficient],"&gt;="&amp;R42)</f>
        <v>-24</v>
      </c>
      <c r="T40" s="62"/>
      <c r="U40" s="63">
        <f ca="1">COUNTIF(Vertices[Clustering Coefficient],"&gt;= "&amp;T40)-COUNTIF(Vertices[Clustering Coefficient],"&gt;="&amp;T42)</f>
        <v>0</v>
      </c>
    </row>
    <row r="41" spans="1:21" ht="15">
      <c r="A41" s="34" t="s">
        <v>3355</v>
      </c>
      <c r="B41" s="34"/>
      <c r="D41" s="32"/>
      <c r="E41" s="3">
        <f>COUNTIF(Vertices[Degree],"&gt;= "&amp;D41)-COUNTIF(Vertices[Degree],"&gt;="&amp;D42)</f>
        <v>0</v>
      </c>
      <c r="F41" s="62"/>
      <c r="G41" s="63">
        <f>COUNTIF(Vertices[In-Degree],"&gt;= "&amp;F41)-COUNTIF(Vertices[In-Degree],"&gt;="&amp;F42)</f>
        <v>-13</v>
      </c>
      <c r="H41" s="62"/>
      <c r="I41" s="63">
        <f>COUNTIF(Vertices[Out-Degree],"&gt;= "&amp;H41)-COUNTIF(Vertices[Out-Degree],"&gt;="&amp;H42)</f>
        <v>-9</v>
      </c>
      <c r="J41" s="62"/>
      <c r="K41" s="63">
        <f>COUNTIF(Vertices[Betweenness Centrality],"&gt;= "&amp;J41)-COUNTIF(Vertices[Betweenness Centrality],"&gt;="&amp;J42)</f>
        <v>-7</v>
      </c>
      <c r="L41" s="62"/>
      <c r="M41" s="63">
        <f>COUNTIF(Vertices[Closeness Centrality],"&gt;= "&amp;L41)-COUNTIF(Vertices[Closeness Centrality],"&gt;="&amp;L42)</f>
        <v>-16</v>
      </c>
      <c r="N41" s="62"/>
      <c r="O41" s="63">
        <f>COUNTIF(Vertices[Eigenvector Centrality],"&gt;= "&amp;N41)-COUNTIF(Vertices[Eigenvector Centrality],"&gt;="&amp;N42)</f>
        <v>-7</v>
      </c>
      <c r="P41" s="62"/>
      <c r="Q41" s="63">
        <f>COUNTIF(Vertices[Eigenvector Centrality],"&gt;= "&amp;P41)-COUNTIF(Vertices[Eigenvector Centrality],"&gt;="&amp;P42)</f>
        <v>0</v>
      </c>
      <c r="R41" s="62"/>
      <c r="S41" s="64">
        <f>COUNTIF(Vertices[Clustering Coefficient],"&gt;= "&amp;R41)-COUNTIF(Vertices[Clustering Coefficient],"&gt;="&amp;R42)</f>
        <v>-24</v>
      </c>
      <c r="T41" s="62"/>
      <c r="U41" s="63">
        <f ca="1">COUNTIF(Vertices[Clustering Coefficient],"&gt;= "&amp;T41)-COUNTIF(Vertices[Clustering Coefficient],"&gt;="&amp;T42)</f>
        <v>0</v>
      </c>
    </row>
    <row r="42" spans="1:21" ht="15">
      <c r="A42" s="34" t="s">
        <v>3356</v>
      </c>
      <c r="B42" s="34"/>
      <c r="D42" s="32">
        <f>D28+($D$50-$D$2)/BinDivisor</f>
        <v>0</v>
      </c>
      <c r="E42" s="3">
        <f>COUNTIF(Vertices[Degree],"&gt;= "&amp;D42)-COUNTIF(Vertices[Degree],"&gt;="&amp;D43)</f>
        <v>0</v>
      </c>
      <c r="F42" s="37">
        <f>F28+($F$50-$F$2)/BinDivisor</f>
        <v>4.333333333333332</v>
      </c>
      <c r="G42" s="38">
        <f>COUNTIF(Vertices[In-Degree],"&gt;= "&amp;F42)-COUNTIF(Vertices[In-Degree],"&gt;="&amp;F43)</f>
        <v>0</v>
      </c>
      <c r="H42" s="37">
        <f>H28+($H$50-$H$2)/BinDivisor</f>
        <v>27.083333333333343</v>
      </c>
      <c r="I42" s="38">
        <f>COUNTIF(Vertices[Out-Degree],"&gt;= "&amp;H42)-COUNTIF(Vertices[Out-Degree],"&gt;="&amp;H43)</f>
        <v>0</v>
      </c>
      <c r="J42" s="37">
        <f>J28+($J$50-$J$2)/BinDivisor</f>
        <v>19428.591228041667</v>
      </c>
      <c r="K42" s="38">
        <f>COUNTIF(Vertices[Betweenness Centrality],"&gt;= "&amp;J42)-COUNTIF(Vertices[Betweenness Centrality],"&gt;="&amp;J43)</f>
        <v>0</v>
      </c>
      <c r="L42" s="37">
        <f>L28+($L$50-$L$2)/BinDivisor</f>
        <v>0.0011518333333333333</v>
      </c>
      <c r="M42" s="38">
        <f>COUNTIF(Vertices[Closeness Centrality],"&gt;= "&amp;L42)-COUNTIF(Vertices[Closeness Centrality],"&gt;="&amp;L43)</f>
        <v>1</v>
      </c>
      <c r="N42" s="37">
        <f>N28+($N$50-$N$2)/BinDivisor</f>
        <v>0.01869745833333334</v>
      </c>
      <c r="O42" s="38">
        <f>COUNTIF(Vertices[Eigenvector Centrality],"&gt;= "&amp;N42)-COUNTIF(Vertices[Eigenvector Centrality],"&gt;="&amp;N43)</f>
        <v>0</v>
      </c>
      <c r="P42" s="37">
        <f>P28+($P$50-$P$2)/BinDivisor</f>
        <v>12.619720833333337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4:21" ht="15">
      <c r="D43" s="32">
        <f aca="true" t="shared" si="10" ref="D43:D49">D42+($D$50-$D$2)/BinDivisor</f>
        <v>0</v>
      </c>
      <c r="E43" s="3">
        <f>COUNTIF(Vertices[Degree],"&gt;= "&amp;D43)-COUNTIF(Vertices[Degree],"&gt;="&amp;D44)</f>
        <v>0</v>
      </c>
      <c r="F43" s="39">
        <f aca="true" t="shared" si="11" ref="F43:F49">F42+($F$50-$F$2)/BinDivisor</f>
        <v>4.499999999999999</v>
      </c>
      <c r="G43" s="40">
        <f>COUNTIF(Vertices[In-Degree],"&gt;= "&amp;F43)-COUNTIF(Vertices[In-Degree],"&gt;="&amp;F44)</f>
        <v>0</v>
      </c>
      <c r="H43" s="39">
        <f aca="true" t="shared" si="12" ref="H43:H49">H42+($H$50-$H$2)/BinDivisor</f>
        <v>28.12500000000001</v>
      </c>
      <c r="I43" s="40">
        <f>COUNTIF(Vertices[Out-Degree],"&gt;= "&amp;H43)-COUNTIF(Vertices[Out-Degree],"&gt;="&amp;H44)</f>
        <v>0</v>
      </c>
      <c r="J43" s="39">
        <f aca="true" t="shared" si="13" ref="J43:J49">J42+($J$50-$J$2)/BinDivisor</f>
        <v>20175.8447368125</v>
      </c>
      <c r="K43" s="40">
        <f>COUNTIF(Vertices[Betweenness Centrality],"&gt;= "&amp;J43)-COUNTIF(Vertices[Betweenness Centrality],"&gt;="&amp;J44)</f>
        <v>0</v>
      </c>
      <c r="L43" s="39">
        <f aca="true" t="shared" si="14" ref="L43:L49">L42+($L$50-$L$2)/BinDivisor</f>
        <v>0.0011687499999999999</v>
      </c>
      <c r="M43" s="40">
        <f>COUNTIF(Vertices[Closeness Centrality],"&gt;= "&amp;L43)-COUNTIF(Vertices[Closeness Centrality],"&gt;="&amp;L44)</f>
        <v>3</v>
      </c>
      <c r="N43" s="39">
        <f aca="true" t="shared" si="15" ref="N43:N49">N42+($N$50-$N$2)/BinDivisor</f>
        <v>0.019415437500000007</v>
      </c>
      <c r="O43" s="40">
        <f>COUNTIF(Vertices[Eigenvector Centrality],"&gt;= "&amp;N43)-COUNTIF(Vertices[Eigenvector Centrality],"&gt;="&amp;N44)</f>
        <v>1</v>
      </c>
      <c r="P43" s="39">
        <f aca="true" t="shared" si="16" ref="P43:P49">P42+($P$50-$P$2)/BinDivisor</f>
        <v>13.089827750000005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4:21" ht="15">
      <c r="D44" s="32">
        <f t="shared" si="10"/>
        <v>0</v>
      </c>
      <c r="E44" s="3">
        <f>COUNTIF(Vertices[Degree],"&gt;= "&amp;D44)-COUNTIF(Vertices[Degree],"&gt;="&amp;D45)</f>
        <v>0</v>
      </c>
      <c r="F44" s="37">
        <f t="shared" si="11"/>
        <v>4.666666666666666</v>
      </c>
      <c r="G44" s="38">
        <f>COUNTIF(Vertices[In-Degree],"&gt;= "&amp;F44)-COUNTIF(Vertices[In-Degree],"&gt;="&amp;F45)</f>
        <v>0</v>
      </c>
      <c r="H44" s="37">
        <f t="shared" si="12"/>
        <v>29.16666666666668</v>
      </c>
      <c r="I44" s="38">
        <f>COUNTIF(Vertices[Out-Degree],"&gt;= "&amp;H44)-COUNTIF(Vertices[Out-Degree],"&gt;="&amp;H45)</f>
        <v>0</v>
      </c>
      <c r="J44" s="37">
        <f t="shared" si="13"/>
        <v>20923.098245583336</v>
      </c>
      <c r="K44" s="38">
        <f>COUNTIF(Vertices[Betweenness Centrality],"&gt;= "&amp;J44)-COUNTIF(Vertices[Betweenness Centrality],"&gt;="&amp;J45)</f>
        <v>0</v>
      </c>
      <c r="L44" s="37">
        <f t="shared" si="14"/>
        <v>0.0011856666666666665</v>
      </c>
      <c r="M44" s="38">
        <f>COUNTIF(Vertices[Closeness Centrality],"&gt;= "&amp;L44)-COUNTIF(Vertices[Closeness Centrality],"&gt;="&amp;L45)</f>
        <v>1</v>
      </c>
      <c r="N44" s="37">
        <f t="shared" si="15"/>
        <v>0.020133416666666674</v>
      </c>
      <c r="O44" s="38">
        <f>COUNTIF(Vertices[Eigenvector Centrality],"&gt;= "&amp;N44)-COUNTIF(Vertices[Eigenvector Centrality],"&gt;="&amp;N45)</f>
        <v>0</v>
      </c>
      <c r="P44" s="37">
        <f t="shared" si="16"/>
        <v>13.559934666666672</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4.833333333333333</v>
      </c>
      <c r="G45" s="40">
        <f>COUNTIF(Vertices[In-Degree],"&gt;= "&amp;F45)-COUNTIF(Vertices[In-Degree],"&gt;="&amp;F46)</f>
        <v>0</v>
      </c>
      <c r="H45" s="39">
        <f t="shared" si="12"/>
        <v>30.208333333333346</v>
      </c>
      <c r="I45" s="40">
        <f>COUNTIF(Vertices[Out-Degree],"&gt;= "&amp;H45)-COUNTIF(Vertices[Out-Degree],"&gt;="&amp;H46)</f>
        <v>0</v>
      </c>
      <c r="J45" s="39">
        <f t="shared" si="13"/>
        <v>21670.35175435417</v>
      </c>
      <c r="K45" s="40">
        <f>COUNTIF(Vertices[Betweenness Centrality],"&gt;= "&amp;J45)-COUNTIF(Vertices[Betweenness Centrality],"&gt;="&amp;J46)</f>
        <v>0</v>
      </c>
      <c r="L45" s="39">
        <f t="shared" si="14"/>
        <v>0.001202583333333333</v>
      </c>
      <c r="M45" s="40">
        <f>COUNTIF(Vertices[Closeness Centrality],"&gt;= "&amp;L45)-COUNTIF(Vertices[Closeness Centrality],"&gt;="&amp;L46)</f>
        <v>0</v>
      </c>
      <c r="N45" s="39">
        <f t="shared" si="15"/>
        <v>0.02085139583333334</v>
      </c>
      <c r="O45" s="40">
        <f>COUNTIF(Vertices[Eigenvector Centrality],"&gt;= "&amp;N45)-COUNTIF(Vertices[Eigenvector Centrality],"&gt;="&amp;N46)</f>
        <v>0</v>
      </c>
      <c r="P45" s="39">
        <f t="shared" si="16"/>
        <v>14.03004158333334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v>
      </c>
      <c r="G46" s="38">
        <f>COUNTIF(Vertices[In-Degree],"&gt;= "&amp;F46)-COUNTIF(Vertices[In-Degree],"&gt;="&amp;F47)</f>
        <v>7</v>
      </c>
      <c r="H46" s="37">
        <f t="shared" si="12"/>
        <v>31.250000000000014</v>
      </c>
      <c r="I46" s="38">
        <f>COUNTIF(Vertices[Out-Degree],"&gt;= "&amp;H46)-COUNTIF(Vertices[Out-Degree],"&gt;="&amp;H47)</f>
        <v>0</v>
      </c>
      <c r="J46" s="37">
        <f t="shared" si="13"/>
        <v>22417.605263125006</v>
      </c>
      <c r="K46" s="38">
        <f>COUNTIF(Vertices[Betweenness Centrality],"&gt;= "&amp;J46)-COUNTIF(Vertices[Betweenness Centrality],"&gt;="&amp;J47)</f>
        <v>0</v>
      </c>
      <c r="L46" s="37">
        <f t="shared" si="14"/>
        <v>0.0012194999999999997</v>
      </c>
      <c r="M46" s="38">
        <f>COUNTIF(Vertices[Closeness Centrality],"&gt;= "&amp;L46)-COUNTIF(Vertices[Closeness Centrality],"&gt;="&amp;L47)</f>
        <v>1</v>
      </c>
      <c r="N46" s="37">
        <f t="shared" si="15"/>
        <v>0.02156937500000001</v>
      </c>
      <c r="O46" s="38">
        <f>COUNTIF(Vertices[Eigenvector Centrality],"&gt;= "&amp;N46)-COUNTIF(Vertices[Eigenvector Centrality],"&gt;="&amp;N47)</f>
        <v>0</v>
      </c>
      <c r="P46" s="37">
        <f t="shared" si="16"/>
        <v>14.500148500000007</v>
      </c>
      <c r="Q46" s="38">
        <f>COUNTIF(Vertices[PageRank],"&gt;= "&amp;P46)-COUNTIF(Vertices[PageRank],"&gt;="&amp;P47)</f>
        <v>2</v>
      </c>
      <c r="R46" s="37">
        <f t="shared" si="17"/>
        <v>0.625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5.166666666666667</v>
      </c>
      <c r="G47" s="40">
        <f>COUNTIF(Vertices[In-Degree],"&gt;= "&amp;F47)-COUNTIF(Vertices[In-Degree],"&gt;="&amp;F48)</f>
        <v>0</v>
      </c>
      <c r="H47" s="39">
        <f t="shared" si="12"/>
        <v>32.29166666666668</v>
      </c>
      <c r="I47" s="40">
        <f>COUNTIF(Vertices[Out-Degree],"&gt;= "&amp;H47)-COUNTIF(Vertices[Out-Degree],"&gt;="&amp;H48)</f>
        <v>0</v>
      </c>
      <c r="J47" s="39">
        <f t="shared" si="13"/>
        <v>23164.85877189584</v>
      </c>
      <c r="K47" s="40">
        <f>COUNTIF(Vertices[Betweenness Centrality],"&gt;= "&amp;J47)-COUNTIF(Vertices[Betweenness Centrality],"&gt;="&amp;J48)</f>
        <v>0</v>
      </c>
      <c r="L47" s="39">
        <f t="shared" si="14"/>
        <v>0.0012364166666666663</v>
      </c>
      <c r="M47" s="40">
        <f>COUNTIF(Vertices[Closeness Centrality],"&gt;= "&amp;L47)-COUNTIF(Vertices[Closeness Centrality],"&gt;="&amp;L48)</f>
        <v>1</v>
      </c>
      <c r="N47" s="39">
        <f t="shared" si="15"/>
        <v>0.022287354166666676</v>
      </c>
      <c r="O47" s="40">
        <f>COUNTIF(Vertices[Eigenvector Centrality],"&gt;= "&amp;N47)-COUNTIF(Vertices[Eigenvector Centrality],"&gt;="&amp;N48)</f>
        <v>0</v>
      </c>
      <c r="P47" s="39">
        <f t="shared" si="16"/>
        <v>14.970255416666674</v>
      </c>
      <c r="Q47" s="40">
        <f>COUNTIF(Vertices[PageRank],"&gt;= "&amp;P47)-COUNTIF(Vertices[PageRank],"&gt;="&amp;P48)</f>
        <v>0</v>
      </c>
      <c r="R47" s="39">
        <f t="shared" si="17"/>
        <v>0.6458333333333334</v>
      </c>
      <c r="S47" s="44">
        <f>COUNTIF(Vertices[Clustering Coefficient],"&gt;= "&amp;R47)-COUNTIF(Vertices[Clustering Coefficient],"&gt;="&amp;R48)</f>
        <v>3</v>
      </c>
      <c r="T47" s="39" t="e">
        <f ca="1" t="shared" si="18"/>
        <v>#REF!</v>
      </c>
      <c r="U47" s="40" t="e">
        <f ca="1" t="shared" si="0"/>
        <v>#REF!</v>
      </c>
    </row>
    <row r="48" spans="4:21" ht="15">
      <c r="D48" s="32">
        <f t="shared" si="10"/>
        <v>0</v>
      </c>
      <c r="E48" s="3">
        <f>COUNTIF(Vertices[Degree],"&gt;= "&amp;D48)-COUNTIF(Vertices[Degree],"&gt;="&amp;D49)</f>
        <v>0</v>
      </c>
      <c r="F48" s="37">
        <f t="shared" si="11"/>
        <v>5.333333333333334</v>
      </c>
      <c r="G48" s="38">
        <f>COUNTIF(Vertices[In-Degree],"&gt;= "&amp;F48)-COUNTIF(Vertices[In-Degree],"&gt;="&amp;F49)</f>
        <v>0</v>
      </c>
      <c r="H48" s="37">
        <f t="shared" si="12"/>
        <v>33.33333333333334</v>
      </c>
      <c r="I48" s="38">
        <f>COUNTIF(Vertices[Out-Degree],"&gt;= "&amp;H48)-COUNTIF(Vertices[Out-Degree],"&gt;="&amp;H49)</f>
        <v>0</v>
      </c>
      <c r="J48" s="37">
        <f t="shared" si="13"/>
        <v>23912.112280666675</v>
      </c>
      <c r="K48" s="38">
        <f>COUNTIF(Vertices[Betweenness Centrality],"&gt;= "&amp;J48)-COUNTIF(Vertices[Betweenness Centrality],"&gt;="&amp;J49)</f>
        <v>1</v>
      </c>
      <c r="L48" s="37">
        <f t="shared" si="14"/>
        <v>0.0012533333333333329</v>
      </c>
      <c r="M48" s="38">
        <f>COUNTIF(Vertices[Closeness Centrality],"&gt;= "&amp;L48)-COUNTIF(Vertices[Closeness Centrality],"&gt;="&amp;L49)</f>
        <v>0</v>
      </c>
      <c r="N48" s="37">
        <f t="shared" si="15"/>
        <v>0.023005333333333343</v>
      </c>
      <c r="O48" s="38">
        <f>COUNTIF(Vertices[Eigenvector Centrality],"&gt;= "&amp;N48)-COUNTIF(Vertices[Eigenvector Centrality],"&gt;="&amp;N49)</f>
        <v>0</v>
      </c>
      <c r="P48" s="37">
        <f t="shared" si="16"/>
        <v>15.440362333333342</v>
      </c>
      <c r="Q48" s="38">
        <f>COUNTIF(Vertices[PageRank],"&gt;= "&amp;P48)-COUNTIF(Vertices[PageRank],"&gt;="&amp;P49)</f>
        <v>2</v>
      </c>
      <c r="R48" s="37">
        <f t="shared" si="17"/>
        <v>0.6666666666666667</v>
      </c>
      <c r="S48" s="43">
        <f>COUNTIF(Vertices[Clustering Coefficient],"&gt;= "&amp;R48)-COUNTIF(Vertices[Clustering Coefficient],"&gt;="&amp;R49)</f>
        <v>10</v>
      </c>
      <c r="T48" s="37" t="e">
        <f ca="1" t="shared" si="18"/>
        <v>#REF!</v>
      </c>
      <c r="U48" s="38" t="e">
        <f ca="1" t="shared" si="0"/>
        <v>#REF!</v>
      </c>
    </row>
    <row r="49" spans="4:21" ht="15">
      <c r="D49" s="32">
        <f t="shared" si="10"/>
        <v>0</v>
      </c>
      <c r="E49" s="3">
        <f>COUNTIF(Vertices[Degree],"&gt;= "&amp;D49)-COUNTIF(Vertices[Degree],"&gt;="&amp;#REF!)</f>
        <v>0</v>
      </c>
      <c r="F49" s="39">
        <f t="shared" si="11"/>
        <v>5.500000000000001</v>
      </c>
      <c r="G49" s="40">
        <f>COUNTIF(Vertices[In-Degree],"&gt;= "&amp;F49)-COUNTIF(Vertices[In-Degree],"&gt;="&amp;#REF!)</f>
        <v>6</v>
      </c>
      <c r="H49" s="39">
        <f t="shared" si="12"/>
        <v>34.37500000000001</v>
      </c>
      <c r="I49" s="40">
        <f>COUNTIF(Vertices[Out-Degree],"&gt;= "&amp;H49)-COUNTIF(Vertices[Out-Degree],"&gt;="&amp;#REF!)</f>
        <v>9</v>
      </c>
      <c r="J49" s="39">
        <f t="shared" si="13"/>
        <v>24659.36578943751</v>
      </c>
      <c r="K49" s="40">
        <f>COUNTIF(Vertices[Betweenness Centrality],"&gt;= "&amp;J49)-COUNTIF(Vertices[Betweenness Centrality],"&gt;="&amp;#REF!)</f>
        <v>6</v>
      </c>
      <c r="L49" s="39">
        <f t="shared" si="14"/>
        <v>0.0012702499999999995</v>
      </c>
      <c r="M49" s="40">
        <f>COUNTIF(Vertices[Closeness Centrality],"&gt;= "&amp;L49)-COUNTIF(Vertices[Closeness Centrality],"&gt;="&amp;#REF!)</f>
        <v>9</v>
      </c>
      <c r="N49" s="39">
        <f t="shared" si="15"/>
        <v>0.02372331250000001</v>
      </c>
      <c r="O49" s="40">
        <f>COUNTIF(Vertices[Eigenvector Centrality],"&gt;= "&amp;N49)-COUNTIF(Vertices[Eigenvector Centrality],"&gt;="&amp;#REF!)</f>
        <v>6</v>
      </c>
      <c r="P49" s="39">
        <f t="shared" si="16"/>
        <v>15.910469250000009</v>
      </c>
      <c r="Q49" s="40">
        <f>COUNTIF(Vertices[PageRank],"&gt;= "&amp;P49)-COUNTIF(Vertices[PageRank],"&gt;="&amp;#REF!)</f>
        <v>5</v>
      </c>
      <c r="R49" s="39">
        <f t="shared" si="17"/>
        <v>0.6875000000000001</v>
      </c>
      <c r="S49" s="44">
        <f>COUNTIF(Vertices[Clustering Coefficient],"&gt;= "&amp;R49)-COUNTIF(Vertices[Clustering Coefficient],"&gt;="&amp;#REF!)</f>
        <v>11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8</v>
      </c>
      <c r="G50" s="42">
        <f>COUNTIF(Vertices[In-Degree],"&gt;= "&amp;F50)-COUNTIF(Vertices[In-Degree],"&gt;="&amp;#REF!)</f>
        <v>1</v>
      </c>
      <c r="H50" s="41">
        <f>MAX(Vertices[Out-Degree])</f>
        <v>50</v>
      </c>
      <c r="I50" s="42">
        <f>COUNTIF(Vertices[Out-Degree],"&gt;= "&amp;H50)-COUNTIF(Vertices[Out-Degree],"&gt;="&amp;#REF!)</f>
        <v>9</v>
      </c>
      <c r="J50" s="41">
        <f>MAX(Vertices[Betweenness Centrality])</f>
        <v>35868.168421</v>
      </c>
      <c r="K50" s="42">
        <f>COUNTIF(Vertices[Betweenness Centrality],"&gt;= "&amp;J50)-COUNTIF(Vertices[Betweenness Centrality],"&gt;="&amp;#REF!)</f>
        <v>1</v>
      </c>
      <c r="L50" s="41">
        <f>MAX(Vertices[Closeness Centrality])</f>
        <v>0.001524</v>
      </c>
      <c r="M50" s="42">
        <f>COUNTIF(Vertices[Closeness Centrality],"&gt;= "&amp;L50)-COUNTIF(Vertices[Closeness Centrality],"&gt;="&amp;#REF!)</f>
        <v>1</v>
      </c>
      <c r="N50" s="41">
        <f>MAX(Vertices[Eigenvector Centrality])</f>
        <v>0.034493</v>
      </c>
      <c r="O50" s="42">
        <f>COUNTIF(Vertices[Eigenvector Centrality],"&gt;= "&amp;N50)-COUNTIF(Vertices[Eigenvector Centrality],"&gt;="&amp;#REF!)</f>
        <v>1</v>
      </c>
      <c r="P50" s="41">
        <f>MAX(Vertices[PageRank])</f>
        <v>22.962073</v>
      </c>
      <c r="Q50" s="42">
        <f>COUNTIF(Vertices[PageRank],"&gt;= "&amp;P50)-COUNTIF(Vertices[PageRank],"&gt;="&amp;#REF!)</f>
        <v>1</v>
      </c>
      <c r="R50" s="41">
        <f>MAX(Vertices[Clustering Coefficient])</f>
        <v>1</v>
      </c>
      <c r="S50" s="45">
        <f>COUNTIF(Vertices[Clustering Coefficient],"&gt;= "&amp;R50)-COUNTIF(Vertices[Clustering Coefficient],"&gt;="&amp;#REF!)</f>
        <v>11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v>
      </c>
    </row>
    <row r="82" spans="1:2" ht="15">
      <c r="A82" s="33" t="s">
        <v>90</v>
      </c>
      <c r="B82" s="47">
        <f>_xlfn.IFERROR(AVERAGE(Vertices[In-Degree]),NoMetricMessage)</f>
        <v>1.3595166163141994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50</v>
      </c>
    </row>
    <row r="96" spans="1:2" ht="15">
      <c r="A96" s="33" t="s">
        <v>96</v>
      </c>
      <c r="B96" s="47">
        <f>_xlfn.IFERROR(AVERAGE(Vertices[Out-Degree]),NoMetricMessage)</f>
        <v>1.3595166163141994</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35868.168421</v>
      </c>
    </row>
    <row r="110" spans="1:2" ht="15">
      <c r="A110" s="33" t="s">
        <v>102</v>
      </c>
      <c r="B110" s="47">
        <f>_xlfn.IFERROR(AVERAGE(Vertices[Betweenness Centrality]),NoMetricMessage)</f>
        <v>762.3685800634441</v>
      </c>
    </row>
    <row r="111" spans="1:2" ht="15">
      <c r="A111" s="33" t="s">
        <v>103</v>
      </c>
      <c r="B111" s="47">
        <f>_xlfn.IFERROR(MEDIAN(Vertices[Betweenness Centrality]),NoMetricMessage)</f>
        <v>0</v>
      </c>
    </row>
    <row r="122" spans="1:2" ht="15">
      <c r="A122" s="33" t="s">
        <v>106</v>
      </c>
      <c r="B122" s="47">
        <f>IF(COUNT(Vertices[Closeness Centrality])&gt;0,L2,NoMetricMessage)</f>
        <v>0.000712</v>
      </c>
    </row>
    <row r="123" spans="1:2" ht="15">
      <c r="A123" s="33" t="s">
        <v>107</v>
      </c>
      <c r="B123" s="47">
        <f>IF(COUNT(Vertices[Closeness Centrality])&gt;0,L50,NoMetricMessage)</f>
        <v>0.001524</v>
      </c>
    </row>
    <row r="124" spans="1:2" ht="15">
      <c r="A124" s="33" t="s">
        <v>108</v>
      </c>
      <c r="B124" s="47">
        <f>_xlfn.IFERROR(AVERAGE(Vertices[Closeness Centrality]),NoMetricMessage)</f>
        <v>0.0009324743202416935</v>
      </c>
    </row>
    <row r="125" spans="1:2" ht="15">
      <c r="A125" s="33" t="s">
        <v>109</v>
      </c>
      <c r="B125" s="47">
        <f>_xlfn.IFERROR(MEDIAN(Vertices[Closeness Centrality]),NoMetricMessage)</f>
        <v>0.000926</v>
      </c>
    </row>
    <row r="136" spans="1:2" ht="15">
      <c r="A136" s="33" t="s">
        <v>112</v>
      </c>
      <c r="B136" s="47">
        <f>IF(COUNT(Vertices[Eigenvector Centrality])&gt;0,N2,NoMetricMessage)</f>
        <v>3E-05</v>
      </c>
    </row>
    <row r="137" spans="1:2" ht="15">
      <c r="A137" s="33" t="s">
        <v>113</v>
      </c>
      <c r="B137" s="47">
        <f>IF(COUNT(Vertices[Eigenvector Centrality])&gt;0,N50,NoMetricMessage)</f>
        <v>0.034493</v>
      </c>
    </row>
    <row r="138" spans="1:2" ht="15">
      <c r="A138" s="33" t="s">
        <v>114</v>
      </c>
      <c r="B138" s="47">
        <f>_xlfn.IFERROR(AVERAGE(Vertices[Eigenvector Centrality]),NoMetricMessage)</f>
        <v>0.003021211480362535</v>
      </c>
    </row>
    <row r="139" spans="1:2" ht="15">
      <c r="A139" s="33" t="s">
        <v>115</v>
      </c>
      <c r="B139" s="47">
        <f>_xlfn.IFERROR(MEDIAN(Vertices[Eigenvector Centrality]),NoMetricMessage)</f>
        <v>0.001993</v>
      </c>
    </row>
    <row r="150" spans="1:2" ht="15">
      <c r="A150" s="33" t="s">
        <v>140</v>
      </c>
      <c r="B150" s="47">
        <f>IF(COUNT(Vertices[PageRank])&gt;0,P2,NoMetricMessage)</f>
        <v>0.396941</v>
      </c>
    </row>
    <row r="151" spans="1:2" ht="15">
      <c r="A151" s="33" t="s">
        <v>141</v>
      </c>
      <c r="B151" s="47">
        <f>IF(COUNT(Vertices[PageRank])&gt;0,P50,NoMetricMessage)</f>
        <v>22.962073</v>
      </c>
    </row>
    <row r="152" spans="1:2" ht="15">
      <c r="A152" s="33" t="s">
        <v>142</v>
      </c>
      <c r="B152" s="47">
        <f>_xlfn.IFERROR(AVERAGE(Vertices[PageRank]),NoMetricMessage)</f>
        <v>0.9999983927492427</v>
      </c>
    </row>
    <row r="153" spans="1:2" ht="15">
      <c r="A153" s="33" t="s">
        <v>143</v>
      </c>
      <c r="B153" s="47">
        <f>_xlfn.IFERROR(MEDIAN(Vertices[PageRank]),NoMetricMessage)</f>
        <v>0.444569</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0.08350289908124511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0"/>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248</v>
      </c>
    </row>
    <row r="6" spans="1:18" ht="409.5">
      <c r="A6">
        <v>0</v>
      </c>
      <c r="B6" s="1" t="s">
        <v>136</v>
      </c>
      <c r="C6">
        <v>1</v>
      </c>
      <c r="D6" t="s">
        <v>59</v>
      </c>
      <c r="E6" t="s">
        <v>59</v>
      </c>
      <c r="F6">
        <v>0</v>
      </c>
      <c r="H6" t="s">
        <v>71</v>
      </c>
      <c r="J6" t="s">
        <v>173</v>
      </c>
      <c r="K6" s="13" t="s">
        <v>303</v>
      </c>
      <c r="R6" t="s">
        <v>129</v>
      </c>
    </row>
    <row r="7" spans="1:11" ht="409.5">
      <c r="A7">
        <v>2</v>
      </c>
      <c r="B7">
        <v>1</v>
      </c>
      <c r="C7">
        <v>0</v>
      </c>
      <c r="D7" t="s">
        <v>60</v>
      </c>
      <c r="E7" t="s">
        <v>60</v>
      </c>
      <c r="F7">
        <v>2</v>
      </c>
      <c r="H7" t="s">
        <v>72</v>
      </c>
      <c r="J7" t="s">
        <v>174</v>
      </c>
      <c r="K7" s="13" t="s">
        <v>175</v>
      </c>
    </row>
    <row r="8" spans="1:11" ht="409.5">
      <c r="A8"/>
      <c r="B8">
        <v>2</v>
      </c>
      <c r="C8">
        <v>2</v>
      </c>
      <c r="D8" t="s">
        <v>61</v>
      </c>
      <c r="E8" t="s">
        <v>61</v>
      </c>
      <c r="H8" t="s">
        <v>73</v>
      </c>
      <c r="J8" t="s">
        <v>176</v>
      </c>
      <c r="K8" s="13" t="s">
        <v>304</v>
      </c>
    </row>
    <row r="9" spans="1:11" ht="409.5">
      <c r="A9"/>
      <c r="B9">
        <v>3</v>
      </c>
      <c r="C9">
        <v>4</v>
      </c>
      <c r="D9" t="s">
        <v>62</v>
      </c>
      <c r="E9" t="s">
        <v>62</v>
      </c>
      <c r="H9" t="s">
        <v>74</v>
      </c>
      <c r="J9" t="s">
        <v>177</v>
      </c>
      <c r="K9" s="13" t="s">
        <v>305</v>
      </c>
    </row>
    <row r="10" spans="1:11" ht="15">
      <c r="A10"/>
      <c r="B10">
        <v>4</v>
      </c>
      <c r="D10" t="s">
        <v>63</v>
      </c>
      <c r="E10" t="s">
        <v>63</v>
      </c>
      <c r="H10" t="s">
        <v>75</v>
      </c>
      <c r="J10" t="s">
        <v>178</v>
      </c>
      <c r="K10" t="s">
        <v>306</v>
      </c>
    </row>
    <row r="11" spans="1:11" ht="15">
      <c r="A11"/>
      <c r="B11">
        <v>5</v>
      </c>
      <c r="D11" t="s">
        <v>46</v>
      </c>
      <c r="E11">
        <v>1</v>
      </c>
      <c r="H11" t="s">
        <v>76</v>
      </c>
      <c r="J11" t="s">
        <v>179</v>
      </c>
      <c r="K11" t="s">
        <v>307</v>
      </c>
    </row>
    <row r="12" spans="1:11" ht="15">
      <c r="A12"/>
      <c r="B12"/>
      <c r="D12" t="s">
        <v>64</v>
      </c>
      <c r="E12">
        <v>2</v>
      </c>
      <c r="H12">
        <v>0</v>
      </c>
      <c r="J12" t="s">
        <v>180</v>
      </c>
      <c r="K12" t="s">
        <v>308</v>
      </c>
    </row>
    <row r="13" spans="1:11" ht="15">
      <c r="A13"/>
      <c r="B13"/>
      <c r="D13">
        <v>1</v>
      </c>
      <c r="E13">
        <v>3</v>
      </c>
      <c r="H13">
        <v>1</v>
      </c>
      <c r="J13" t="s">
        <v>181</v>
      </c>
      <c r="K13" t="s">
        <v>309</v>
      </c>
    </row>
    <row r="14" spans="4:11" ht="15">
      <c r="D14">
        <v>2</v>
      </c>
      <c r="E14">
        <v>4</v>
      </c>
      <c r="H14">
        <v>2</v>
      </c>
      <c r="J14" t="s">
        <v>182</v>
      </c>
      <c r="K14" t="s">
        <v>310</v>
      </c>
    </row>
    <row r="15" spans="4:11" ht="15">
      <c r="D15">
        <v>3</v>
      </c>
      <c r="E15">
        <v>5</v>
      </c>
      <c r="H15">
        <v>3</v>
      </c>
      <c r="J15" t="s">
        <v>183</v>
      </c>
      <c r="K15" t="s">
        <v>311</v>
      </c>
    </row>
    <row r="16" spans="4:11" ht="15">
      <c r="D16">
        <v>4</v>
      </c>
      <c r="E16">
        <v>6</v>
      </c>
      <c r="H16">
        <v>4</v>
      </c>
      <c r="J16" t="s">
        <v>184</v>
      </c>
      <c r="K16" t="s">
        <v>312</v>
      </c>
    </row>
    <row r="17" spans="4:11" ht="15">
      <c r="D17">
        <v>5</v>
      </c>
      <c r="E17">
        <v>7</v>
      </c>
      <c r="H17">
        <v>5</v>
      </c>
      <c r="J17" t="s">
        <v>185</v>
      </c>
      <c r="K17" t="s">
        <v>313</v>
      </c>
    </row>
    <row r="18" spans="4:11" ht="15">
      <c r="D18">
        <v>6</v>
      </c>
      <c r="E18">
        <v>8</v>
      </c>
      <c r="H18">
        <v>6</v>
      </c>
      <c r="J18" t="s">
        <v>186</v>
      </c>
      <c r="K18" t="s">
        <v>314</v>
      </c>
    </row>
    <row r="19" spans="4:11" ht="15">
      <c r="D19">
        <v>7</v>
      </c>
      <c r="E19">
        <v>9</v>
      </c>
      <c r="H19">
        <v>7</v>
      </c>
      <c r="J19" t="s">
        <v>187</v>
      </c>
      <c r="K19" t="s">
        <v>315</v>
      </c>
    </row>
    <row r="20" spans="4:11" ht="15">
      <c r="D20">
        <v>8</v>
      </c>
      <c r="H20">
        <v>8</v>
      </c>
      <c r="J20" t="s">
        <v>188</v>
      </c>
      <c r="K20" t="s">
        <v>316</v>
      </c>
    </row>
    <row r="21" spans="4:11" ht="409.5">
      <c r="D21">
        <v>9</v>
      </c>
      <c r="H21">
        <v>9</v>
      </c>
      <c r="J21" t="s">
        <v>189</v>
      </c>
      <c r="K21" s="13" t="s">
        <v>317</v>
      </c>
    </row>
    <row r="22" spans="4:11" ht="409.5">
      <c r="D22">
        <v>10</v>
      </c>
      <c r="J22" t="s">
        <v>190</v>
      </c>
      <c r="K22" s="13" t="s">
        <v>318</v>
      </c>
    </row>
    <row r="23" spans="4:11" ht="409.5">
      <c r="D23">
        <v>11</v>
      </c>
      <c r="J23" t="s">
        <v>191</v>
      </c>
      <c r="K23" s="13" t="s">
        <v>3512</v>
      </c>
    </row>
    <row r="24" spans="10:11" ht="15">
      <c r="J24" t="s">
        <v>192</v>
      </c>
      <c r="K24" t="s">
        <v>249</v>
      </c>
    </row>
    <row r="25" spans="10:11" ht="15">
      <c r="J25" t="s">
        <v>193</v>
      </c>
      <c r="K25" t="s">
        <v>250</v>
      </c>
    </row>
    <row r="26" spans="10:11" ht="15">
      <c r="J26" t="s">
        <v>194</v>
      </c>
      <c r="K26" t="s">
        <v>251</v>
      </c>
    </row>
    <row r="27" spans="10:11" ht="15">
      <c r="J27" t="s">
        <v>195</v>
      </c>
      <c r="K27" t="s">
        <v>252</v>
      </c>
    </row>
    <row r="28" spans="10:11" ht="15">
      <c r="J28" t="s">
        <v>196</v>
      </c>
      <c r="K28" t="s">
        <v>253</v>
      </c>
    </row>
    <row r="29" spans="10:11" ht="15">
      <c r="J29" t="s">
        <v>197</v>
      </c>
      <c r="K29" t="s">
        <v>254</v>
      </c>
    </row>
    <row r="30" spans="10:11" ht="15">
      <c r="J30" t="s">
        <v>198</v>
      </c>
      <c r="K30" t="s">
        <v>255</v>
      </c>
    </row>
    <row r="31" spans="10:11" ht="15">
      <c r="J31" t="s">
        <v>199</v>
      </c>
      <c r="K31" t="s">
        <v>256</v>
      </c>
    </row>
    <row r="32" spans="10:11" ht="15">
      <c r="J32" t="s">
        <v>200</v>
      </c>
      <c r="K32" t="s">
        <v>257</v>
      </c>
    </row>
    <row r="33" spans="10:11" ht="15">
      <c r="J33" t="s">
        <v>201</v>
      </c>
      <c r="K33" t="s">
        <v>258</v>
      </c>
    </row>
    <row r="34" spans="10:11" ht="15">
      <c r="J34" t="s">
        <v>202</v>
      </c>
      <c r="K34" t="s">
        <v>259</v>
      </c>
    </row>
    <row r="35" spans="10:11" ht="15">
      <c r="J35" t="s">
        <v>203</v>
      </c>
      <c r="K35" t="s">
        <v>260</v>
      </c>
    </row>
    <row r="36" spans="10:11" ht="15">
      <c r="J36" t="s">
        <v>204</v>
      </c>
      <c r="K36" t="s">
        <v>261</v>
      </c>
    </row>
    <row r="37" spans="10:11" ht="15">
      <c r="J37" t="s">
        <v>205</v>
      </c>
      <c r="K37" t="s">
        <v>262</v>
      </c>
    </row>
    <row r="38" spans="10:11" ht="15">
      <c r="J38" t="s">
        <v>206</v>
      </c>
      <c r="K38" t="s">
        <v>263</v>
      </c>
    </row>
    <row r="39" spans="10:11" ht="15">
      <c r="J39" t="s">
        <v>207</v>
      </c>
      <c r="K39" t="s">
        <v>264</v>
      </c>
    </row>
    <row r="40" spans="10:11" ht="15">
      <c r="J40" t="s">
        <v>208</v>
      </c>
      <c r="K40" t="s">
        <v>265</v>
      </c>
    </row>
    <row r="41" spans="10:11" ht="15">
      <c r="J41" t="s">
        <v>209</v>
      </c>
      <c r="K41" t="s">
        <v>266</v>
      </c>
    </row>
    <row r="42" spans="10:11" ht="15">
      <c r="J42" t="s">
        <v>210</v>
      </c>
      <c r="K42" t="s">
        <v>267</v>
      </c>
    </row>
    <row r="43" spans="10:11" ht="15">
      <c r="J43" t="s">
        <v>211</v>
      </c>
      <c r="K43" t="s">
        <v>268</v>
      </c>
    </row>
    <row r="44" spans="10:11" ht="15">
      <c r="J44" t="s">
        <v>212</v>
      </c>
      <c r="K44" t="s">
        <v>269</v>
      </c>
    </row>
    <row r="45" spans="10:11" ht="15">
      <c r="J45" t="s">
        <v>213</v>
      </c>
      <c r="K45" t="s">
        <v>270</v>
      </c>
    </row>
    <row r="46" spans="10:11" ht="15">
      <c r="J46" t="s">
        <v>214</v>
      </c>
      <c r="K46" t="s">
        <v>271</v>
      </c>
    </row>
    <row r="47" spans="10:11" ht="15">
      <c r="J47" t="s">
        <v>215</v>
      </c>
      <c r="K47" t="s">
        <v>272</v>
      </c>
    </row>
    <row r="48" spans="10:11" ht="15">
      <c r="J48" t="s">
        <v>216</v>
      </c>
      <c r="K48" t="s">
        <v>273</v>
      </c>
    </row>
    <row r="49" spans="10:11" ht="15">
      <c r="J49" t="s">
        <v>217</v>
      </c>
      <c r="K49" t="s">
        <v>274</v>
      </c>
    </row>
    <row r="50" spans="10:11" ht="15">
      <c r="J50" t="s">
        <v>218</v>
      </c>
      <c r="K50" t="s">
        <v>275</v>
      </c>
    </row>
    <row r="51" spans="10:11" ht="15">
      <c r="J51" t="s">
        <v>219</v>
      </c>
      <c r="K51" t="s">
        <v>276</v>
      </c>
    </row>
    <row r="52" spans="10:11" ht="15">
      <c r="J52" t="s">
        <v>220</v>
      </c>
      <c r="K52" t="s">
        <v>277</v>
      </c>
    </row>
    <row r="53" spans="10:11" ht="15">
      <c r="J53" t="s">
        <v>221</v>
      </c>
      <c r="K53" t="s">
        <v>278</v>
      </c>
    </row>
    <row r="54" spans="10:11" ht="15">
      <c r="J54" t="s">
        <v>222</v>
      </c>
      <c r="K54" t="s">
        <v>279</v>
      </c>
    </row>
    <row r="55" spans="10:11" ht="15">
      <c r="J55" t="s">
        <v>223</v>
      </c>
      <c r="K55" t="s">
        <v>280</v>
      </c>
    </row>
    <row r="56" spans="10:11" ht="15">
      <c r="J56" t="s">
        <v>224</v>
      </c>
      <c r="K56" t="s">
        <v>281</v>
      </c>
    </row>
    <row r="57" spans="10:11" ht="15">
      <c r="J57" t="s">
        <v>225</v>
      </c>
      <c r="K57" t="s">
        <v>282</v>
      </c>
    </row>
    <row r="58" spans="10:11" ht="15">
      <c r="J58" t="s">
        <v>226</v>
      </c>
      <c r="K58" t="s">
        <v>283</v>
      </c>
    </row>
    <row r="59" spans="10:11" ht="15">
      <c r="J59" t="s">
        <v>227</v>
      </c>
      <c r="K59" t="s">
        <v>284</v>
      </c>
    </row>
    <row r="60" spans="10:11" ht="15">
      <c r="J60" t="s">
        <v>228</v>
      </c>
      <c r="K60" t="s">
        <v>285</v>
      </c>
    </row>
    <row r="61" spans="10:11" ht="15">
      <c r="J61" t="s">
        <v>229</v>
      </c>
      <c r="K61" t="s">
        <v>286</v>
      </c>
    </row>
    <row r="62" spans="10:11" ht="15">
      <c r="J62" t="s">
        <v>230</v>
      </c>
      <c r="K62" t="s">
        <v>287</v>
      </c>
    </row>
    <row r="63" spans="10:11" ht="15">
      <c r="J63" t="s">
        <v>231</v>
      </c>
      <c r="K63" t="s">
        <v>288</v>
      </c>
    </row>
    <row r="64" spans="10:11" ht="15">
      <c r="J64" t="s">
        <v>232</v>
      </c>
      <c r="K64" t="s">
        <v>289</v>
      </c>
    </row>
    <row r="65" spans="10:11" ht="15">
      <c r="J65" t="s">
        <v>233</v>
      </c>
      <c r="K65" t="s">
        <v>290</v>
      </c>
    </row>
    <row r="66" spans="10:11" ht="15">
      <c r="J66" t="s">
        <v>234</v>
      </c>
      <c r="K66" t="s">
        <v>291</v>
      </c>
    </row>
    <row r="67" spans="10:11" ht="15">
      <c r="J67" t="s">
        <v>235</v>
      </c>
      <c r="K67" t="s">
        <v>292</v>
      </c>
    </row>
    <row r="68" spans="10:11" ht="15">
      <c r="J68" t="s">
        <v>236</v>
      </c>
      <c r="K68" t="s">
        <v>293</v>
      </c>
    </row>
    <row r="69" spans="10:11" ht="15">
      <c r="J69" t="s">
        <v>237</v>
      </c>
      <c r="K69" t="s">
        <v>294</v>
      </c>
    </row>
    <row r="70" spans="10:11" ht="15">
      <c r="J70" t="s">
        <v>238</v>
      </c>
      <c r="K70" t="s">
        <v>295</v>
      </c>
    </row>
    <row r="71" spans="10:11" ht="15">
      <c r="J71" t="s">
        <v>239</v>
      </c>
      <c r="K71" t="s">
        <v>296</v>
      </c>
    </row>
    <row r="72" spans="10:11" ht="15">
      <c r="J72" t="s">
        <v>240</v>
      </c>
      <c r="K72" t="s">
        <v>297</v>
      </c>
    </row>
    <row r="73" spans="10:11" ht="15">
      <c r="J73" t="s">
        <v>241</v>
      </c>
      <c r="K73" t="s">
        <v>298</v>
      </c>
    </row>
    <row r="74" spans="10:11" ht="15">
      <c r="J74" t="s">
        <v>242</v>
      </c>
      <c r="K74" t="s">
        <v>299</v>
      </c>
    </row>
    <row r="75" spans="10:11" ht="409.5">
      <c r="J75" t="s">
        <v>243</v>
      </c>
      <c r="K75" s="13" t="s">
        <v>300</v>
      </c>
    </row>
    <row r="76" spans="10:11" ht="409.5">
      <c r="J76" t="s">
        <v>244</v>
      </c>
      <c r="K76" s="13" t="s">
        <v>301</v>
      </c>
    </row>
    <row r="77" spans="10:11" ht="409.5">
      <c r="J77" t="s">
        <v>245</v>
      </c>
      <c r="K77" s="65" t="s">
        <v>302</v>
      </c>
    </row>
    <row r="78" spans="10:11" ht="15">
      <c r="J78" t="s">
        <v>246</v>
      </c>
      <c r="K78">
        <v>19</v>
      </c>
    </row>
    <row r="79" spans="10:11" ht="15">
      <c r="J79" t="s">
        <v>319</v>
      </c>
      <c r="K79" t="s">
        <v>3504</v>
      </c>
    </row>
    <row r="80" spans="10:11" ht="409.5">
      <c r="J80" t="s">
        <v>320</v>
      </c>
      <c r="K80" s="13" t="s">
        <v>3505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754B0-4020-4457-9709-13B61C65EC5E}">
  <dimension ref="A1:G26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2068</v>
      </c>
      <c r="B1" s="13" t="s">
        <v>3309</v>
      </c>
      <c r="C1" s="13" t="s">
        <v>3313</v>
      </c>
      <c r="D1" s="13" t="s">
        <v>144</v>
      </c>
      <c r="E1" s="13" t="s">
        <v>3315</v>
      </c>
      <c r="F1" s="13" t="s">
        <v>3316</v>
      </c>
      <c r="G1" s="13" t="s">
        <v>3317</v>
      </c>
    </row>
    <row r="2" spans="1:7" ht="15">
      <c r="A2" s="80" t="s">
        <v>2069</v>
      </c>
      <c r="B2" s="80" t="s">
        <v>3310</v>
      </c>
      <c r="C2" s="113"/>
      <c r="D2" s="80"/>
      <c r="E2" s="80"/>
      <c r="F2" s="80"/>
      <c r="G2" s="80"/>
    </row>
    <row r="3" spans="1:7" ht="15">
      <c r="A3" s="80" t="s">
        <v>2070</v>
      </c>
      <c r="B3" s="80" t="s">
        <v>3311</v>
      </c>
      <c r="C3" s="113"/>
      <c r="D3" s="80"/>
      <c r="E3" s="80"/>
      <c r="F3" s="80"/>
      <c r="G3" s="80"/>
    </row>
    <row r="4" spans="1:7" ht="15">
      <c r="A4" s="80" t="s">
        <v>2071</v>
      </c>
      <c r="B4" s="80" t="s">
        <v>3312</v>
      </c>
      <c r="C4" s="113"/>
      <c r="D4" s="80"/>
      <c r="E4" s="80"/>
      <c r="F4" s="80"/>
      <c r="G4" s="80"/>
    </row>
    <row r="5" spans="1:7" ht="15">
      <c r="A5" s="80" t="s">
        <v>2072</v>
      </c>
      <c r="B5" s="80">
        <v>538</v>
      </c>
      <c r="C5" s="113">
        <v>0.03621432417878298</v>
      </c>
      <c r="D5" s="80"/>
      <c r="E5" s="80"/>
      <c r="F5" s="80"/>
      <c r="G5" s="80"/>
    </row>
    <row r="6" spans="1:7" ht="15">
      <c r="A6" s="80" t="s">
        <v>2073</v>
      </c>
      <c r="B6" s="80">
        <v>804</v>
      </c>
      <c r="C6" s="113">
        <v>0.05411954765751212</v>
      </c>
      <c r="D6" s="80"/>
      <c r="E6" s="80"/>
      <c r="F6" s="80"/>
      <c r="G6" s="80"/>
    </row>
    <row r="7" spans="1:7" ht="15">
      <c r="A7" s="80" t="s">
        <v>2074</v>
      </c>
      <c r="B7" s="80">
        <v>0</v>
      </c>
      <c r="C7" s="113">
        <v>0</v>
      </c>
      <c r="D7" s="80"/>
      <c r="E7" s="80"/>
      <c r="F7" s="80"/>
      <c r="G7" s="80"/>
    </row>
    <row r="8" spans="1:7" ht="15">
      <c r="A8" s="80" t="s">
        <v>2075</v>
      </c>
      <c r="B8" s="80">
        <v>13514</v>
      </c>
      <c r="C8" s="113">
        <v>0.9096661281637048</v>
      </c>
      <c r="D8" s="80"/>
      <c r="E8" s="80"/>
      <c r="F8" s="80"/>
      <c r="G8" s="80"/>
    </row>
    <row r="9" spans="1:7" ht="15">
      <c r="A9" s="80" t="s">
        <v>2076</v>
      </c>
      <c r="B9" s="80">
        <v>14856</v>
      </c>
      <c r="C9" s="113">
        <v>1</v>
      </c>
      <c r="D9" s="80"/>
      <c r="E9" s="80"/>
      <c r="F9" s="80"/>
      <c r="G9" s="80"/>
    </row>
    <row r="10" spans="1:7" ht="15">
      <c r="A10" s="112" t="s">
        <v>2077</v>
      </c>
      <c r="B10" s="112">
        <v>413</v>
      </c>
      <c r="C10" s="114">
        <v>0.024698319875039024</v>
      </c>
      <c r="D10" s="112" t="s">
        <v>3314</v>
      </c>
      <c r="E10" s="112" t="b">
        <v>0</v>
      </c>
      <c r="F10" s="112" t="b">
        <v>0</v>
      </c>
      <c r="G10" s="112" t="b">
        <v>0</v>
      </c>
    </row>
    <row r="11" spans="1:7" ht="15">
      <c r="A11" s="112" t="s">
        <v>2078</v>
      </c>
      <c r="B11" s="112">
        <v>322</v>
      </c>
      <c r="C11" s="114">
        <v>0.019637936307006405</v>
      </c>
      <c r="D11" s="112" t="s">
        <v>3314</v>
      </c>
      <c r="E11" s="112" t="b">
        <v>0</v>
      </c>
      <c r="F11" s="112" t="b">
        <v>0</v>
      </c>
      <c r="G11" s="112" t="b">
        <v>0</v>
      </c>
    </row>
    <row r="12" spans="1:7" ht="15">
      <c r="A12" s="112" t="s">
        <v>2079</v>
      </c>
      <c r="B12" s="112">
        <v>255</v>
      </c>
      <c r="C12" s="114">
        <v>0.016524024508699817</v>
      </c>
      <c r="D12" s="112" t="s">
        <v>3314</v>
      </c>
      <c r="E12" s="112" t="b">
        <v>0</v>
      </c>
      <c r="F12" s="112" t="b">
        <v>0</v>
      </c>
      <c r="G12" s="112" t="b">
        <v>0</v>
      </c>
    </row>
    <row r="13" spans="1:7" ht="15">
      <c r="A13" s="112" t="s">
        <v>2080</v>
      </c>
      <c r="B13" s="112">
        <v>185</v>
      </c>
      <c r="C13" s="114">
        <v>0.012504124613734907</v>
      </c>
      <c r="D13" s="112" t="s">
        <v>3314</v>
      </c>
      <c r="E13" s="112" t="b">
        <v>0</v>
      </c>
      <c r="F13" s="112" t="b">
        <v>0</v>
      </c>
      <c r="G13" s="112" t="b">
        <v>0</v>
      </c>
    </row>
    <row r="14" spans="1:7" ht="15">
      <c r="A14" s="112" t="s">
        <v>2081</v>
      </c>
      <c r="B14" s="112">
        <v>172</v>
      </c>
      <c r="C14" s="114">
        <v>0.007449702261346979</v>
      </c>
      <c r="D14" s="112" t="s">
        <v>3314</v>
      </c>
      <c r="E14" s="112" t="b">
        <v>0</v>
      </c>
      <c r="F14" s="112" t="b">
        <v>0</v>
      </c>
      <c r="G14" s="112" t="b">
        <v>0</v>
      </c>
    </row>
    <row r="15" spans="1:7" ht="15">
      <c r="A15" s="112" t="s">
        <v>2082</v>
      </c>
      <c r="B15" s="112">
        <v>138</v>
      </c>
      <c r="C15" s="114">
        <v>0.007239041919135323</v>
      </c>
      <c r="D15" s="112" t="s">
        <v>3314</v>
      </c>
      <c r="E15" s="112" t="b">
        <v>0</v>
      </c>
      <c r="F15" s="112" t="b">
        <v>0</v>
      </c>
      <c r="G15" s="112" t="b">
        <v>0</v>
      </c>
    </row>
    <row r="16" spans="1:7" ht="15">
      <c r="A16" s="112" t="s">
        <v>2083</v>
      </c>
      <c r="B16" s="112">
        <v>130</v>
      </c>
      <c r="C16" s="114">
        <v>0.00888197763782678</v>
      </c>
      <c r="D16" s="112" t="s">
        <v>3314</v>
      </c>
      <c r="E16" s="112" t="b">
        <v>0</v>
      </c>
      <c r="F16" s="112" t="b">
        <v>0</v>
      </c>
      <c r="G16" s="112" t="b">
        <v>0</v>
      </c>
    </row>
    <row r="17" spans="1:7" ht="15">
      <c r="A17" s="112" t="s">
        <v>2084</v>
      </c>
      <c r="B17" s="112">
        <v>123</v>
      </c>
      <c r="C17" s="114">
        <v>0.0060619989303650436</v>
      </c>
      <c r="D17" s="112" t="s">
        <v>3314</v>
      </c>
      <c r="E17" s="112" t="b">
        <v>0</v>
      </c>
      <c r="F17" s="112" t="b">
        <v>1</v>
      </c>
      <c r="G17" s="112" t="b">
        <v>0</v>
      </c>
    </row>
    <row r="18" spans="1:7" ht="15">
      <c r="A18" s="112" t="s">
        <v>2085</v>
      </c>
      <c r="B18" s="112">
        <v>115</v>
      </c>
      <c r="C18" s="114">
        <v>0.008120993200939633</v>
      </c>
      <c r="D18" s="112" t="s">
        <v>3314</v>
      </c>
      <c r="E18" s="112" t="b">
        <v>0</v>
      </c>
      <c r="F18" s="112" t="b">
        <v>0</v>
      </c>
      <c r="G18" s="112" t="b">
        <v>0</v>
      </c>
    </row>
    <row r="19" spans="1:7" ht="15">
      <c r="A19" s="112" t="s">
        <v>2086</v>
      </c>
      <c r="B19" s="112">
        <v>111</v>
      </c>
      <c r="C19" s="114">
        <v>0.005875677452673381</v>
      </c>
      <c r="D19" s="112" t="s">
        <v>3314</v>
      </c>
      <c r="E19" s="112" t="b">
        <v>0</v>
      </c>
      <c r="F19" s="112" t="b">
        <v>0</v>
      </c>
      <c r="G19" s="112" t="b">
        <v>0</v>
      </c>
    </row>
    <row r="20" spans="1:7" ht="15">
      <c r="A20" s="112" t="s">
        <v>2087</v>
      </c>
      <c r="B20" s="112">
        <v>108</v>
      </c>
      <c r="C20" s="114">
        <v>0.007984096152188105</v>
      </c>
      <c r="D20" s="112" t="s">
        <v>3314</v>
      </c>
      <c r="E20" s="112" t="b">
        <v>0</v>
      </c>
      <c r="F20" s="112" t="b">
        <v>0</v>
      </c>
      <c r="G20" s="112" t="b">
        <v>0</v>
      </c>
    </row>
    <row r="21" spans="1:7" ht="15">
      <c r="A21" s="112" t="s">
        <v>2088</v>
      </c>
      <c r="B21" s="112">
        <v>99</v>
      </c>
      <c r="C21" s="114">
        <v>0.0070702108345877274</v>
      </c>
      <c r="D21" s="112" t="s">
        <v>3314</v>
      </c>
      <c r="E21" s="112" t="b">
        <v>0</v>
      </c>
      <c r="F21" s="112" t="b">
        <v>0</v>
      </c>
      <c r="G21" s="112" t="b">
        <v>0</v>
      </c>
    </row>
    <row r="22" spans="1:7" ht="15">
      <c r="A22" s="112" t="s">
        <v>2089</v>
      </c>
      <c r="B22" s="112">
        <v>96</v>
      </c>
      <c r="C22" s="114">
        <v>0.006855962021418402</v>
      </c>
      <c r="D22" s="112" t="s">
        <v>3314</v>
      </c>
      <c r="E22" s="112" t="b">
        <v>0</v>
      </c>
      <c r="F22" s="112" t="b">
        <v>0</v>
      </c>
      <c r="G22" s="112" t="b">
        <v>0</v>
      </c>
    </row>
    <row r="23" spans="1:7" ht="15">
      <c r="A23" s="112" t="s">
        <v>2090</v>
      </c>
      <c r="B23" s="112">
        <v>93</v>
      </c>
      <c r="C23" s="114">
        <v>0.006641713208249077</v>
      </c>
      <c r="D23" s="112" t="s">
        <v>3314</v>
      </c>
      <c r="E23" s="112" t="b">
        <v>0</v>
      </c>
      <c r="F23" s="112" t="b">
        <v>0</v>
      </c>
      <c r="G23" s="112" t="b">
        <v>0</v>
      </c>
    </row>
    <row r="24" spans="1:7" ht="15">
      <c r="A24" s="112" t="s">
        <v>2091</v>
      </c>
      <c r="B24" s="112">
        <v>87</v>
      </c>
      <c r="C24" s="114">
        <v>0.008651883986587238</v>
      </c>
      <c r="D24" s="112" t="s">
        <v>3314</v>
      </c>
      <c r="E24" s="112" t="b">
        <v>0</v>
      </c>
      <c r="F24" s="112" t="b">
        <v>0</v>
      </c>
      <c r="G24" s="112" t="b">
        <v>0</v>
      </c>
    </row>
    <row r="25" spans="1:7" ht="15">
      <c r="A25" s="112" t="s">
        <v>2092</v>
      </c>
      <c r="B25" s="112">
        <v>85</v>
      </c>
      <c r="C25" s="114">
        <v>0.005183927286011007</v>
      </c>
      <c r="D25" s="112" t="s">
        <v>3314</v>
      </c>
      <c r="E25" s="112" t="b">
        <v>0</v>
      </c>
      <c r="F25" s="112" t="b">
        <v>0</v>
      </c>
      <c r="G25" s="112" t="b">
        <v>0</v>
      </c>
    </row>
    <row r="26" spans="1:7" ht="15">
      <c r="A26" s="112" t="s">
        <v>2093</v>
      </c>
      <c r="B26" s="112">
        <v>85</v>
      </c>
      <c r="C26" s="114">
        <v>0.00621095997312305</v>
      </c>
      <c r="D26" s="112" t="s">
        <v>3314</v>
      </c>
      <c r="E26" s="112" t="b">
        <v>0</v>
      </c>
      <c r="F26" s="112" t="b">
        <v>0</v>
      </c>
      <c r="G26" s="112" t="b">
        <v>0</v>
      </c>
    </row>
    <row r="27" spans="1:7" ht="15">
      <c r="A27" s="112" t="s">
        <v>2094</v>
      </c>
      <c r="B27" s="112">
        <v>72</v>
      </c>
      <c r="C27" s="114">
        <v>0.0052610484478218785</v>
      </c>
      <c r="D27" s="112" t="s">
        <v>3314</v>
      </c>
      <c r="E27" s="112" t="b">
        <v>0</v>
      </c>
      <c r="F27" s="112" t="b">
        <v>0</v>
      </c>
      <c r="G27" s="112" t="b">
        <v>0</v>
      </c>
    </row>
    <row r="28" spans="1:7" ht="15">
      <c r="A28" s="112" t="s">
        <v>2095</v>
      </c>
      <c r="B28" s="112">
        <v>70</v>
      </c>
      <c r="C28" s="114">
        <v>0.004999138973950918</v>
      </c>
      <c r="D28" s="112" t="s">
        <v>3314</v>
      </c>
      <c r="E28" s="112" t="b">
        <v>0</v>
      </c>
      <c r="F28" s="112" t="b">
        <v>0</v>
      </c>
      <c r="G28" s="112" t="b">
        <v>0</v>
      </c>
    </row>
    <row r="29" spans="1:7" ht="15">
      <c r="A29" s="112" t="s">
        <v>2096</v>
      </c>
      <c r="B29" s="112">
        <v>69</v>
      </c>
      <c r="C29" s="114">
        <v>0.005489079907984352</v>
      </c>
      <c r="D29" s="112" t="s">
        <v>3314</v>
      </c>
      <c r="E29" s="112" t="b">
        <v>0</v>
      </c>
      <c r="F29" s="112" t="b">
        <v>0</v>
      </c>
      <c r="G29" s="112" t="b">
        <v>0</v>
      </c>
    </row>
    <row r="30" spans="1:7" ht="15">
      <c r="A30" s="112" t="s">
        <v>2097</v>
      </c>
      <c r="B30" s="112">
        <v>58</v>
      </c>
      <c r="C30" s="114">
        <v>0.006503377281101799</v>
      </c>
      <c r="D30" s="112" t="s">
        <v>3314</v>
      </c>
      <c r="E30" s="112" t="b">
        <v>0</v>
      </c>
      <c r="F30" s="112" t="b">
        <v>0</v>
      </c>
      <c r="G30" s="112" t="b">
        <v>0</v>
      </c>
    </row>
    <row r="31" spans="1:7" ht="15">
      <c r="A31" s="112" t="s">
        <v>2098</v>
      </c>
      <c r="B31" s="112">
        <v>54</v>
      </c>
      <c r="C31" s="114">
        <v>0.004351451051092739</v>
      </c>
      <c r="D31" s="112" t="s">
        <v>3314</v>
      </c>
      <c r="E31" s="112" t="b">
        <v>1</v>
      </c>
      <c r="F31" s="112" t="b">
        <v>0</v>
      </c>
      <c r="G31" s="112" t="b">
        <v>0</v>
      </c>
    </row>
    <row r="32" spans="1:7" ht="15">
      <c r="A32" s="112" t="s">
        <v>2099</v>
      </c>
      <c r="B32" s="112">
        <v>54</v>
      </c>
      <c r="C32" s="114">
        <v>0.003689436864943431</v>
      </c>
      <c r="D32" s="112" t="s">
        <v>3314</v>
      </c>
      <c r="E32" s="112" t="b">
        <v>0</v>
      </c>
      <c r="F32" s="112" t="b">
        <v>0</v>
      </c>
      <c r="G32" s="112" t="b">
        <v>0</v>
      </c>
    </row>
    <row r="33" spans="1:7" ht="15">
      <c r="A33" s="112" t="s">
        <v>2100</v>
      </c>
      <c r="B33" s="112">
        <v>54</v>
      </c>
      <c r="C33" s="114">
        <v>0.003535773330398781</v>
      </c>
      <c r="D33" s="112" t="s">
        <v>3314</v>
      </c>
      <c r="E33" s="112" t="b">
        <v>0</v>
      </c>
      <c r="F33" s="112" t="b">
        <v>0</v>
      </c>
      <c r="G33" s="112" t="b">
        <v>0</v>
      </c>
    </row>
    <row r="34" spans="1:7" ht="15">
      <c r="A34" s="112" t="s">
        <v>2101</v>
      </c>
      <c r="B34" s="112">
        <v>53</v>
      </c>
      <c r="C34" s="114">
        <v>0.007882768785765389</v>
      </c>
      <c r="D34" s="112" t="s">
        <v>3314</v>
      </c>
      <c r="E34" s="112" t="b">
        <v>0</v>
      </c>
      <c r="F34" s="112" t="b">
        <v>0</v>
      </c>
      <c r="G34" s="112" t="b">
        <v>0</v>
      </c>
    </row>
    <row r="35" spans="1:7" ht="15">
      <c r="A35" s="112" t="s">
        <v>2102</v>
      </c>
      <c r="B35" s="112">
        <v>53</v>
      </c>
      <c r="C35" s="114">
        <v>0.0038283796308939836</v>
      </c>
      <c r="D35" s="112" t="s">
        <v>3314</v>
      </c>
      <c r="E35" s="112" t="b">
        <v>0</v>
      </c>
      <c r="F35" s="112" t="b">
        <v>0</v>
      </c>
      <c r="G35" s="112" t="b">
        <v>0</v>
      </c>
    </row>
    <row r="36" spans="1:7" ht="15">
      <c r="A36" s="112" t="s">
        <v>2103</v>
      </c>
      <c r="B36" s="112">
        <v>52</v>
      </c>
      <c r="C36" s="114">
        <v>0.0034773247910555283</v>
      </c>
      <c r="D36" s="112" t="s">
        <v>3314</v>
      </c>
      <c r="E36" s="112" t="b">
        <v>0</v>
      </c>
      <c r="F36" s="112" t="b">
        <v>0</v>
      </c>
      <c r="G36" s="112" t="b">
        <v>0</v>
      </c>
    </row>
    <row r="37" spans="1:7" ht="15">
      <c r="A37" s="112" t="s">
        <v>2104</v>
      </c>
      <c r="B37" s="112">
        <v>52</v>
      </c>
      <c r="C37" s="114">
        <v>0.003440716332344026</v>
      </c>
      <c r="D37" s="112" t="s">
        <v>3314</v>
      </c>
      <c r="E37" s="112" t="b">
        <v>0</v>
      </c>
      <c r="F37" s="112" t="b">
        <v>0</v>
      </c>
      <c r="G37" s="112" t="b">
        <v>0</v>
      </c>
    </row>
    <row r="38" spans="1:7" ht="15">
      <c r="A38" s="112" t="s">
        <v>2105</v>
      </c>
      <c r="B38" s="112">
        <v>51</v>
      </c>
      <c r="C38" s="114">
        <v>0.0035226404121295064</v>
      </c>
      <c r="D38" s="112" t="s">
        <v>3314</v>
      </c>
      <c r="E38" s="112" t="b">
        <v>0</v>
      </c>
      <c r="F38" s="112" t="b">
        <v>0</v>
      </c>
      <c r="G38" s="112" t="b">
        <v>0</v>
      </c>
    </row>
    <row r="39" spans="1:7" ht="15">
      <c r="A39" s="112" t="s">
        <v>2106</v>
      </c>
      <c r="B39" s="112">
        <v>50</v>
      </c>
      <c r="C39" s="114">
        <v>0.003653505866542971</v>
      </c>
      <c r="D39" s="112" t="s">
        <v>3314</v>
      </c>
      <c r="E39" s="112" t="b">
        <v>0</v>
      </c>
      <c r="F39" s="112" t="b">
        <v>0</v>
      </c>
      <c r="G39" s="112" t="b">
        <v>0</v>
      </c>
    </row>
    <row r="40" spans="1:7" ht="15">
      <c r="A40" s="112" t="s">
        <v>2107</v>
      </c>
      <c r="B40" s="112">
        <v>48</v>
      </c>
      <c r="C40" s="114">
        <v>0.008010815673838965</v>
      </c>
      <c r="D40" s="112" t="s">
        <v>3314</v>
      </c>
      <c r="E40" s="112" t="b">
        <v>0</v>
      </c>
      <c r="F40" s="112" t="b">
        <v>0</v>
      </c>
      <c r="G40" s="112" t="b">
        <v>0</v>
      </c>
    </row>
    <row r="41" spans="1:7" ht="15">
      <c r="A41" s="112" t="s">
        <v>2108</v>
      </c>
      <c r="B41" s="112">
        <v>47</v>
      </c>
      <c r="C41" s="114">
        <v>0.0036918674785843494</v>
      </c>
      <c r="D41" s="112" t="s">
        <v>3314</v>
      </c>
      <c r="E41" s="112" t="b">
        <v>0</v>
      </c>
      <c r="F41" s="112" t="b">
        <v>0</v>
      </c>
      <c r="G41" s="112" t="b">
        <v>0</v>
      </c>
    </row>
    <row r="42" spans="1:7" ht="15">
      <c r="A42" s="112" t="s">
        <v>2109</v>
      </c>
      <c r="B42" s="112">
        <v>46</v>
      </c>
      <c r="C42" s="114">
        <v>0.005279044090096819</v>
      </c>
      <c r="D42" s="112" t="s">
        <v>3314</v>
      </c>
      <c r="E42" s="112" t="b">
        <v>0</v>
      </c>
      <c r="F42" s="112" t="b">
        <v>0</v>
      </c>
      <c r="G42" s="112" t="b">
        <v>0</v>
      </c>
    </row>
    <row r="43" spans="1:7" ht="15">
      <c r="A43" s="112" t="s">
        <v>2110</v>
      </c>
      <c r="B43" s="112">
        <v>45</v>
      </c>
      <c r="C43" s="114">
        <v>0.003213732197539876</v>
      </c>
      <c r="D43" s="112" t="s">
        <v>3314</v>
      </c>
      <c r="E43" s="112" t="b">
        <v>0</v>
      </c>
      <c r="F43" s="112" t="b">
        <v>0</v>
      </c>
      <c r="G43" s="112" t="b">
        <v>0</v>
      </c>
    </row>
    <row r="44" spans="1:7" ht="15">
      <c r="A44" s="112" t="s">
        <v>2111</v>
      </c>
      <c r="B44" s="112">
        <v>45</v>
      </c>
      <c r="C44" s="114">
        <v>0.003213732197539876</v>
      </c>
      <c r="D44" s="112" t="s">
        <v>3314</v>
      </c>
      <c r="E44" s="112" t="b">
        <v>0</v>
      </c>
      <c r="F44" s="112" t="b">
        <v>0</v>
      </c>
      <c r="G44" s="112" t="b">
        <v>0</v>
      </c>
    </row>
    <row r="45" spans="1:7" ht="15">
      <c r="A45" s="112" t="s">
        <v>2112</v>
      </c>
      <c r="B45" s="112">
        <v>45</v>
      </c>
      <c r="C45" s="114">
        <v>0.006692916893574387</v>
      </c>
      <c r="D45" s="112" t="s">
        <v>3314</v>
      </c>
      <c r="E45" s="112" t="b">
        <v>0</v>
      </c>
      <c r="F45" s="112" t="b">
        <v>0</v>
      </c>
      <c r="G45" s="112" t="b">
        <v>0</v>
      </c>
    </row>
    <row r="46" spans="1:7" ht="15">
      <c r="A46" s="112" t="s">
        <v>2113</v>
      </c>
      <c r="B46" s="112">
        <v>45</v>
      </c>
      <c r="C46" s="114">
        <v>0.004183432964145652</v>
      </c>
      <c r="D46" s="112" t="s">
        <v>3314</v>
      </c>
      <c r="E46" s="112" t="b">
        <v>0</v>
      </c>
      <c r="F46" s="112" t="b">
        <v>0</v>
      </c>
      <c r="G46" s="112" t="b">
        <v>0</v>
      </c>
    </row>
    <row r="47" spans="1:7" ht="15">
      <c r="A47" s="112" t="s">
        <v>2114</v>
      </c>
      <c r="B47" s="112">
        <v>45</v>
      </c>
      <c r="C47" s="114">
        <v>0.003288155279888674</v>
      </c>
      <c r="D47" s="112" t="s">
        <v>3314</v>
      </c>
      <c r="E47" s="112" t="b">
        <v>0</v>
      </c>
      <c r="F47" s="112" t="b">
        <v>0</v>
      </c>
      <c r="G47" s="112" t="b">
        <v>0</v>
      </c>
    </row>
    <row r="48" spans="1:7" ht="15">
      <c r="A48" s="112" t="s">
        <v>2115</v>
      </c>
      <c r="B48" s="112">
        <v>44</v>
      </c>
      <c r="C48" s="114">
        <v>0.0032150851625578143</v>
      </c>
      <c r="D48" s="112" t="s">
        <v>3314</v>
      </c>
      <c r="E48" s="112" t="b">
        <v>0</v>
      </c>
      <c r="F48" s="112" t="b">
        <v>0</v>
      </c>
      <c r="G48" s="112" t="b">
        <v>0</v>
      </c>
    </row>
    <row r="49" spans="1:7" ht="15">
      <c r="A49" s="112" t="s">
        <v>2116</v>
      </c>
      <c r="B49" s="112">
        <v>44</v>
      </c>
      <c r="C49" s="114">
        <v>0.0032150851625578143</v>
      </c>
      <c r="D49" s="112" t="s">
        <v>3314</v>
      </c>
      <c r="E49" s="112" t="b">
        <v>0</v>
      </c>
      <c r="F49" s="112" t="b">
        <v>0</v>
      </c>
      <c r="G49" s="112" t="b">
        <v>0</v>
      </c>
    </row>
    <row r="50" spans="1:7" ht="15">
      <c r="A50" s="112" t="s">
        <v>2117</v>
      </c>
      <c r="B50" s="112">
        <v>43</v>
      </c>
      <c r="C50" s="114">
        <v>0.0042762185221063365</v>
      </c>
      <c r="D50" s="112" t="s">
        <v>3314</v>
      </c>
      <c r="E50" s="112" t="b">
        <v>0</v>
      </c>
      <c r="F50" s="112" t="b">
        <v>0</v>
      </c>
      <c r="G50" s="112" t="b">
        <v>0</v>
      </c>
    </row>
    <row r="51" spans="1:7" ht="15">
      <c r="A51" s="112" t="s">
        <v>2118</v>
      </c>
      <c r="B51" s="112">
        <v>43</v>
      </c>
      <c r="C51" s="114">
        <v>0.0031060438514800247</v>
      </c>
      <c r="D51" s="112" t="s">
        <v>3314</v>
      </c>
      <c r="E51" s="112" t="b">
        <v>0</v>
      </c>
      <c r="F51" s="112" t="b">
        <v>0</v>
      </c>
      <c r="G51" s="112" t="b">
        <v>0</v>
      </c>
    </row>
    <row r="52" spans="1:7" ht="15">
      <c r="A52" s="112" t="s">
        <v>2119</v>
      </c>
      <c r="B52" s="112">
        <v>43</v>
      </c>
      <c r="C52" s="114">
        <v>0.0031060438514800247</v>
      </c>
      <c r="D52" s="112" t="s">
        <v>3314</v>
      </c>
      <c r="E52" s="112" t="b">
        <v>0</v>
      </c>
      <c r="F52" s="112" t="b">
        <v>0</v>
      </c>
      <c r="G52" s="112" t="b">
        <v>0</v>
      </c>
    </row>
    <row r="53" spans="1:7" ht="15">
      <c r="A53" s="112" t="s">
        <v>2120</v>
      </c>
      <c r="B53" s="112">
        <v>43</v>
      </c>
      <c r="C53" s="114">
        <v>0.003142015045226955</v>
      </c>
      <c r="D53" s="112" t="s">
        <v>3314</v>
      </c>
      <c r="E53" s="112" t="b">
        <v>0</v>
      </c>
      <c r="F53" s="112" t="b">
        <v>0</v>
      </c>
      <c r="G53" s="112" t="b">
        <v>0</v>
      </c>
    </row>
    <row r="54" spans="1:7" ht="15">
      <c r="A54" s="112" t="s">
        <v>2121</v>
      </c>
      <c r="B54" s="112">
        <v>43</v>
      </c>
      <c r="C54" s="114">
        <v>0.0031060438514800247</v>
      </c>
      <c r="D54" s="112" t="s">
        <v>3314</v>
      </c>
      <c r="E54" s="112" t="b">
        <v>0</v>
      </c>
      <c r="F54" s="112" t="b">
        <v>0</v>
      </c>
      <c r="G54" s="112" t="b">
        <v>0</v>
      </c>
    </row>
    <row r="55" spans="1:7" ht="15">
      <c r="A55" s="112" t="s">
        <v>2122</v>
      </c>
      <c r="B55" s="112">
        <v>42</v>
      </c>
      <c r="C55" s="114">
        <v>0.0030689449278960956</v>
      </c>
      <c r="D55" s="112" t="s">
        <v>3314</v>
      </c>
      <c r="E55" s="112" t="b">
        <v>0</v>
      </c>
      <c r="F55" s="112" t="b">
        <v>0</v>
      </c>
      <c r="G55" s="112" t="b">
        <v>0</v>
      </c>
    </row>
    <row r="56" spans="1:7" ht="15">
      <c r="A56" s="112" t="s">
        <v>2123</v>
      </c>
      <c r="B56" s="112">
        <v>42</v>
      </c>
      <c r="C56" s="114">
        <v>0.0030689449278960956</v>
      </c>
      <c r="D56" s="112" t="s">
        <v>3314</v>
      </c>
      <c r="E56" s="112" t="b">
        <v>0</v>
      </c>
      <c r="F56" s="112" t="b">
        <v>0</v>
      </c>
      <c r="G56" s="112" t="b">
        <v>0</v>
      </c>
    </row>
    <row r="57" spans="1:7" ht="15">
      <c r="A57" s="112" t="s">
        <v>2124</v>
      </c>
      <c r="B57" s="112">
        <v>42</v>
      </c>
      <c r="C57" s="114">
        <v>0.0030689449278960956</v>
      </c>
      <c r="D57" s="112" t="s">
        <v>3314</v>
      </c>
      <c r="E57" s="112" t="b">
        <v>0</v>
      </c>
      <c r="F57" s="112" t="b">
        <v>0</v>
      </c>
      <c r="G57" s="112" t="b">
        <v>0</v>
      </c>
    </row>
    <row r="58" spans="1:7" ht="15">
      <c r="A58" s="112" t="s">
        <v>2125</v>
      </c>
      <c r="B58" s="112">
        <v>42</v>
      </c>
      <c r="C58" s="114">
        <v>0.0030689449278960956</v>
      </c>
      <c r="D58" s="112" t="s">
        <v>3314</v>
      </c>
      <c r="E58" s="112" t="b">
        <v>0</v>
      </c>
      <c r="F58" s="112" t="b">
        <v>0</v>
      </c>
      <c r="G58" s="112" t="b">
        <v>0</v>
      </c>
    </row>
    <row r="59" spans="1:7" ht="15">
      <c r="A59" s="112" t="s">
        <v>2126</v>
      </c>
      <c r="B59" s="112">
        <v>41</v>
      </c>
      <c r="C59" s="114">
        <v>0.0035357326193779996</v>
      </c>
      <c r="D59" s="112" t="s">
        <v>3314</v>
      </c>
      <c r="E59" s="112" t="b">
        <v>0</v>
      </c>
      <c r="F59" s="112" t="b">
        <v>0</v>
      </c>
      <c r="G59" s="112" t="b">
        <v>0</v>
      </c>
    </row>
    <row r="60" spans="1:7" ht="15">
      <c r="A60" s="112" t="s">
        <v>2127</v>
      </c>
      <c r="B60" s="112">
        <v>41</v>
      </c>
      <c r="C60" s="114">
        <v>0.004006207965626077</v>
      </c>
      <c r="D60" s="112" t="s">
        <v>3314</v>
      </c>
      <c r="E60" s="112" t="b">
        <v>0</v>
      </c>
      <c r="F60" s="112" t="b">
        <v>0</v>
      </c>
      <c r="G60" s="112" t="b">
        <v>0</v>
      </c>
    </row>
    <row r="61" spans="1:7" ht="15">
      <c r="A61" s="112" t="s">
        <v>2128</v>
      </c>
      <c r="B61" s="112">
        <v>41</v>
      </c>
      <c r="C61" s="114">
        <v>0.0030309994651825218</v>
      </c>
      <c r="D61" s="112" t="s">
        <v>3314</v>
      </c>
      <c r="E61" s="112" t="b">
        <v>0</v>
      </c>
      <c r="F61" s="112" t="b">
        <v>0</v>
      </c>
      <c r="G61" s="112" t="b">
        <v>0</v>
      </c>
    </row>
    <row r="62" spans="1:7" ht="15">
      <c r="A62" s="112" t="s">
        <v>2129</v>
      </c>
      <c r="B62" s="112">
        <v>41</v>
      </c>
      <c r="C62" s="114">
        <v>0.0030669914822963646</v>
      </c>
      <c r="D62" s="112" t="s">
        <v>3314</v>
      </c>
      <c r="E62" s="112" t="b">
        <v>0</v>
      </c>
      <c r="F62" s="112" t="b">
        <v>0</v>
      </c>
      <c r="G62" s="112" t="b">
        <v>0</v>
      </c>
    </row>
    <row r="63" spans="1:7" ht="15">
      <c r="A63" s="112" t="s">
        <v>2130</v>
      </c>
      <c r="B63" s="112">
        <v>36</v>
      </c>
      <c r="C63" s="114">
        <v>0.004345229347407035</v>
      </c>
      <c r="D63" s="112" t="s">
        <v>3314</v>
      </c>
      <c r="E63" s="112" t="b">
        <v>0</v>
      </c>
      <c r="F63" s="112" t="b">
        <v>0</v>
      </c>
      <c r="G63" s="112" t="b">
        <v>0</v>
      </c>
    </row>
    <row r="64" spans="1:7" ht="15">
      <c r="A64" s="112" t="s">
        <v>2131</v>
      </c>
      <c r="B64" s="112">
        <v>35</v>
      </c>
      <c r="C64" s="114">
        <v>0.0027843158953543812</v>
      </c>
      <c r="D64" s="112" t="s">
        <v>3314</v>
      </c>
      <c r="E64" s="112" t="b">
        <v>0</v>
      </c>
      <c r="F64" s="112" t="b">
        <v>0</v>
      </c>
      <c r="G64" s="112" t="b">
        <v>0</v>
      </c>
    </row>
    <row r="65" spans="1:7" ht="15">
      <c r="A65" s="112" t="s">
        <v>2132</v>
      </c>
      <c r="B65" s="112">
        <v>34</v>
      </c>
      <c r="C65" s="114">
        <v>0.0033811960407352424</v>
      </c>
      <c r="D65" s="112" t="s">
        <v>3314</v>
      </c>
      <c r="E65" s="112" t="b">
        <v>0</v>
      </c>
      <c r="F65" s="112" t="b">
        <v>0</v>
      </c>
      <c r="G65" s="112" t="b">
        <v>0</v>
      </c>
    </row>
    <row r="66" spans="1:7" ht="15">
      <c r="A66" s="112" t="s">
        <v>2133</v>
      </c>
      <c r="B66" s="112">
        <v>34</v>
      </c>
      <c r="C66" s="114">
        <v>0.003998653267892751</v>
      </c>
      <c r="D66" s="112" t="s">
        <v>3314</v>
      </c>
      <c r="E66" s="112" t="b">
        <v>0</v>
      </c>
      <c r="F66" s="112" t="b">
        <v>0</v>
      </c>
      <c r="G66" s="112" t="b">
        <v>0</v>
      </c>
    </row>
    <row r="67" spans="1:7" ht="15">
      <c r="A67" s="112" t="s">
        <v>2134</v>
      </c>
      <c r="B67" s="112">
        <v>33</v>
      </c>
      <c r="C67" s="114">
        <v>0.002694243355150223</v>
      </c>
      <c r="D67" s="112" t="s">
        <v>3314</v>
      </c>
      <c r="E67" s="112" t="b">
        <v>0</v>
      </c>
      <c r="F67" s="112" t="b">
        <v>0</v>
      </c>
      <c r="G67" s="112" t="b">
        <v>0</v>
      </c>
    </row>
    <row r="68" spans="1:7" ht="15">
      <c r="A68" s="112" t="s">
        <v>2135</v>
      </c>
      <c r="B68" s="112">
        <v>32</v>
      </c>
      <c r="C68" s="114">
        <v>0.00397085486237506</v>
      </c>
      <c r="D68" s="112" t="s">
        <v>3314</v>
      </c>
      <c r="E68" s="112" t="b">
        <v>0</v>
      </c>
      <c r="F68" s="112" t="b">
        <v>0</v>
      </c>
      <c r="G68" s="112" t="b">
        <v>0</v>
      </c>
    </row>
    <row r="69" spans="1:7" ht="15">
      <c r="A69" s="112" t="s">
        <v>2136</v>
      </c>
      <c r="B69" s="112">
        <v>32</v>
      </c>
      <c r="C69" s="114">
        <v>0.004551991076170362</v>
      </c>
      <c r="D69" s="112" t="s">
        <v>3314</v>
      </c>
      <c r="E69" s="112" t="b">
        <v>0</v>
      </c>
      <c r="F69" s="112" t="b">
        <v>1</v>
      </c>
      <c r="G69" s="112" t="b">
        <v>0</v>
      </c>
    </row>
    <row r="70" spans="1:7" ht="15">
      <c r="A70" s="112" t="s">
        <v>2137</v>
      </c>
      <c r="B70" s="112">
        <v>32</v>
      </c>
      <c r="C70" s="114">
        <v>0.002974885663392464</v>
      </c>
      <c r="D70" s="112" t="s">
        <v>3314</v>
      </c>
      <c r="E70" s="112" t="b">
        <v>0</v>
      </c>
      <c r="F70" s="112" t="b">
        <v>0</v>
      </c>
      <c r="G70" s="112" t="b">
        <v>0</v>
      </c>
    </row>
    <row r="71" spans="1:7" ht="15">
      <c r="A71" s="112" t="s">
        <v>2138</v>
      </c>
      <c r="B71" s="112">
        <v>32</v>
      </c>
      <c r="C71" s="114">
        <v>0.004224712132861128</v>
      </c>
      <c r="D71" s="112" t="s">
        <v>3314</v>
      </c>
      <c r="E71" s="112" t="b">
        <v>0</v>
      </c>
      <c r="F71" s="112" t="b">
        <v>0</v>
      </c>
      <c r="G71" s="112" t="b">
        <v>0</v>
      </c>
    </row>
    <row r="72" spans="1:7" ht="15">
      <c r="A72" s="112" t="s">
        <v>2139</v>
      </c>
      <c r="B72" s="112">
        <v>31</v>
      </c>
      <c r="C72" s="114">
        <v>0.0031989719627422693</v>
      </c>
      <c r="D72" s="112" t="s">
        <v>3314</v>
      </c>
      <c r="E72" s="112" t="b">
        <v>0</v>
      </c>
      <c r="F72" s="112" t="b">
        <v>0</v>
      </c>
      <c r="G72" s="112" t="b">
        <v>0</v>
      </c>
    </row>
    <row r="73" spans="1:7" ht="15">
      <c r="A73" s="112" t="s">
        <v>2140</v>
      </c>
      <c r="B73" s="112">
        <v>30</v>
      </c>
      <c r="C73" s="114">
        <v>0.003156740968402272</v>
      </c>
      <c r="D73" s="112" t="s">
        <v>3314</v>
      </c>
      <c r="E73" s="112" t="b">
        <v>0</v>
      </c>
      <c r="F73" s="112" t="b">
        <v>0</v>
      </c>
      <c r="G73" s="112" t="b">
        <v>0</v>
      </c>
    </row>
    <row r="74" spans="1:7" ht="15">
      <c r="A74" s="112" t="s">
        <v>2141</v>
      </c>
      <c r="B74" s="112">
        <v>30</v>
      </c>
      <c r="C74" s="114">
        <v>0.002550964118349746</v>
      </c>
      <c r="D74" s="112" t="s">
        <v>3314</v>
      </c>
      <c r="E74" s="112" t="b">
        <v>0</v>
      </c>
      <c r="F74" s="112" t="b">
        <v>0</v>
      </c>
      <c r="G74" s="112" t="b">
        <v>0</v>
      </c>
    </row>
    <row r="75" spans="1:7" ht="15">
      <c r="A75" s="112" t="s">
        <v>2142</v>
      </c>
      <c r="B75" s="112">
        <v>29</v>
      </c>
      <c r="C75" s="114">
        <v>0.003707212564988398</v>
      </c>
      <c r="D75" s="112" t="s">
        <v>3314</v>
      </c>
      <c r="E75" s="112" t="b">
        <v>0</v>
      </c>
      <c r="F75" s="112" t="b">
        <v>0</v>
      </c>
      <c r="G75" s="112" t="b">
        <v>0</v>
      </c>
    </row>
    <row r="76" spans="1:7" ht="15">
      <c r="A76" s="112" t="s">
        <v>2143</v>
      </c>
      <c r="B76" s="112">
        <v>28</v>
      </c>
      <c r="C76" s="114">
        <v>0.0026896392076706977</v>
      </c>
      <c r="D76" s="112" t="s">
        <v>3314</v>
      </c>
      <c r="E76" s="112" t="b">
        <v>0</v>
      </c>
      <c r="F76" s="112" t="b">
        <v>0</v>
      </c>
      <c r="G76" s="112" t="b">
        <v>0</v>
      </c>
    </row>
    <row r="77" spans="1:7" ht="15">
      <c r="A77" s="112" t="s">
        <v>2144</v>
      </c>
      <c r="B77" s="112">
        <v>28</v>
      </c>
      <c r="C77" s="114">
        <v>0.003579377648954316</v>
      </c>
      <c r="D77" s="112" t="s">
        <v>3314</v>
      </c>
      <c r="E77" s="112" t="b">
        <v>0</v>
      </c>
      <c r="F77" s="112" t="b">
        <v>0</v>
      </c>
      <c r="G77" s="112" t="b">
        <v>0</v>
      </c>
    </row>
    <row r="78" spans="1:7" ht="15">
      <c r="A78" s="112" t="s">
        <v>2145</v>
      </c>
      <c r="B78" s="112">
        <v>27</v>
      </c>
      <c r="C78" s="114">
        <v>0.002397001649306048</v>
      </c>
      <c r="D78" s="112" t="s">
        <v>3314</v>
      </c>
      <c r="E78" s="112" t="b">
        <v>0</v>
      </c>
      <c r="F78" s="112" t="b">
        <v>0</v>
      </c>
      <c r="G78" s="112" t="b">
        <v>0</v>
      </c>
    </row>
    <row r="79" spans="1:7" ht="15">
      <c r="A79" s="112" t="s">
        <v>2146</v>
      </c>
      <c r="B79" s="112">
        <v>26</v>
      </c>
      <c r="C79" s="114">
        <v>0.002915307057045634</v>
      </c>
      <c r="D79" s="112" t="s">
        <v>3314</v>
      </c>
      <c r="E79" s="112" t="b">
        <v>0</v>
      </c>
      <c r="F79" s="112" t="b">
        <v>1</v>
      </c>
      <c r="G79" s="112" t="b">
        <v>0</v>
      </c>
    </row>
    <row r="80" spans="1:7" ht="15">
      <c r="A80" s="112" t="s">
        <v>2147</v>
      </c>
      <c r="B80" s="112">
        <v>26</v>
      </c>
      <c r="C80" s="114">
        <v>0.002343108455244138</v>
      </c>
      <c r="D80" s="112" t="s">
        <v>3314</v>
      </c>
      <c r="E80" s="112" t="b">
        <v>0</v>
      </c>
      <c r="F80" s="112" t="b">
        <v>0</v>
      </c>
      <c r="G80" s="112" t="b">
        <v>0</v>
      </c>
    </row>
    <row r="81" spans="1:7" ht="15">
      <c r="A81" s="112" t="s">
        <v>2148</v>
      </c>
      <c r="B81" s="112">
        <v>26</v>
      </c>
      <c r="C81" s="114">
        <v>0.0024975221214085046</v>
      </c>
      <c r="D81" s="112" t="s">
        <v>3314</v>
      </c>
      <c r="E81" s="112" t="b">
        <v>0</v>
      </c>
      <c r="F81" s="112" t="b">
        <v>0</v>
      </c>
      <c r="G81" s="112" t="b">
        <v>0</v>
      </c>
    </row>
    <row r="82" spans="1:7" ht="15">
      <c r="A82" s="112" t="s">
        <v>2149</v>
      </c>
      <c r="B82" s="112">
        <v>25</v>
      </c>
      <c r="C82" s="114">
        <v>0.003017520380143775</v>
      </c>
      <c r="D82" s="112" t="s">
        <v>3314</v>
      </c>
      <c r="E82" s="112" t="b">
        <v>0</v>
      </c>
      <c r="F82" s="112" t="b">
        <v>0</v>
      </c>
      <c r="G82" s="112" t="b">
        <v>0</v>
      </c>
    </row>
    <row r="83" spans="1:7" ht="15">
      <c r="A83" s="112" t="s">
        <v>2150</v>
      </c>
      <c r="B83" s="112">
        <v>25</v>
      </c>
      <c r="C83" s="114">
        <v>0.002940186226391729</v>
      </c>
      <c r="D83" s="112" t="s">
        <v>3314</v>
      </c>
      <c r="E83" s="112" t="b">
        <v>0</v>
      </c>
      <c r="F83" s="112" t="b">
        <v>0</v>
      </c>
      <c r="G83" s="112" t="b">
        <v>0</v>
      </c>
    </row>
    <row r="84" spans="1:7" ht="15">
      <c r="A84" s="112" t="s">
        <v>2151</v>
      </c>
      <c r="B84" s="112">
        <v>25</v>
      </c>
      <c r="C84" s="114">
        <v>0.00268449955193139</v>
      </c>
      <c r="D84" s="112" t="s">
        <v>3314</v>
      </c>
      <c r="E84" s="112" t="b">
        <v>0</v>
      </c>
      <c r="F84" s="112" t="b">
        <v>0</v>
      </c>
      <c r="G84" s="112" t="b">
        <v>0</v>
      </c>
    </row>
    <row r="85" spans="1:7" ht="15">
      <c r="A85" s="112" t="s">
        <v>2152</v>
      </c>
      <c r="B85" s="112">
        <v>25</v>
      </c>
      <c r="C85" s="114">
        <v>0.002869045701139576</v>
      </c>
      <c r="D85" s="112" t="s">
        <v>3314</v>
      </c>
      <c r="E85" s="112" t="b">
        <v>0</v>
      </c>
      <c r="F85" s="112" t="b">
        <v>0</v>
      </c>
      <c r="G85" s="112" t="b">
        <v>0</v>
      </c>
    </row>
    <row r="86" spans="1:7" ht="15">
      <c r="A86" s="112" t="s">
        <v>2153</v>
      </c>
      <c r="B86" s="112">
        <v>25</v>
      </c>
      <c r="C86" s="114">
        <v>0.0025317621209046542</v>
      </c>
      <c r="D86" s="112" t="s">
        <v>3314</v>
      </c>
      <c r="E86" s="112" t="b">
        <v>0</v>
      </c>
      <c r="F86" s="112" t="b">
        <v>0</v>
      </c>
      <c r="G86" s="112" t="b">
        <v>0</v>
      </c>
    </row>
    <row r="87" spans="1:7" ht="15">
      <c r="A87" s="112" t="s">
        <v>2154</v>
      </c>
      <c r="B87" s="112">
        <v>24</v>
      </c>
      <c r="C87" s="114">
        <v>0.0028225787773360593</v>
      </c>
      <c r="D87" s="112" t="s">
        <v>3314</v>
      </c>
      <c r="E87" s="112" t="b">
        <v>0</v>
      </c>
      <c r="F87" s="112" t="b">
        <v>0</v>
      </c>
      <c r="G87" s="112" t="b">
        <v>0</v>
      </c>
    </row>
    <row r="88" spans="1:7" ht="15">
      <c r="A88" s="112" t="s">
        <v>2155</v>
      </c>
      <c r="B88" s="112">
        <v>24</v>
      </c>
      <c r="C88" s="114">
        <v>0.0022311642475443478</v>
      </c>
      <c r="D88" s="112" t="s">
        <v>3314</v>
      </c>
      <c r="E88" s="112" t="b">
        <v>0</v>
      </c>
      <c r="F88" s="112" t="b">
        <v>0</v>
      </c>
      <c r="G88" s="112" t="b">
        <v>0</v>
      </c>
    </row>
    <row r="89" spans="1:7" ht="15">
      <c r="A89" s="112" t="s">
        <v>2156</v>
      </c>
      <c r="B89" s="112">
        <v>24</v>
      </c>
      <c r="C89" s="114">
        <v>0.003759948629437557</v>
      </c>
      <c r="D89" s="112" t="s">
        <v>3314</v>
      </c>
      <c r="E89" s="112" t="b">
        <v>0</v>
      </c>
      <c r="F89" s="112" t="b">
        <v>0</v>
      </c>
      <c r="G89" s="112" t="b">
        <v>0</v>
      </c>
    </row>
    <row r="90" spans="1:7" ht="15">
      <c r="A90" s="112" t="s">
        <v>2157</v>
      </c>
      <c r="B90" s="112">
        <v>23</v>
      </c>
      <c r="C90" s="114">
        <v>0.002940203068783902</v>
      </c>
      <c r="D90" s="112" t="s">
        <v>3314</v>
      </c>
      <c r="E90" s="112" t="b">
        <v>0</v>
      </c>
      <c r="F90" s="112" t="b">
        <v>0</v>
      </c>
      <c r="G90" s="112" t="b">
        <v>0</v>
      </c>
    </row>
    <row r="91" spans="1:7" ht="15">
      <c r="A91" s="112" t="s">
        <v>2158</v>
      </c>
      <c r="B91" s="112">
        <v>23</v>
      </c>
      <c r="C91" s="114">
        <v>0.002172999195887687</v>
      </c>
      <c r="D91" s="112" t="s">
        <v>3314</v>
      </c>
      <c r="E91" s="112" t="b">
        <v>1</v>
      </c>
      <c r="F91" s="112" t="b">
        <v>0</v>
      </c>
      <c r="G91" s="112" t="b">
        <v>0</v>
      </c>
    </row>
    <row r="92" spans="1:7" ht="15">
      <c r="A92" s="112" t="s">
        <v>2159</v>
      </c>
      <c r="B92" s="112">
        <v>22</v>
      </c>
      <c r="C92" s="114">
        <v>0.0022279506663960952</v>
      </c>
      <c r="D92" s="112" t="s">
        <v>3314</v>
      </c>
      <c r="E92" s="112" t="b">
        <v>0</v>
      </c>
      <c r="F92" s="112" t="b">
        <v>0</v>
      </c>
      <c r="G92" s="112" t="b">
        <v>0</v>
      </c>
    </row>
    <row r="93" spans="1:7" ht="15">
      <c r="A93" s="112" t="s">
        <v>2160</v>
      </c>
      <c r="B93" s="112">
        <v>22</v>
      </c>
      <c r="C93" s="114">
        <v>0.0024667982790386135</v>
      </c>
      <c r="D93" s="112" t="s">
        <v>3314</v>
      </c>
      <c r="E93" s="112" t="b">
        <v>0</v>
      </c>
      <c r="F93" s="112" t="b">
        <v>1</v>
      </c>
      <c r="G93" s="112" t="b">
        <v>0</v>
      </c>
    </row>
    <row r="94" spans="1:7" ht="15">
      <c r="A94" s="112" t="s">
        <v>2161</v>
      </c>
      <c r="B94" s="112">
        <v>22</v>
      </c>
      <c r="C94" s="114">
        <v>0.0021132879488841194</v>
      </c>
      <c r="D94" s="112" t="s">
        <v>3314</v>
      </c>
      <c r="E94" s="112" t="b">
        <v>0</v>
      </c>
      <c r="F94" s="112" t="b">
        <v>0</v>
      </c>
      <c r="G94" s="112" t="b">
        <v>0</v>
      </c>
    </row>
    <row r="95" spans="1:7" ht="15">
      <c r="A95" s="112" t="s">
        <v>2162</v>
      </c>
      <c r="B95" s="112">
        <v>21</v>
      </c>
      <c r="C95" s="114">
        <v>0.0021266801815599096</v>
      </c>
      <c r="D95" s="112" t="s">
        <v>3314</v>
      </c>
      <c r="E95" s="112" t="b">
        <v>0</v>
      </c>
      <c r="F95" s="112" t="b">
        <v>0</v>
      </c>
      <c r="G95" s="112" t="b">
        <v>0</v>
      </c>
    </row>
    <row r="96" spans="1:7" ht="15">
      <c r="A96" s="112" t="s">
        <v>2163</v>
      </c>
      <c r="B96" s="112">
        <v>21</v>
      </c>
      <c r="C96" s="114">
        <v>0.002254979623622367</v>
      </c>
      <c r="D96" s="112" t="s">
        <v>3314</v>
      </c>
      <c r="E96" s="112" t="b">
        <v>0</v>
      </c>
      <c r="F96" s="112" t="b">
        <v>1</v>
      </c>
      <c r="G96" s="112" t="b">
        <v>0</v>
      </c>
    </row>
    <row r="97" spans="1:7" ht="15">
      <c r="A97" s="112" t="s">
        <v>2164</v>
      </c>
      <c r="B97" s="112">
        <v>21</v>
      </c>
      <c r="C97" s="114">
        <v>0.0020519601775157957</v>
      </c>
      <c r="D97" s="112" t="s">
        <v>3314</v>
      </c>
      <c r="E97" s="112" t="b">
        <v>0</v>
      </c>
      <c r="F97" s="112" t="b">
        <v>0</v>
      </c>
      <c r="G97" s="112" t="b">
        <v>0</v>
      </c>
    </row>
    <row r="98" spans="1:7" ht="15">
      <c r="A98" s="112" t="s">
        <v>2165</v>
      </c>
      <c r="B98" s="112">
        <v>20</v>
      </c>
      <c r="C98" s="114">
        <v>0.0022952365609116604</v>
      </c>
      <c r="D98" s="112" t="s">
        <v>3314</v>
      </c>
      <c r="E98" s="112" t="b">
        <v>0</v>
      </c>
      <c r="F98" s="112" t="b">
        <v>0</v>
      </c>
      <c r="G98" s="112" t="b">
        <v>0</v>
      </c>
    </row>
    <row r="99" spans="1:7" ht="15">
      <c r="A99" s="112" t="s">
        <v>2166</v>
      </c>
      <c r="B99" s="112">
        <v>20</v>
      </c>
      <c r="C99" s="114">
        <v>0.0027353893315281964</v>
      </c>
      <c r="D99" s="112" t="s">
        <v>3314</v>
      </c>
      <c r="E99" s="112" t="b">
        <v>0</v>
      </c>
      <c r="F99" s="112" t="b">
        <v>0</v>
      </c>
      <c r="G99" s="112" t="b">
        <v>0</v>
      </c>
    </row>
    <row r="100" spans="1:7" ht="15">
      <c r="A100" s="112" t="s">
        <v>2167</v>
      </c>
      <c r="B100" s="112">
        <v>20</v>
      </c>
      <c r="C100" s="114">
        <v>0.0028449944226064754</v>
      </c>
      <c r="D100" s="112" t="s">
        <v>3314</v>
      </c>
      <c r="E100" s="112" t="b">
        <v>0</v>
      </c>
      <c r="F100" s="112" t="b">
        <v>0</v>
      </c>
      <c r="G100" s="112" t="b">
        <v>0</v>
      </c>
    </row>
    <row r="101" spans="1:7" ht="15">
      <c r="A101" s="112" t="s">
        <v>2168</v>
      </c>
      <c r="B101" s="112">
        <v>20</v>
      </c>
      <c r="C101" s="114">
        <v>0.0031332905245312977</v>
      </c>
      <c r="D101" s="112" t="s">
        <v>3314</v>
      </c>
      <c r="E101" s="112" t="b">
        <v>0</v>
      </c>
      <c r="F101" s="112" t="b">
        <v>1</v>
      </c>
      <c r="G101" s="112" t="b">
        <v>0</v>
      </c>
    </row>
    <row r="102" spans="1:7" ht="15">
      <c r="A102" s="112" t="s">
        <v>2169</v>
      </c>
      <c r="B102" s="112">
        <v>20</v>
      </c>
      <c r="C102" s="114">
        <v>0.0028449944226064754</v>
      </c>
      <c r="D102" s="112" t="s">
        <v>3314</v>
      </c>
      <c r="E102" s="112" t="b">
        <v>0</v>
      </c>
      <c r="F102" s="112" t="b">
        <v>0</v>
      </c>
      <c r="G102" s="112" t="b">
        <v>0</v>
      </c>
    </row>
    <row r="103" spans="1:7" ht="15">
      <c r="A103" s="112" t="s">
        <v>2170</v>
      </c>
      <c r="B103" s="112">
        <v>20</v>
      </c>
      <c r="C103" s="114">
        <v>0.0031332905245312977</v>
      </c>
      <c r="D103" s="112" t="s">
        <v>3314</v>
      </c>
      <c r="E103" s="112" t="b">
        <v>0</v>
      </c>
      <c r="F103" s="112" t="b">
        <v>0</v>
      </c>
      <c r="G103" s="112" t="b">
        <v>0</v>
      </c>
    </row>
    <row r="104" spans="1:7" ht="15">
      <c r="A104" s="112" t="s">
        <v>2171</v>
      </c>
      <c r="B104" s="112">
        <v>19</v>
      </c>
      <c r="C104" s="114">
        <v>0.00282589824395363</v>
      </c>
      <c r="D104" s="112" t="s">
        <v>3314</v>
      </c>
      <c r="E104" s="112" t="b">
        <v>0</v>
      </c>
      <c r="F104" s="112" t="b">
        <v>0</v>
      </c>
      <c r="G104" s="112" t="b">
        <v>0</v>
      </c>
    </row>
    <row r="105" spans="1:7" ht="15">
      <c r="A105" s="112" t="s">
        <v>2172</v>
      </c>
      <c r="B105" s="112">
        <v>18</v>
      </c>
      <c r="C105" s="114">
        <v>0.0024618503983753768</v>
      </c>
      <c r="D105" s="112" t="s">
        <v>3314</v>
      </c>
      <c r="E105" s="112" t="b">
        <v>0</v>
      </c>
      <c r="F105" s="112" t="b">
        <v>0</v>
      </c>
      <c r="G105" s="112" t="b">
        <v>0</v>
      </c>
    </row>
    <row r="106" spans="1:7" ht="15">
      <c r="A106" s="112" t="s">
        <v>2173</v>
      </c>
      <c r="B106" s="112">
        <v>18</v>
      </c>
      <c r="C106" s="114">
        <v>0.0019328396773906004</v>
      </c>
      <c r="D106" s="112" t="s">
        <v>3314</v>
      </c>
      <c r="E106" s="112" t="b">
        <v>0</v>
      </c>
      <c r="F106" s="112" t="b">
        <v>0</v>
      </c>
      <c r="G106" s="112" t="b">
        <v>0</v>
      </c>
    </row>
    <row r="107" spans="1:7" ht="15">
      <c r="A107" s="112" t="s">
        <v>2174</v>
      </c>
      <c r="B107" s="112">
        <v>18</v>
      </c>
      <c r="C107" s="114">
        <v>0.003263522369421952</v>
      </c>
      <c r="D107" s="112" t="s">
        <v>3314</v>
      </c>
      <c r="E107" s="112" t="b">
        <v>0</v>
      </c>
      <c r="F107" s="112" t="b">
        <v>0</v>
      </c>
      <c r="G107" s="112" t="b">
        <v>0</v>
      </c>
    </row>
    <row r="108" spans="1:7" ht="15">
      <c r="A108" s="112" t="s">
        <v>2175</v>
      </c>
      <c r="B108" s="112">
        <v>18</v>
      </c>
      <c r="C108" s="114">
        <v>0.0018940445810413631</v>
      </c>
      <c r="D108" s="112" t="s">
        <v>3314</v>
      </c>
      <c r="E108" s="112" t="b">
        <v>0</v>
      </c>
      <c r="F108" s="112" t="b">
        <v>0</v>
      </c>
      <c r="G108" s="112" t="b">
        <v>0</v>
      </c>
    </row>
    <row r="109" spans="1:7" ht="15">
      <c r="A109" s="112" t="s">
        <v>2176</v>
      </c>
      <c r="B109" s="112">
        <v>17</v>
      </c>
      <c r="C109" s="114">
        <v>0.0018644649590006518</v>
      </c>
      <c r="D109" s="112" t="s">
        <v>3314</v>
      </c>
      <c r="E109" s="112" t="b">
        <v>0</v>
      </c>
      <c r="F109" s="112" t="b">
        <v>0</v>
      </c>
      <c r="G109" s="112" t="b">
        <v>0</v>
      </c>
    </row>
    <row r="110" spans="1:7" ht="15">
      <c r="A110" s="112" t="s">
        <v>2177</v>
      </c>
      <c r="B110" s="112">
        <v>17</v>
      </c>
      <c r="C110" s="114">
        <v>0.0021095166456367503</v>
      </c>
      <c r="D110" s="112" t="s">
        <v>3314</v>
      </c>
      <c r="E110" s="112" t="b">
        <v>0</v>
      </c>
      <c r="F110" s="112" t="b">
        <v>0</v>
      </c>
      <c r="G110" s="112" t="b">
        <v>0</v>
      </c>
    </row>
    <row r="111" spans="1:7" ht="15">
      <c r="A111" s="112" t="s">
        <v>2178</v>
      </c>
      <c r="B111" s="112">
        <v>17</v>
      </c>
      <c r="C111" s="114">
        <v>0.0019061623065298376</v>
      </c>
      <c r="D111" s="112" t="s">
        <v>3314</v>
      </c>
      <c r="E111" s="112" t="b">
        <v>0</v>
      </c>
      <c r="F111" s="112" t="b">
        <v>0</v>
      </c>
      <c r="G111" s="112" t="b">
        <v>0</v>
      </c>
    </row>
    <row r="112" spans="1:7" ht="15">
      <c r="A112" s="112" t="s">
        <v>2179</v>
      </c>
      <c r="B112" s="112">
        <v>17</v>
      </c>
      <c r="C112" s="114">
        <v>0.0022443783205824738</v>
      </c>
      <c r="D112" s="112" t="s">
        <v>3314</v>
      </c>
      <c r="E112" s="112" t="b">
        <v>0</v>
      </c>
      <c r="F112" s="112" t="b">
        <v>1</v>
      </c>
      <c r="G112" s="112" t="b">
        <v>0</v>
      </c>
    </row>
    <row r="113" spans="1:7" ht="15">
      <c r="A113" s="112" t="s">
        <v>2180</v>
      </c>
      <c r="B113" s="112">
        <v>17</v>
      </c>
      <c r="C113" s="114">
        <v>0.0017888198820946205</v>
      </c>
      <c r="D113" s="112" t="s">
        <v>3314</v>
      </c>
      <c r="E113" s="112" t="b">
        <v>0</v>
      </c>
      <c r="F113" s="112" t="b">
        <v>0</v>
      </c>
      <c r="G113" s="112" t="b">
        <v>0</v>
      </c>
    </row>
    <row r="114" spans="1:7" ht="15">
      <c r="A114" s="112" t="s">
        <v>2181</v>
      </c>
      <c r="B114" s="112">
        <v>17</v>
      </c>
      <c r="C114" s="114">
        <v>0.0023250809317989667</v>
      </c>
      <c r="D114" s="112" t="s">
        <v>3314</v>
      </c>
      <c r="E114" s="112" t="b">
        <v>1</v>
      </c>
      <c r="F114" s="112" t="b">
        <v>0</v>
      </c>
      <c r="G114" s="112" t="b">
        <v>0</v>
      </c>
    </row>
    <row r="115" spans="1:7" ht="15">
      <c r="A115" s="112" t="s">
        <v>2182</v>
      </c>
      <c r="B115" s="112">
        <v>17</v>
      </c>
      <c r="C115" s="114">
        <v>0.0018254596953133449</v>
      </c>
      <c r="D115" s="112" t="s">
        <v>3314</v>
      </c>
      <c r="E115" s="112" t="b">
        <v>0</v>
      </c>
      <c r="F115" s="112" t="b">
        <v>0</v>
      </c>
      <c r="G115" s="112" t="b">
        <v>0</v>
      </c>
    </row>
    <row r="116" spans="1:7" ht="15">
      <c r="A116" s="112" t="s">
        <v>2183</v>
      </c>
      <c r="B116" s="112">
        <v>17</v>
      </c>
      <c r="C116" s="114">
        <v>0.0019993266339463755</v>
      </c>
      <c r="D116" s="112" t="s">
        <v>3314</v>
      </c>
      <c r="E116" s="112" t="b">
        <v>0</v>
      </c>
      <c r="F116" s="112" t="b">
        <v>1</v>
      </c>
      <c r="G116" s="112" t="b">
        <v>0</v>
      </c>
    </row>
    <row r="117" spans="1:7" ht="15">
      <c r="A117" s="112" t="s">
        <v>2184</v>
      </c>
      <c r="B117" s="112">
        <v>17</v>
      </c>
      <c r="C117" s="114">
        <v>0.0023250809317989667</v>
      </c>
      <c r="D117" s="112" t="s">
        <v>3314</v>
      </c>
      <c r="E117" s="112" t="b">
        <v>0</v>
      </c>
      <c r="F117" s="112" t="b">
        <v>0</v>
      </c>
      <c r="G117" s="112" t="b">
        <v>0</v>
      </c>
    </row>
    <row r="118" spans="1:7" ht="15">
      <c r="A118" s="112" t="s">
        <v>2185</v>
      </c>
      <c r="B118" s="112">
        <v>17</v>
      </c>
      <c r="C118" s="114">
        <v>0.0023250809317989667</v>
      </c>
      <c r="D118" s="112" t="s">
        <v>3314</v>
      </c>
      <c r="E118" s="112" t="b">
        <v>0</v>
      </c>
      <c r="F118" s="112" t="b">
        <v>0</v>
      </c>
      <c r="G118" s="112" t="b">
        <v>0</v>
      </c>
    </row>
    <row r="119" spans="1:7" ht="15">
      <c r="A119" s="112" t="s">
        <v>2186</v>
      </c>
      <c r="B119" s="112">
        <v>17</v>
      </c>
      <c r="C119" s="114">
        <v>0.0017888198820946205</v>
      </c>
      <c r="D119" s="112" t="s">
        <v>3314</v>
      </c>
      <c r="E119" s="112" t="b">
        <v>0</v>
      </c>
      <c r="F119" s="112" t="b">
        <v>0</v>
      </c>
      <c r="G119" s="112" t="b">
        <v>0</v>
      </c>
    </row>
    <row r="120" spans="1:7" ht="15">
      <c r="A120" s="112" t="s">
        <v>2187</v>
      </c>
      <c r="B120" s="112">
        <v>17</v>
      </c>
      <c r="C120" s="114">
        <v>0.0022443783205824738</v>
      </c>
      <c r="D120" s="112" t="s">
        <v>3314</v>
      </c>
      <c r="E120" s="112" t="b">
        <v>0</v>
      </c>
      <c r="F120" s="112" t="b">
        <v>0</v>
      </c>
      <c r="G120" s="112" t="b">
        <v>0</v>
      </c>
    </row>
    <row r="121" spans="1:7" ht="15">
      <c r="A121" s="112" t="s">
        <v>2188</v>
      </c>
      <c r="B121" s="112">
        <v>16</v>
      </c>
      <c r="C121" s="114">
        <v>0.0018361892487293286</v>
      </c>
      <c r="D121" s="112" t="s">
        <v>3314</v>
      </c>
      <c r="E121" s="112" t="b">
        <v>0</v>
      </c>
      <c r="F121" s="112" t="b">
        <v>0</v>
      </c>
      <c r="G121" s="112" t="b">
        <v>0</v>
      </c>
    </row>
    <row r="122" spans="1:7" ht="15">
      <c r="A122" s="112" t="s">
        <v>2189</v>
      </c>
      <c r="B122" s="112">
        <v>16</v>
      </c>
      <c r="C122" s="114">
        <v>0.0017940351120280826</v>
      </c>
      <c r="D122" s="112" t="s">
        <v>3314</v>
      </c>
      <c r="E122" s="112" t="b">
        <v>0</v>
      </c>
      <c r="F122" s="112" t="b">
        <v>0</v>
      </c>
      <c r="G122" s="112" t="b">
        <v>0</v>
      </c>
    </row>
    <row r="123" spans="1:7" ht="15">
      <c r="A123" s="112" t="s">
        <v>2190</v>
      </c>
      <c r="B123" s="112">
        <v>16</v>
      </c>
      <c r="C123" s="114">
        <v>0.0018361892487293286</v>
      </c>
      <c r="D123" s="112" t="s">
        <v>3314</v>
      </c>
      <c r="E123" s="112" t="b">
        <v>0</v>
      </c>
      <c r="F123" s="112" t="b">
        <v>0</v>
      </c>
      <c r="G123" s="112" t="b">
        <v>0</v>
      </c>
    </row>
    <row r="124" spans="1:7" ht="15">
      <c r="A124" s="112" t="s">
        <v>2191</v>
      </c>
      <c r="B124" s="112">
        <v>16</v>
      </c>
      <c r="C124" s="114">
        <v>0.0032951851260139874</v>
      </c>
      <c r="D124" s="112" t="s">
        <v>3314</v>
      </c>
      <c r="E124" s="112" t="b">
        <v>0</v>
      </c>
      <c r="F124" s="112" t="b">
        <v>0</v>
      </c>
      <c r="G124" s="112" t="b">
        <v>0</v>
      </c>
    </row>
    <row r="125" spans="1:7" ht="15">
      <c r="A125" s="112" t="s">
        <v>2192</v>
      </c>
      <c r="B125" s="112">
        <v>16</v>
      </c>
      <c r="C125" s="114">
        <v>0.0019312130432920158</v>
      </c>
      <c r="D125" s="112" t="s">
        <v>3314</v>
      </c>
      <c r="E125" s="112" t="b">
        <v>0</v>
      </c>
      <c r="F125" s="112" t="b">
        <v>0</v>
      </c>
      <c r="G125" s="112" t="b">
        <v>0</v>
      </c>
    </row>
    <row r="126" spans="1:7" ht="15">
      <c r="A126" s="112" t="s">
        <v>2193</v>
      </c>
      <c r="B126" s="112">
        <v>16</v>
      </c>
      <c r="C126" s="114">
        <v>0.0017940351120280826</v>
      </c>
      <c r="D126" s="112" t="s">
        <v>3314</v>
      </c>
      <c r="E126" s="112" t="b">
        <v>0</v>
      </c>
      <c r="F126" s="112" t="b">
        <v>0</v>
      </c>
      <c r="G126" s="112" t="b">
        <v>0</v>
      </c>
    </row>
    <row r="127" spans="1:7" ht="15">
      <c r="A127" s="112" t="s">
        <v>2194</v>
      </c>
      <c r="B127" s="112">
        <v>16</v>
      </c>
      <c r="C127" s="114">
        <v>0.002900908772819513</v>
      </c>
      <c r="D127" s="112" t="s">
        <v>3314</v>
      </c>
      <c r="E127" s="112" t="b">
        <v>0</v>
      </c>
      <c r="F127" s="112" t="b">
        <v>0</v>
      </c>
      <c r="G127" s="112" t="b">
        <v>0</v>
      </c>
    </row>
    <row r="128" spans="1:7" ht="15">
      <c r="A128" s="112" t="s">
        <v>2195</v>
      </c>
      <c r="B128" s="112">
        <v>15</v>
      </c>
      <c r="C128" s="114">
        <v>0.0016451161402946928</v>
      </c>
      <c r="D128" s="112" t="s">
        <v>3314</v>
      </c>
      <c r="E128" s="112" t="b">
        <v>0</v>
      </c>
      <c r="F128" s="112" t="b">
        <v>0</v>
      </c>
      <c r="G128" s="112" t="b">
        <v>0</v>
      </c>
    </row>
    <row r="129" spans="1:7" ht="15">
      <c r="A129" s="112" t="s">
        <v>2196</v>
      </c>
      <c r="B129" s="112">
        <v>15</v>
      </c>
      <c r="C129" s="114">
        <v>0.001861338216738309</v>
      </c>
      <c r="D129" s="112" t="s">
        <v>3314</v>
      </c>
      <c r="E129" s="112" t="b">
        <v>0</v>
      </c>
      <c r="F129" s="112" t="b">
        <v>0</v>
      </c>
      <c r="G129" s="112" t="b">
        <v>0</v>
      </c>
    </row>
    <row r="130" spans="1:7" ht="15">
      <c r="A130" s="112" t="s">
        <v>2197</v>
      </c>
      <c r="B130" s="112">
        <v>15</v>
      </c>
      <c r="C130" s="114">
        <v>0.002719601974518293</v>
      </c>
      <c r="D130" s="112" t="s">
        <v>3314</v>
      </c>
      <c r="E130" s="112" t="b">
        <v>0</v>
      </c>
      <c r="F130" s="112" t="b">
        <v>0</v>
      </c>
      <c r="G130" s="112" t="b">
        <v>0</v>
      </c>
    </row>
    <row r="131" spans="1:7" ht="15">
      <c r="A131" s="112" t="s">
        <v>2198</v>
      </c>
      <c r="B131" s="112">
        <v>15</v>
      </c>
      <c r="C131" s="114">
        <v>0.0018105122280862647</v>
      </c>
      <c r="D131" s="112" t="s">
        <v>3314</v>
      </c>
      <c r="E131" s="112" t="b">
        <v>0</v>
      </c>
      <c r="F131" s="112" t="b">
        <v>0</v>
      </c>
      <c r="G131" s="112" t="b">
        <v>0</v>
      </c>
    </row>
    <row r="132" spans="1:7" ht="15">
      <c r="A132" s="112" t="s">
        <v>2199</v>
      </c>
      <c r="B132" s="112">
        <v>15</v>
      </c>
      <c r="C132" s="114">
        <v>0.002230972297858129</v>
      </c>
      <c r="D132" s="112" t="s">
        <v>3314</v>
      </c>
      <c r="E132" s="112" t="b">
        <v>0</v>
      </c>
      <c r="F132" s="112" t="b">
        <v>0</v>
      </c>
      <c r="G132" s="112" t="b">
        <v>0</v>
      </c>
    </row>
    <row r="133" spans="1:7" ht="15">
      <c r="A133" s="112" t="s">
        <v>2200</v>
      </c>
      <c r="B133" s="112">
        <v>15</v>
      </c>
      <c r="C133" s="114">
        <v>0.002719601974518293</v>
      </c>
      <c r="D133" s="112" t="s">
        <v>3314</v>
      </c>
      <c r="E133" s="112" t="b">
        <v>0</v>
      </c>
      <c r="F133" s="112" t="b">
        <v>0</v>
      </c>
      <c r="G133" s="112" t="b">
        <v>0</v>
      </c>
    </row>
    <row r="134" spans="1:7" ht="15">
      <c r="A134" s="112" t="s">
        <v>2201</v>
      </c>
      <c r="B134" s="112">
        <v>15</v>
      </c>
      <c r="C134" s="114">
        <v>0.001861338216738309</v>
      </c>
      <c r="D134" s="112" t="s">
        <v>3314</v>
      </c>
      <c r="E134" s="112" t="b">
        <v>0</v>
      </c>
      <c r="F134" s="112" t="b">
        <v>1</v>
      </c>
      <c r="G134" s="112" t="b">
        <v>0</v>
      </c>
    </row>
    <row r="135" spans="1:7" ht="15">
      <c r="A135" s="112" t="s">
        <v>2202</v>
      </c>
      <c r="B135" s="112">
        <v>15</v>
      </c>
      <c r="C135" s="114">
        <v>0.001861338216738309</v>
      </c>
      <c r="D135" s="112" t="s">
        <v>3314</v>
      </c>
      <c r="E135" s="112" t="b">
        <v>0</v>
      </c>
      <c r="F135" s="112" t="b">
        <v>0</v>
      </c>
      <c r="G135" s="112" t="b">
        <v>0</v>
      </c>
    </row>
    <row r="136" spans="1:7" ht="15">
      <c r="A136" s="112" t="s">
        <v>2203</v>
      </c>
      <c r="B136" s="112">
        <v>15</v>
      </c>
      <c r="C136" s="114">
        <v>0.0018105122280862647</v>
      </c>
      <c r="D136" s="112" t="s">
        <v>3314</v>
      </c>
      <c r="E136" s="112" t="b">
        <v>0</v>
      </c>
      <c r="F136" s="112" t="b">
        <v>0</v>
      </c>
      <c r="G136" s="112" t="b">
        <v>0</v>
      </c>
    </row>
    <row r="137" spans="1:7" ht="15">
      <c r="A137" s="112" t="s">
        <v>2204</v>
      </c>
      <c r="B137" s="112">
        <v>14</v>
      </c>
      <c r="C137" s="114">
        <v>0.001689811412880514</v>
      </c>
      <c r="D137" s="112" t="s">
        <v>3314</v>
      </c>
      <c r="E137" s="112" t="b">
        <v>0</v>
      </c>
      <c r="F137" s="112" t="b">
        <v>0</v>
      </c>
      <c r="G137" s="112" t="b">
        <v>0</v>
      </c>
    </row>
    <row r="138" spans="1:7" ht="15">
      <c r="A138" s="112" t="s">
        <v>2205</v>
      </c>
      <c r="B138" s="112">
        <v>14</v>
      </c>
      <c r="C138" s="114">
        <v>0.001689811412880514</v>
      </c>
      <c r="D138" s="112" t="s">
        <v>3314</v>
      </c>
      <c r="E138" s="112" t="b">
        <v>0</v>
      </c>
      <c r="F138" s="112" t="b">
        <v>0</v>
      </c>
      <c r="G138" s="112" t="b">
        <v>0</v>
      </c>
    </row>
    <row r="139" spans="1:7" ht="15">
      <c r="A139" s="112" t="s">
        <v>2206</v>
      </c>
      <c r="B139" s="112">
        <v>14</v>
      </c>
      <c r="C139" s="114">
        <v>0.0021933033671719085</v>
      </c>
      <c r="D139" s="112" t="s">
        <v>3314</v>
      </c>
      <c r="E139" s="112" t="b">
        <v>1</v>
      </c>
      <c r="F139" s="112" t="b">
        <v>0</v>
      </c>
      <c r="G139" s="112" t="b">
        <v>0</v>
      </c>
    </row>
    <row r="140" spans="1:7" ht="15">
      <c r="A140" s="112" t="s">
        <v>2207</v>
      </c>
      <c r="B140" s="112">
        <v>14</v>
      </c>
      <c r="C140" s="114">
        <v>0.001789688824477158</v>
      </c>
      <c r="D140" s="112" t="s">
        <v>3314</v>
      </c>
      <c r="E140" s="112" t="b">
        <v>0</v>
      </c>
      <c r="F140" s="112" t="b">
        <v>0</v>
      </c>
      <c r="G140" s="112" t="b">
        <v>0</v>
      </c>
    </row>
    <row r="141" spans="1:7" ht="15">
      <c r="A141" s="112" t="s">
        <v>2208</v>
      </c>
      <c r="B141" s="112">
        <v>14</v>
      </c>
      <c r="C141" s="114">
        <v>0.002538295176217074</v>
      </c>
      <c r="D141" s="112" t="s">
        <v>3314</v>
      </c>
      <c r="E141" s="112" t="b">
        <v>0</v>
      </c>
      <c r="F141" s="112" t="b">
        <v>0</v>
      </c>
      <c r="G141" s="112" t="b">
        <v>0</v>
      </c>
    </row>
    <row r="142" spans="1:7" ht="15">
      <c r="A142" s="112" t="s">
        <v>2209</v>
      </c>
      <c r="B142" s="112">
        <v>13</v>
      </c>
      <c r="C142" s="114">
        <v>0.001613159787839868</v>
      </c>
      <c r="D142" s="112" t="s">
        <v>3314</v>
      </c>
      <c r="E142" s="112" t="b">
        <v>1</v>
      </c>
      <c r="F142" s="112" t="b">
        <v>0</v>
      </c>
      <c r="G142" s="112" t="b">
        <v>0</v>
      </c>
    </row>
    <row r="143" spans="1:7" ht="15">
      <c r="A143" s="112" t="s">
        <v>2210</v>
      </c>
      <c r="B143" s="112">
        <v>13</v>
      </c>
      <c r="C143" s="114">
        <v>0.0015691105976747628</v>
      </c>
      <c r="D143" s="112" t="s">
        <v>3314</v>
      </c>
      <c r="E143" s="112" t="b">
        <v>0</v>
      </c>
      <c r="F143" s="112" t="b">
        <v>0</v>
      </c>
      <c r="G143" s="112" t="b">
        <v>0</v>
      </c>
    </row>
    <row r="144" spans="1:7" ht="15">
      <c r="A144" s="112" t="s">
        <v>2211</v>
      </c>
      <c r="B144" s="112">
        <v>13</v>
      </c>
      <c r="C144" s="114">
        <v>0.002356988377915854</v>
      </c>
      <c r="D144" s="112" t="s">
        <v>3314</v>
      </c>
      <c r="E144" s="112" t="b">
        <v>0</v>
      </c>
      <c r="F144" s="112" t="b">
        <v>0</v>
      </c>
      <c r="G144" s="112" t="b">
        <v>0</v>
      </c>
    </row>
    <row r="145" spans="1:7" ht="15">
      <c r="A145" s="112" t="s">
        <v>2212</v>
      </c>
      <c r="B145" s="112">
        <v>13</v>
      </c>
      <c r="C145" s="114">
        <v>0.0020366388409453436</v>
      </c>
      <c r="D145" s="112" t="s">
        <v>3314</v>
      </c>
      <c r="E145" s="112" t="b">
        <v>0</v>
      </c>
      <c r="F145" s="112" t="b">
        <v>0</v>
      </c>
      <c r="G145" s="112" t="b">
        <v>0</v>
      </c>
    </row>
    <row r="146" spans="1:7" ht="15">
      <c r="A146" s="112" t="s">
        <v>2213</v>
      </c>
      <c r="B146" s="112">
        <v>13</v>
      </c>
      <c r="C146" s="114">
        <v>0.0019335093248103784</v>
      </c>
      <c r="D146" s="112" t="s">
        <v>3314</v>
      </c>
      <c r="E146" s="112" t="b">
        <v>0</v>
      </c>
      <c r="F146" s="112" t="b">
        <v>1</v>
      </c>
      <c r="G146" s="112" t="b">
        <v>0</v>
      </c>
    </row>
    <row r="147" spans="1:7" ht="15">
      <c r="A147" s="112" t="s">
        <v>2214</v>
      </c>
      <c r="B147" s="112">
        <v>13</v>
      </c>
      <c r="C147" s="114">
        <v>0.0016618539084430751</v>
      </c>
      <c r="D147" s="112" t="s">
        <v>3314</v>
      </c>
      <c r="E147" s="112" t="b">
        <v>0</v>
      </c>
      <c r="F147" s="112" t="b">
        <v>0</v>
      </c>
      <c r="G147" s="112" t="b">
        <v>0</v>
      </c>
    </row>
    <row r="148" spans="1:7" ht="15">
      <c r="A148" s="112" t="s">
        <v>2215</v>
      </c>
      <c r="B148" s="112">
        <v>13</v>
      </c>
      <c r="C148" s="114">
        <v>0.0016618539084430751</v>
      </c>
      <c r="D148" s="112" t="s">
        <v>3314</v>
      </c>
      <c r="E148" s="112" t="b">
        <v>0</v>
      </c>
      <c r="F148" s="112" t="b">
        <v>0</v>
      </c>
      <c r="G148" s="112" t="b">
        <v>0</v>
      </c>
    </row>
    <row r="149" spans="1:7" ht="15">
      <c r="A149" s="112" t="s">
        <v>2216</v>
      </c>
      <c r="B149" s="112">
        <v>13</v>
      </c>
      <c r="C149" s="114">
        <v>0.0021695959116647197</v>
      </c>
      <c r="D149" s="112" t="s">
        <v>3314</v>
      </c>
      <c r="E149" s="112" t="b">
        <v>0</v>
      </c>
      <c r="F149" s="112" t="b">
        <v>1</v>
      </c>
      <c r="G149" s="112" t="b">
        <v>0</v>
      </c>
    </row>
    <row r="150" spans="1:7" ht="15">
      <c r="A150" s="112" t="s">
        <v>2217</v>
      </c>
      <c r="B150" s="112">
        <v>13</v>
      </c>
      <c r="C150" s="114">
        <v>0.0018492463746942092</v>
      </c>
      <c r="D150" s="112" t="s">
        <v>3314</v>
      </c>
      <c r="E150" s="112" t="b">
        <v>0</v>
      </c>
      <c r="F150" s="112" t="b">
        <v>1</v>
      </c>
      <c r="G150" s="112" t="b">
        <v>0</v>
      </c>
    </row>
    <row r="151" spans="1:7" ht="15">
      <c r="A151" s="112" t="s">
        <v>2218</v>
      </c>
      <c r="B151" s="112">
        <v>13</v>
      </c>
      <c r="C151" s="114">
        <v>0.0015288968377236989</v>
      </c>
      <c r="D151" s="112" t="s">
        <v>3314</v>
      </c>
      <c r="E151" s="112" t="b">
        <v>0</v>
      </c>
      <c r="F151" s="112" t="b">
        <v>0</v>
      </c>
      <c r="G151" s="112" t="b">
        <v>0</v>
      </c>
    </row>
    <row r="152" spans="1:7" ht="15">
      <c r="A152" s="112" t="s">
        <v>2219</v>
      </c>
      <c r="B152" s="112">
        <v>13</v>
      </c>
      <c r="C152" s="114">
        <v>0.0015691105976747628</v>
      </c>
      <c r="D152" s="112" t="s">
        <v>3314</v>
      </c>
      <c r="E152" s="112" t="b">
        <v>0</v>
      </c>
      <c r="F152" s="112" t="b">
        <v>0</v>
      </c>
      <c r="G152" s="112" t="b">
        <v>0</v>
      </c>
    </row>
    <row r="153" spans="1:7" ht="15">
      <c r="A153" s="112" t="s">
        <v>2220</v>
      </c>
      <c r="B153" s="112">
        <v>13</v>
      </c>
      <c r="C153" s="114">
        <v>0.0015288968377236989</v>
      </c>
      <c r="D153" s="112" t="s">
        <v>3314</v>
      </c>
      <c r="E153" s="112" t="b">
        <v>0</v>
      </c>
      <c r="F153" s="112" t="b">
        <v>1</v>
      </c>
      <c r="G153" s="112" t="b">
        <v>0</v>
      </c>
    </row>
    <row r="154" spans="1:7" ht="15">
      <c r="A154" s="112" t="s">
        <v>2221</v>
      </c>
      <c r="B154" s="112">
        <v>13</v>
      </c>
      <c r="C154" s="114">
        <v>0.0018492463746942092</v>
      </c>
      <c r="D154" s="112" t="s">
        <v>3314</v>
      </c>
      <c r="E154" s="112" t="b">
        <v>0</v>
      </c>
      <c r="F154" s="112" t="b">
        <v>0</v>
      </c>
      <c r="G154" s="112" t="b">
        <v>0</v>
      </c>
    </row>
    <row r="155" spans="1:7" ht="15">
      <c r="A155" s="112" t="s">
        <v>2222</v>
      </c>
      <c r="B155" s="112">
        <v>13</v>
      </c>
      <c r="C155" s="114">
        <v>0.0014919037645925793</v>
      </c>
      <c r="D155" s="112" t="s">
        <v>3314</v>
      </c>
      <c r="E155" s="112" t="b">
        <v>0</v>
      </c>
      <c r="F155" s="112" t="b">
        <v>0</v>
      </c>
      <c r="G155" s="112" t="b">
        <v>0</v>
      </c>
    </row>
    <row r="156" spans="1:7" ht="15">
      <c r="A156" s="112" t="s">
        <v>2223</v>
      </c>
      <c r="B156" s="112">
        <v>12</v>
      </c>
      <c r="C156" s="114">
        <v>0.0014112893886680297</v>
      </c>
      <c r="D156" s="112" t="s">
        <v>3314</v>
      </c>
      <c r="E156" s="112" t="b">
        <v>0</v>
      </c>
      <c r="F156" s="112" t="b">
        <v>0</v>
      </c>
      <c r="G156" s="112" t="b">
        <v>0</v>
      </c>
    </row>
    <row r="157" spans="1:7" ht="15">
      <c r="A157" s="112" t="s">
        <v>2224</v>
      </c>
      <c r="B157" s="112">
        <v>12</v>
      </c>
      <c r="C157" s="114">
        <v>0.0014112893886680297</v>
      </c>
      <c r="D157" s="112" t="s">
        <v>3314</v>
      </c>
      <c r="E157" s="112" t="b">
        <v>0</v>
      </c>
      <c r="F157" s="112" t="b">
        <v>0</v>
      </c>
      <c r="G157" s="112" t="b">
        <v>0</v>
      </c>
    </row>
    <row r="158" spans="1:7" ht="15">
      <c r="A158" s="112" t="s">
        <v>2225</v>
      </c>
      <c r="B158" s="112">
        <v>12</v>
      </c>
      <c r="C158" s="114">
        <v>0.0014112893886680297</v>
      </c>
      <c r="D158" s="112" t="s">
        <v>3314</v>
      </c>
      <c r="E158" s="112" t="b">
        <v>0</v>
      </c>
      <c r="F158" s="112" t="b">
        <v>0</v>
      </c>
      <c r="G158" s="112" t="b">
        <v>0</v>
      </c>
    </row>
    <row r="159" spans="1:7" ht="15">
      <c r="A159" s="112" t="s">
        <v>2226</v>
      </c>
      <c r="B159" s="112">
        <v>12</v>
      </c>
      <c r="C159" s="114">
        <v>0.0014484097824690118</v>
      </c>
      <c r="D159" s="112" t="s">
        <v>3314</v>
      </c>
      <c r="E159" s="112" t="b">
        <v>0</v>
      </c>
      <c r="F159" s="112" t="b">
        <v>0</v>
      </c>
      <c r="G159" s="112" t="b">
        <v>0</v>
      </c>
    </row>
    <row r="160" spans="1:7" ht="15">
      <c r="A160" s="112" t="s">
        <v>2227</v>
      </c>
      <c r="B160" s="112">
        <v>12</v>
      </c>
      <c r="C160" s="114">
        <v>0.0018799743147187786</v>
      </c>
      <c r="D160" s="112" t="s">
        <v>3314</v>
      </c>
      <c r="E160" s="112" t="b">
        <v>0</v>
      </c>
      <c r="F160" s="112" t="b">
        <v>0</v>
      </c>
      <c r="G160" s="112" t="b">
        <v>0</v>
      </c>
    </row>
    <row r="161" spans="1:7" ht="15">
      <c r="A161" s="112" t="s">
        <v>2228</v>
      </c>
      <c r="B161" s="112">
        <v>12</v>
      </c>
      <c r="C161" s="114">
        <v>0.0017069966535638852</v>
      </c>
      <c r="D161" s="112" t="s">
        <v>3314</v>
      </c>
      <c r="E161" s="112" t="b">
        <v>0</v>
      </c>
      <c r="F161" s="112" t="b">
        <v>1</v>
      </c>
      <c r="G161" s="112" t="b">
        <v>0</v>
      </c>
    </row>
    <row r="162" spans="1:7" ht="15">
      <c r="A162" s="112" t="s">
        <v>2229</v>
      </c>
      <c r="B162" s="112">
        <v>12</v>
      </c>
      <c r="C162" s="114">
        <v>0.0021756815796146346</v>
      </c>
      <c r="D162" s="112" t="s">
        <v>3314</v>
      </c>
      <c r="E162" s="112" t="b">
        <v>0</v>
      </c>
      <c r="F162" s="112" t="b">
        <v>0</v>
      </c>
      <c r="G162" s="112" t="b">
        <v>0</v>
      </c>
    </row>
    <row r="163" spans="1:7" ht="15">
      <c r="A163" s="112" t="s">
        <v>2230</v>
      </c>
      <c r="B163" s="112">
        <v>12</v>
      </c>
      <c r="C163" s="114">
        <v>0.0014890705733906471</v>
      </c>
      <c r="D163" s="112" t="s">
        <v>3314</v>
      </c>
      <c r="E163" s="112" t="b">
        <v>0</v>
      </c>
      <c r="F163" s="112" t="b">
        <v>0</v>
      </c>
      <c r="G163" s="112" t="b">
        <v>0</v>
      </c>
    </row>
    <row r="164" spans="1:7" ht="15">
      <c r="A164" s="112" t="s">
        <v>2231</v>
      </c>
      <c r="B164" s="112">
        <v>12</v>
      </c>
      <c r="C164" s="114">
        <v>0.0015340189924089923</v>
      </c>
      <c r="D164" s="112" t="s">
        <v>3314</v>
      </c>
      <c r="E164" s="112" t="b">
        <v>0</v>
      </c>
      <c r="F164" s="112" t="b">
        <v>0</v>
      </c>
      <c r="G164" s="112" t="b">
        <v>0</v>
      </c>
    </row>
    <row r="165" spans="1:7" ht="15">
      <c r="A165" s="112" t="s">
        <v>2232</v>
      </c>
      <c r="B165" s="112">
        <v>12</v>
      </c>
      <c r="C165" s="114">
        <v>0.0017069966535638852</v>
      </c>
      <c r="D165" s="112" t="s">
        <v>3314</v>
      </c>
      <c r="E165" s="112" t="b">
        <v>0</v>
      </c>
      <c r="F165" s="112" t="b">
        <v>0</v>
      </c>
      <c r="G165" s="112" t="b">
        <v>0</v>
      </c>
    </row>
    <row r="166" spans="1:7" ht="15">
      <c r="A166" s="112" t="s">
        <v>2233</v>
      </c>
      <c r="B166" s="112">
        <v>12</v>
      </c>
      <c r="C166" s="114">
        <v>0.0015842670498229228</v>
      </c>
      <c r="D166" s="112" t="s">
        <v>3314</v>
      </c>
      <c r="E166" s="112" t="b">
        <v>0</v>
      </c>
      <c r="F166" s="112" t="b">
        <v>0</v>
      </c>
      <c r="G166" s="112" t="b">
        <v>0</v>
      </c>
    </row>
    <row r="167" spans="1:7" ht="15">
      <c r="A167" s="112" t="s">
        <v>2234</v>
      </c>
      <c r="B167" s="112">
        <v>11</v>
      </c>
      <c r="C167" s="114">
        <v>0.002265439774134616</v>
      </c>
      <c r="D167" s="112" t="s">
        <v>3314</v>
      </c>
      <c r="E167" s="112" t="b">
        <v>0</v>
      </c>
      <c r="F167" s="112" t="b">
        <v>0</v>
      </c>
      <c r="G167" s="112" t="b">
        <v>0</v>
      </c>
    </row>
    <row r="168" spans="1:7" ht="15">
      <c r="A168" s="112" t="s">
        <v>2235</v>
      </c>
      <c r="B168" s="112">
        <v>11</v>
      </c>
      <c r="C168" s="114">
        <v>0.0014522447956710125</v>
      </c>
      <c r="D168" s="112" t="s">
        <v>3314</v>
      </c>
      <c r="E168" s="112" t="b">
        <v>0</v>
      </c>
      <c r="F168" s="112" t="b">
        <v>0</v>
      </c>
      <c r="G168" s="112" t="b">
        <v>0</v>
      </c>
    </row>
    <row r="169" spans="1:7" ht="15">
      <c r="A169" s="112" t="s">
        <v>2236</v>
      </c>
      <c r="B169" s="112">
        <v>11</v>
      </c>
      <c r="C169" s="114">
        <v>0.0013277089672632607</v>
      </c>
      <c r="D169" s="112" t="s">
        <v>3314</v>
      </c>
      <c r="E169" s="112" t="b">
        <v>0</v>
      </c>
      <c r="F169" s="112" t="b">
        <v>0</v>
      </c>
      <c r="G169" s="112" t="b">
        <v>0</v>
      </c>
    </row>
    <row r="170" spans="1:7" ht="15">
      <c r="A170" s="112" t="s">
        <v>2237</v>
      </c>
      <c r="B170" s="112">
        <v>11</v>
      </c>
      <c r="C170" s="114">
        <v>0.0018358119252547627</v>
      </c>
      <c r="D170" s="112" t="s">
        <v>3314</v>
      </c>
      <c r="E170" s="112" t="b">
        <v>0</v>
      </c>
      <c r="F170" s="112" t="b">
        <v>0</v>
      </c>
      <c r="G170" s="112" t="b">
        <v>0</v>
      </c>
    </row>
    <row r="171" spans="1:7" ht="15">
      <c r="A171" s="112" t="s">
        <v>2238</v>
      </c>
      <c r="B171" s="112">
        <v>11</v>
      </c>
      <c r="C171" s="114">
        <v>0.0013277089672632607</v>
      </c>
      <c r="D171" s="112" t="s">
        <v>3314</v>
      </c>
      <c r="E171" s="112" t="b">
        <v>0</v>
      </c>
      <c r="F171" s="112" t="b">
        <v>0</v>
      </c>
      <c r="G171" s="112" t="b">
        <v>0</v>
      </c>
    </row>
    <row r="172" spans="1:7" ht="15">
      <c r="A172" s="112" t="s">
        <v>2239</v>
      </c>
      <c r="B172" s="112">
        <v>11</v>
      </c>
      <c r="C172" s="114">
        <v>0.0014522447956710125</v>
      </c>
      <c r="D172" s="112" t="s">
        <v>3314</v>
      </c>
      <c r="E172" s="112" t="b">
        <v>0</v>
      </c>
      <c r="F172" s="112" t="b">
        <v>0</v>
      </c>
      <c r="G172" s="112" t="b">
        <v>0</v>
      </c>
    </row>
    <row r="173" spans="1:7" ht="15">
      <c r="A173" s="112" t="s">
        <v>2240</v>
      </c>
      <c r="B173" s="112">
        <v>11</v>
      </c>
      <c r="C173" s="114">
        <v>0.0014061840763749096</v>
      </c>
      <c r="D173" s="112" t="s">
        <v>3314</v>
      </c>
      <c r="E173" s="112" t="b">
        <v>0</v>
      </c>
      <c r="F173" s="112" t="b">
        <v>0</v>
      </c>
      <c r="G173" s="112" t="b">
        <v>0</v>
      </c>
    </row>
    <row r="174" spans="1:7" ht="15">
      <c r="A174" s="112" t="s">
        <v>2241</v>
      </c>
      <c r="B174" s="112">
        <v>11</v>
      </c>
      <c r="C174" s="114">
        <v>0.001504464132340508</v>
      </c>
      <c r="D174" s="112" t="s">
        <v>3314</v>
      </c>
      <c r="E174" s="112" t="b">
        <v>0</v>
      </c>
      <c r="F174" s="112" t="b">
        <v>0</v>
      </c>
      <c r="G174" s="112" t="b">
        <v>0</v>
      </c>
    </row>
    <row r="175" spans="1:7" ht="15">
      <c r="A175" s="112" t="s">
        <v>2242</v>
      </c>
      <c r="B175" s="112">
        <v>11</v>
      </c>
      <c r="C175" s="114">
        <v>0.0014522447956710125</v>
      </c>
      <c r="D175" s="112" t="s">
        <v>3314</v>
      </c>
      <c r="E175" s="112" t="b">
        <v>0</v>
      </c>
      <c r="F175" s="112" t="b">
        <v>1</v>
      </c>
      <c r="G175" s="112" t="b">
        <v>0</v>
      </c>
    </row>
    <row r="176" spans="1:7" ht="15">
      <c r="A176" s="112" t="s">
        <v>2243</v>
      </c>
      <c r="B176" s="112">
        <v>11</v>
      </c>
      <c r="C176" s="114">
        <v>0.0014522447956710125</v>
      </c>
      <c r="D176" s="112" t="s">
        <v>3314</v>
      </c>
      <c r="E176" s="112" t="b">
        <v>0</v>
      </c>
      <c r="F176" s="112" t="b">
        <v>1</v>
      </c>
      <c r="G176" s="112" t="b">
        <v>0</v>
      </c>
    </row>
    <row r="177" spans="1:7" ht="15">
      <c r="A177" s="112" t="s">
        <v>2244</v>
      </c>
      <c r="B177" s="112">
        <v>11</v>
      </c>
      <c r="C177" s="114">
        <v>0.0018358119252547627</v>
      </c>
      <c r="D177" s="112" t="s">
        <v>3314</v>
      </c>
      <c r="E177" s="112" t="b">
        <v>0</v>
      </c>
      <c r="F177" s="112" t="b">
        <v>0</v>
      </c>
      <c r="G177" s="112" t="b">
        <v>0</v>
      </c>
    </row>
    <row r="178" spans="1:7" ht="15">
      <c r="A178" s="112" t="s">
        <v>2245</v>
      </c>
      <c r="B178" s="112">
        <v>11</v>
      </c>
      <c r="C178" s="114">
        <v>0.0018358119252547627</v>
      </c>
      <c r="D178" s="112" t="s">
        <v>3314</v>
      </c>
      <c r="E178" s="112" t="b">
        <v>0</v>
      </c>
      <c r="F178" s="112" t="b">
        <v>0</v>
      </c>
      <c r="G178" s="112" t="b">
        <v>0</v>
      </c>
    </row>
    <row r="179" spans="1:7" ht="15">
      <c r="A179" s="112" t="s">
        <v>2246</v>
      </c>
      <c r="B179" s="112">
        <v>11</v>
      </c>
      <c r="C179" s="114">
        <v>0.0014522447956710125</v>
      </c>
      <c r="D179" s="112" t="s">
        <v>3314</v>
      </c>
      <c r="E179" s="112" t="b">
        <v>0</v>
      </c>
      <c r="F179" s="112" t="b">
        <v>0</v>
      </c>
      <c r="G179" s="112" t="b">
        <v>0</v>
      </c>
    </row>
    <row r="180" spans="1:7" ht="15">
      <c r="A180" s="112" t="s">
        <v>2247</v>
      </c>
      <c r="B180" s="112">
        <v>11</v>
      </c>
      <c r="C180" s="114">
        <v>0.0016360463517626279</v>
      </c>
      <c r="D180" s="112" t="s">
        <v>3314</v>
      </c>
      <c r="E180" s="112" t="b">
        <v>0</v>
      </c>
      <c r="F180" s="112" t="b">
        <v>0</v>
      </c>
      <c r="G180" s="112" t="b">
        <v>0</v>
      </c>
    </row>
    <row r="181" spans="1:7" ht="15">
      <c r="A181" s="112" t="s">
        <v>2248</v>
      </c>
      <c r="B181" s="112">
        <v>11</v>
      </c>
      <c r="C181" s="114">
        <v>0.0015647469324335615</v>
      </c>
      <c r="D181" s="112" t="s">
        <v>3314</v>
      </c>
      <c r="E181" s="112" t="b">
        <v>0</v>
      </c>
      <c r="F181" s="112" t="b">
        <v>0</v>
      </c>
      <c r="G181" s="112" t="b">
        <v>0</v>
      </c>
    </row>
    <row r="182" spans="1:7" ht="15">
      <c r="A182" s="112" t="s">
        <v>2249</v>
      </c>
      <c r="B182" s="112">
        <v>11</v>
      </c>
      <c r="C182" s="114">
        <v>0.0019943747813134147</v>
      </c>
      <c r="D182" s="112" t="s">
        <v>3314</v>
      </c>
      <c r="E182" s="112" t="b">
        <v>0</v>
      </c>
      <c r="F182" s="112" t="b">
        <v>0</v>
      </c>
      <c r="G182" s="112" t="b">
        <v>0</v>
      </c>
    </row>
    <row r="183" spans="1:7" ht="15">
      <c r="A183" s="112" t="s">
        <v>2250</v>
      </c>
      <c r="B183" s="112">
        <v>11</v>
      </c>
      <c r="C183" s="114">
        <v>0.0018358119252547627</v>
      </c>
      <c r="D183" s="112" t="s">
        <v>3314</v>
      </c>
      <c r="E183" s="112" t="b">
        <v>0</v>
      </c>
      <c r="F183" s="112" t="b">
        <v>0</v>
      </c>
      <c r="G183" s="112" t="b">
        <v>0</v>
      </c>
    </row>
    <row r="184" spans="1:7" ht="15">
      <c r="A184" s="112" t="s">
        <v>2251</v>
      </c>
      <c r="B184" s="112">
        <v>10</v>
      </c>
      <c r="C184" s="114">
        <v>0.002059490703758742</v>
      </c>
      <c r="D184" s="112" t="s">
        <v>3314</v>
      </c>
      <c r="E184" s="112" t="b">
        <v>0</v>
      </c>
      <c r="F184" s="112" t="b">
        <v>0</v>
      </c>
      <c r="G184" s="112" t="b">
        <v>0</v>
      </c>
    </row>
    <row r="185" spans="1:7" ht="15">
      <c r="A185" s="112" t="s">
        <v>2252</v>
      </c>
      <c r="B185" s="112">
        <v>10</v>
      </c>
      <c r="C185" s="114">
        <v>0.0013202225415191024</v>
      </c>
      <c r="D185" s="112" t="s">
        <v>3314</v>
      </c>
      <c r="E185" s="112" t="b">
        <v>0</v>
      </c>
      <c r="F185" s="112" t="b">
        <v>0</v>
      </c>
      <c r="G185" s="112" t="b">
        <v>0</v>
      </c>
    </row>
    <row r="186" spans="1:7" ht="15">
      <c r="A186" s="112" t="s">
        <v>2253</v>
      </c>
      <c r="B186" s="112">
        <v>10</v>
      </c>
      <c r="C186" s="114">
        <v>0.0013202225415191024</v>
      </c>
      <c r="D186" s="112" t="s">
        <v>3314</v>
      </c>
      <c r="E186" s="112" t="b">
        <v>0</v>
      </c>
      <c r="F186" s="112" t="b">
        <v>0</v>
      </c>
      <c r="G186" s="112" t="b">
        <v>0</v>
      </c>
    </row>
    <row r="187" spans="1:7" ht="15">
      <c r="A187" s="112" t="s">
        <v>2254</v>
      </c>
      <c r="B187" s="112">
        <v>10</v>
      </c>
      <c r="C187" s="114">
        <v>0.0013202225415191024</v>
      </c>
      <c r="D187" s="112" t="s">
        <v>3314</v>
      </c>
      <c r="E187" s="112" t="b">
        <v>0</v>
      </c>
      <c r="F187" s="112" t="b">
        <v>0</v>
      </c>
      <c r="G187" s="112" t="b">
        <v>0</v>
      </c>
    </row>
    <row r="188" spans="1:7" ht="15">
      <c r="A188" s="112" t="s">
        <v>2255</v>
      </c>
      <c r="B188" s="112">
        <v>10</v>
      </c>
      <c r="C188" s="114">
        <v>0.0014873148652387526</v>
      </c>
      <c r="D188" s="112" t="s">
        <v>3314</v>
      </c>
      <c r="E188" s="112" t="b">
        <v>0</v>
      </c>
      <c r="F188" s="112" t="b">
        <v>0</v>
      </c>
      <c r="G188" s="112" t="b">
        <v>0</v>
      </c>
    </row>
    <row r="189" spans="1:7" ht="15">
      <c r="A189" s="112" t="s">
        <v>2256</v>
      </c>
      <c r="B189" s="112">
        <v>10</v>
      </c>
      <c r="C189" s="114">
        <v>0.0014873148652387526</v>
      </c>
      <c r="D189" s="112" t="s">
        <v>3314</v>
      </c>
      <c r="E189" s="112" t="b">
        <v>0</v>
      </c>
      <c r="F189" s="112" t="b">
        <v>0</v>
      </c>
      <c r="G189" s="112" t="b">
        <v>0</v>
      </c>
    </row>
    <row r="190" spans="1:7" ht="15">
      <c r="A190" s="112" t="s">
        <v>2257</v>
      </c>
      <c r="B190" s="112">
        <v>10</v>
      </c>
      <c r="C190" s="114">
        <v>0.0013676946657640982</v>
      </c>
      <c r="D190" s="112" t="s">
        <v>3314</v>
      </c>
      <c r="E190" s="112" t="b">
        <v>0</v>
      </c>
      <c r="F190" s="112" t="b">
        <v>0</v>
      </c>
      <c r="G190" s="112" t="b">
        <v>0</v>
      </c>
    </row>
    <row r="191" spans="1:7" ht="15">
      <c r="A191" s="112" t="s">
        <v>2258</v>
      </c>
      <c r="B191" s="112">
        <v>10</v>
      </c>
      <c r="C191" s="114">
        <v>0.0014224972113032377</v>
      </c>
      <c r="D191" s="112" t="s">
        <v>3314</v>
      </c>
      <c r="E191" s="112" t="b">
        <v>0</v>
      </c>
      <c r="F191" s="112" t="b">
        <v>0</v>
      </c>
      <c r="G191" s="112" t="b">
        <v>0</v>
      </c>
    </row>
    <row r="192" spans="1:7" ht="15">
      <c r="A192" s="112" t="s">
        <v>2259</v>
      </c>
      <c r="B192" s="112">
        <v>10</v>
      </c>
      <c r="C192" s="114">
        <v>0.0014224972113032377</v>
      </c>
      <c r="D192" s="112" t="s">
        <v>3314</v>
      </c>
      <c r="E192" s="112" t="b">
        <v>0</v>
      </c>
      <c r="F192" s="112" t="b">
        <v>0</v>
      </c>
      <c r="G192" s="112" t="b">
        <v>0</v>
      </c>
    </row>
    <row r="193" spans="1:7" ht="15">
      <c r="A193" s="112" t="s">
        <v>2260</v>
      </c>
      <c r="B193" s="112">
        <v>10</v>
      </c>
      <c r="C193" s="114">
        <v>0.002059490703758742</v>
      </c>
      <c r="D193" s="112" t="s">
        <v>3314</v>
      </c>
      <c r="E193" s="112" t="b">
        <v>0</v>
      </c>
      <c r="F193" s="112" t="b">
        <v>0</v>
      </c>
      <c r="G193" s="112" t="b">
        <v>0</v>
      </c>
    </row>
    <row r="194" spans="1:7" ht="15">
      <c r="A194" s="112" t="s">
        <v>2261</v>
      </c>
      <c r="B194" s="112">
        <v>10</v>
      </c>
      <c r="C194" s="114">
        <v>0.0013676946657640982</v>
      </c>
      <c r="D194" s="112" t="s">
        <v>3314</v>
      </c>
      <c r="E194" s="112" t="b">
        <v>0</v>
      </c>
      <c r="F194" s="112" t="b">
        <v>0</v>
      </c>
      <c r="G194" s="112" t="b">
        <v>0</v>
      </c>
    </row>
    <row r="195" spans="1:7" ht="15">
      <c r="A195" s="112" t="s">
        <v>2262</v>
      </c>
      <c r="B195" s="112">
        <v>10</v>
      </c>
      <c r="C195" s="114">
        <v>0.0014873148652387526</v>
      </c>
      <c r="D195" s="112" t="s">
        <v>3314</v>
      </c>
      <c r="E195" s="112" t="b">
        <v>0</v>
      </c>
      <c r="F195" s="112" t="b">
        <v>0</v>
      </c>
      <c r="G195" s="112" t="b">
        <v>0</v>
      </c>
    </row>
    <row r="196" spans="1:7" ht="15">
      <c r="A196" s="112" t="s">
        <v>2263</v>
      </c>
      <c r="B196" s="112">
        <v>10</v>
      </c>
      <c r="C196" s="114">
        <v>0.0012408921444922061</v>
      </c>
      <c r="D196" s="112" t="s">
        <v>3314</v>
      </c>
      <c r="E196" s="112" t="b">
        <v>0</v>
      </c>
      <c r="F196" s="112" t="b">
        <v>0</v>
      </c>
      <c r="G196" s="112" t="b">
        <v>0</v>
      </c>
    </row>
    <row r="197" spans="1:7" ht="15">
      <c r="A197" s="112" t="s">
        <v>2264</v>
      </c>
      <c r="B197" s="112">
        <v>10</v>
      </c>
      <c r="C197" s="114">
        <v>0.0014224972113032377</v>
      </c>
      <c r="D197" s="112" t="s">
        <v>3314</v>
      </c>
      <c r="E197" s="112" t="b">
        <v>0</v>
      </c>
      <c r="F197" s="112" t="b">
        <v>0</v>
      </c>
      <c r="G197" s="112" t="b">
        <v>0</v>
      </c>
    </row>
    <row r="198" spans="1:7" ht="15">
      <c r="A198" s="112" t="s">
        <v>2265</v>
      </c>
      <c r="B198" s="112">
        <v>10</v>
      </c>
      <c r="C198" s="114">
        <v>0.0014873148652387526</v>
      </c>
      <c r="D198" s="112" t="s">
        <v>3314</v>
      </c>
      <c r="E198" s="112" t="b">
        <v>0</v>
      </c>
      <c r="F198" s="112" t="b">
        <v>0</v>
      </c>
      <c r="G198" s="112" t="b">
        <v>0</v>
      </c>
    </row>
    <row r="199" spans="1:7" ht="15">
      <c r="A199" s="112" t="s">
        <v>2266</v>
      </c>
      <c r="B199" s="112">
        <v>10</v>
      </c>
      <c r="C199" s="114">
        <v>0.002059490703758742</v>
      </c>
      <c r="D199" s="112" t="s">
        <v>3314</v>
      </c>
      <c r="E199" s="112" t="b">
        <v>0</v>
      </c>
      <c r="F199" s="112" t="b">
        <v>0</v>
      </c>
      <c r="G199" s="112" t="b">
        <v>0</v>
      </c>
    </row>
    <row r="200" spans="1:7" ht="15">
      <c r="A200" s="112" t="s">
        <v>2267</v>
      </c>
      <c r="B200" s="112">
        <v>10</v>
      </c>
      <c r="C200" s="114">
        <v>0.0013202225415191024</v>
      </c>
      <c r="D200" s="112" t="s">
        <v>3314</v>
      </c>
      <c r="E200" s="112" t="b">
        <v>0</v>
      </c>
      <c r="F200" s="112" t="b">
        <v>0</v>
      </c>
      <c r="G200" s="112" t="b">
        <v>0</v>
      </c>
    </row>
    <row r="201" spans="1:7" ht="15">
      <c r="A201" s="112" t="s">
        <v>2268</v>
      </c>
      <c r="B201" s="112">
        <v>10</v>
      </c>
      <c r="C201" s="114">
        <v>0.0013202225415191024</v>
      </c>
      <c r="D201" s="112" t="s">
        <v>3314</v>
      </c>
      <c r="E201" s="112" t="b">
        <v>0</v>
      </c>
      <c r="F201" s="112" t="b">
        <v>0</v>
      </c>
      <c r="G201" s="112" t="b">
        <v>0</v>
      </c>
    </row>
    <row r="202" spans="1:7" ht="15">
      <c r="A202" s="112" t="s">
        <v>2269</v>
      </c>
      <c r="B202" s="112">
        <v>10</v>
      </c>
      <c r="C202" s="114">
        <v>0.0012408921444922061</v>
      </c>
      <c r="D202" s="112" t="s">
        <v>3314</v>
      </c>
      <c r="E202" s="112" t="b">
        <v>0</v>
      </c>
      <c r="F202" s="112" t="b">
        <v>0</v>
      </c>
      <c r="G202" s="112" t="b">
        <v>0</v>
      </c>
    </row>
    <row r="203" spans="1:7" ht="15">
      <c r="A203" s="112" t="s">
        <v>2270</v>
      </c>
      <c r="B203" s="112">
        <v>10</v>
      </c>
      <c r="C203" s="114">
        <v>0.0016689199320497844</v>
      </c>
      <c r="D203" s="112" t="s">
        <v>3314</v>
      </c>
      <c r="E203" s="112" t="b">
        <v>0</v>
      </c>
      <c r="F203" s="112" t="b">
        <v>0</v>
      </c>
      <c r="G203" s="112" t="b">
        <v>0</v>
      </c>
    </row>
    <row r="204" spans="1:7" ht="15">
      <c r="A204" s="112" t="s">
        <v>2271</v>
      </c>
      <c r="B204" s="112">
        <v>10</v>
      </c>
      <c r="C204" s="114">
        <v>0.0013676946657640982</v>
      </c>
      <c r="D204" s="112" t="s">
        <v>3314</v>
      </c>
      <c r="E204" s="112" t="b">
        <v>0</v>
      </c>
      <c r="F204" s="112" t="b">
        <v>0</v>
      </c>
      <c r="G204" s="112" t="b">
        <v>0</v>
      </c>
    </row>
    <row r="205" spans="1:7" ht="15">
      <c r="A205" s="112" t="s">
        <v>2272</v>
      </c>
      <c r="B205" s="112">
        <v>10</v>
      </c>
      <c r="C205" s="114">
        <v>0.0015666452622656488</v>
      </c>
      <c r="D205" s="112" t="s">
        <v>3314</v>
      </c>
      <c r="E205" s="112" t="b">
        <v>0</v>
      </c>
      <c r="F205" s="112" t="b">
        <v>0</v>
      </c>
      <c r="G205" s="112" t="b">
        <v>0</v>
      </c>
    </row>
    <row r="206" spans="1:7" ht="15">
      <c r="A206" s="112" t="s">
        <v>2273</v>
      </c>
      <c r="B206" s="112">
        <v>10</v>
      </c>
      <c r="C206" s="114">
        <v>0.0018130679830121953</v>
      </c>
      <c r="D206" s="112" t="s">
        <v>3314</v>
      </c>
      <c r="E206" s="112" t="b">
        <v>0</v>
      </c>
      <c r="F206" s="112" t="b">
        <v>0</v>
      </c>
      <c r="G206" s="112" t="b">
        <v>0</v>
      </c>
    </row>
    <row r="207" spans="1:7" ht="15">
      <c r="A207" s="112" t="s">
        <v>2274</v>
      </c>
      <c r="B207" s="112">
        <v>10</v>
      </c>
      <c r="C207" s="114">
        <v>0.0014873148652387526</v>
      </c>
      <c r="D207" s="112" t="s">
        <v>3314</v>
      </c>
      <c r="E207" s="112" t="b">
        <v>1</v>
      </c>
      <c r="F207" s="112" t="b">
        <v>0</v>
      </c>
      <c r="G207" s="112" t="b">
        <v>0</v>
      </c>
    </row>
    <row r="208" spans="1:7" ht="15">
      <c r="A208" s="112" t="s">
        <v>2275</v>
      </c>
      <c r="B208" s="112">
        <v>10</v>
      </c>
      <c r="C208" s="114">
        <v>0.0016689199320497844</v>
      </c>
      <c r="D208" s="112" t="s">
        <v>3314</v>
      </c>
      <c r="E208" s="112" t="b">
        <v>0</v>
      </c>
      <c r="F208" s="112" t="b">
        <v>0</v>
      </c>
      <c r="G208" s="112" t="b">
        <v>0</v>
      </c>
    </row>
    <row r="209" spans="1:7" ht="15">
      <c r="A209" s="112" t="s">
        <v>2276</v>
      </c>
      <c r="B209" s="112">
        <v>9</v>
      </c>
      <c r="C209" s="114">
        <v>0.001188200287367192</v>
      </c>
      <c r="D209" s="112" t="s">
        <v>3314</v>
      </c>
      <c r="E209" s="112" t="b">
        <v>0</v>
      </c>
      <c r="F209" s="112" t="b">
        <v>0</v>
      </c>
      <c r="G209" s="112" t="b">
        <v>0</v>
      </c>
    </row>
    <row r="210" spans="1:7" ht="15">
      <c r="A210" s="112" t="s">
        <v>2277</v>
      </c>
      <c r="B210" s="112">
        <v>9</v>
      </c>
      <c r="C210" s="114">
        <v>0.0011505142443067444</v>
      </c>
      <c r="D210" s="112" t="s">
        <v>3314</v>
      </c>
      <c r="E210" s="112" t="b">
        <v>0</v>
      </c>
      <c r="F210" s="112" t="b">
        <v>0</v>
      </c>
      <c r="G210" s="112" t="b">
        <v>0</v>
      </c>
    </row>
    <row r="211" spans="1:7" ht="15">
      <c r="A211" s="112" t="s">
        <v>2278</v>
      </c>
      <c r="B211" s="112">
        <v>9</v>
      </c>
      <c r="C211" s="114">
        <v>0.001409980736039084</v>
      </c>
      <c r="D211" s="112" t="s">
        <v>3314</v>
      </c>
      <c r="E211" s="112" t="b">
        <v>1</v>
      </c>
      <c r="F211" s="112" t="b">
        <v>0</v>
      </c>
      <c r="G211" s="112" t="b">
        <v>0</v>
      </c>
    </row>
    <row r="212" spans="1:7" ht="15">
      <c r="A212" s="112" t="s">
        <v>2279</v>
      </c>
      <c r="B212" s="112">
        <v>9</v>
      </c>
      <c r="C212" s="114">
        <v>0.0012309251991876884</v>
      </c>
      <c r="D212" s="112" t="s">
        <v>3314</v>
      </c>
      <c r="E212" s="112" t="b">
        <v>0</v>
      </c>
      <c r="F212" s="112" t="b">
        <v>0</v>
      </c>
      <c r="G212" s="112" t="b">
        <v>0</v>
      </c>
    </row>
    <row r="213" spans="1:7" ht="15">
      <c r="A213" s="112" t="s">
        <v>2280</v>
      </c>
      <c r="B213" s="112">
        <v>9</v>
      </c>
      <c r="C213" s="114">
        <v>0.0011505142443067444</v>
      </c>
      <c r="D213" s="112" t="s">
        <v>3314</v>
      </c>
      <c r="E213" s="112" t="b">
        <v>0</v>
      </c>
      <c r="F213" s="112" t="b">
        <v>0</v>
      </c>
      <c r="G213" s="112" t="b">
        <v>0</v>
      </c>
    </row>
    <row r="214" spans="1:7" ht="15">
      <c r="A214" s="112" t="s">
        <v>2281</v>
      </c>
      <c r="B214" s="112">
        <v>9</v>
      </c>
      <c r="C214" s="114">
        <v>0.001409980736039084</v>
      </c>
      <c r="D214" s="112" t="s">
        <v>3314</v>
      </c>
      <c r="E214" s="112" t="b">
        <v>0</v>
      </c>
      <c r="F214" s="112" t="b">
        <v>1</v>
      </c>
      <c r="G214" s="112" t="b">
        <v>0</v>
      </c>
    </row>
    <row r="215" spans="1:7" ht="15">
      <c r="A215" s="112" t="s">
        <v>2282</v>
      </c>
      <c r="B215" s="112">
        <v>9</v>
      </c>
      <c r="C215" s="114">
        <v>0.001409980736039084</v>
      </c>
      <c r="D215" s="112" t="s">
        <v>3314</v>
      </c>
      <c r="E215" s="112" t="b">
        <v>0</v>
      </c>
      <c r="F215" s="112" t="b">
        <v>0</v>
      </c>
      <c r="G215" s="112" t="b">
        <v>0</v>
      </c>
    </row>
    <row r="216" spans="1:7" ht="15">
      <c r="A216" s="112" t="s">
        <v>2283</v>
      </c>
      <c r="B216" s="112">
        <v>9</v>
      </c>
      <c r="C216" s="114">
        <v>0.0018535416333828679</v>
      </c>
      <c r="D216" s="112" t="s">
        <v>3314</v>
      </c>
      <c r="E216" s="112" t="b">
        <v>0</v>
      </c>
      <c r="F216" s="112" t="b">
        <v>0</v>
      </c>
      <c r="G216" s="112" t="b">
        <v>0</v>
      </c>
    </row>
    <row r="217" spans="1:7" ht="15">
      <c r="A217" s="112" t="s">
        <v>2284</v>
      </c>
      <c r="B217" s="112">
        <v>9</v>
      </c>
      <c r="C217" s="114">
        <v>0.001631761184710976</v>
      </c>
      <c r="D217" s="112" t="s">
        <v>3314</v>
      </c>
      <c r="E217" s="112" t="b">
        <v>0</v>
      </c>
      <c r="F217" s="112" t="b">
        <v>0</v>
      </c>
      <c r="G217" s="112" t="b">
        <v>0</v>
      </c>
    </row>
    <row r="218" spans="1:7" ht="15">
      <c r="A218" s="112" t="s">
        <v>2285</v>
      </c>
      <c r="B218" s="112">
        <v>9</v>
      </c>
      <c r="C218" s="114">
        <v>0.001188200287367192</v>
      </c>
      <c r="D218" s="112" t="s">
        <v>3314</v>
      </c>
      <c r="E218" s="112" t="b">
        <v>0</v>
      </c>
      <c r="F218" s="112" t="b">
        <v>1</v>
      </c>
      <c r="G218" s="112" t="b">
        <v>0</v>
      </c>
    </row>
    <row r="219" spans="1:7" ht="15">
      <c r="A219" s="112" t="s">
        <v>2286</v>
      </c>
      <c r="B219" s="112">
        <v>9</v>
      </c>
      <c r="C219" s="114">
        <v>0.0011505142443067444</v>
      </c>
      <c r="D219" s="112" t="s">
        <v>3314</v>
      </c>
      <c r="E219" s="112" t="b">
        <v>0</v>
      </c>
      <c r="F219" s="112" t="b">
        <v>0</v>
      </c>
      <c r="G219" s="112" t="b">
        <v>0</v>
      </c>
    </row>
    <row r="220" spans="1:7" ht="15">
      <c r="A220" s="112" t="s">
        <v>2287</v>
      </c>
      <c r="B220" s="112">
        <v>9</v>
      </c>
      <c r="C220" s="114">
        <v>0.0018535416333828679</v>
      </c>
      <c r="D220" s="112" t="s">
        <v>3314</v>
      </c>
      <c r="E220" s="112" t="b">
        <v>0</v>
      </c>
      <c r="F220" s="112" t="b">
        <v>0</v>
      </c>
      <c r="G220" s="112" t="b">
        <v>0</v>
      </c>
    </row>
    <row r="221" spans="1:7" ht="15">
      <c r="A221" s="112" t="s">
        <v>2288</v>
      </c>
      <c r="B221" s="112">
        <v>9</v>
      </c>
      <c r="C221" s="114">
        <v>0.0013385833787148773</v>
      </c>
      <c r="D221" s="112" t="s">
        <v>3314</v>
      </c>
      <c r="E221" s="112" t="b">
        <v>0</v>
      </c>
      <c r="F221" s="112" t="b">
        <v>0</v>
      </c>
      <c r="G221" s="112" t="b">
        <v>0</v>
      </c>
    </row>
    <row r="222" spans="1:7" ht="15">
      <c r="A222" s="112" t="s">
        <v>2289</v>
      </c>
      <c r="B222" s="112">
        <v>9</v>
      </c>
      <c r="C222" s="114">
        <v>0.001188200287367192</v>
      </c>
      <c r="D222" s="112" t="s">
        <v>3314</v>
      </c>
      <c r="E222" s="112" t="b">
        <v>0</v>
      </c>
      <c r="F222" s="112" t="b">
        <v>0</v>
      </c>
      <c r="G222" s="112" t="b">
        <v>0</v>
      </c>
    </row>
    <row r="223" spans="1:7" ht="15">
      <c r="A223" s="112" t="s">
        <v>2290</v>
      </c>
      <c r="B223" s="112">
        <v>9</v>
      </c>
      <c r="C223" s="114">
        <v>0.0012309251991876884</v>
      </c>
      <c r="D223" s="112" t="s">
        <v>3314</v>
      </c>
      <c r="E223" s="112" t="b">
        <v>0</v>
      </c>
      <c r="F223" s="112" t="b">
        <v>1</v>
      </c>
      <c r="G223" s="112" t="b">
        <v>0</v>
      </c>
    </row>
    <row r="224" spans="1:7" ht="15">
      <c r="A224" s="112" t="s">
        <v>2291</v>
      </c>
      <c r="B224" s="112">
        <v>9</v>
      </c>
      <c r="C224" s="114">
        <v>0.0012802474901729142</v>
      </c>
      <c r="D224" s="112" t="s">
        <v>3314</v>
      </c>
      <c r="E224" s="112" t="b">
        <v>0</v>
      </c>
      <c r="F224" s="112" t="b">
        <v>0</v>
      </c>
      <c r="G224" s="112" t="b">
        <v>0</v>
      </c>
    </row>
    <row r="225" spans="1:7" ht="15">
      <c r="A225" s="112" t="s">
        <v>2292</v>
      </c>
      <c r="B225" s="112">
        <v>9</v>
      </c>
      <c r="C225" s="114">
        <v>0.0013385833787148773</v>
      </c>
      <c r="D225" s="112" t="s">
        <v>3314</v>
      </c>
      <c r="E225" s="112" t="b">
        <v>0</v>
      </c>
      <c r="F225" s="112" t="b">
        <v>0</v>
      </c>
      <c r="G225" s="112" t="b">
        <v>0</v>
      </c>
    </row>
    <row r="226" spans="1:7" ht="15">
      <c r="A226" s="112" t="s">
        <v>2293</v>
      </c>
      <c r="B226" s="112">
        <v>9</v>
      </c>
      <c r="C226" s="114">
        <v>0.0011505142443067444</v>
      </c>
      <c r="D226" s="112" t="s">
        <v>3314</v>
      </c>
      <c r="E226" s="112" t="b">
        <v>0</v>
      </c>
      <c r="F226" s="112" t="b">
        <v>0</v>
      </c>
      <c r="G226" s="112" t="b">
        <v>0</v>
      </c>
    </row>
    <row r="227" spans="1:7" ht="15">
      <c r="A227" s="112" t="s">
        <v>2294</v>
      </c>
      <c r="B227" s="112">
        <v>9</v>
      </c>
      <c r="C227" s="114">
        <v>0.0012309251991876884</v>
      </c>
      <c r="D227" s="112" t="s">
        <v>3314</v>
      </c>
      <c r="E227" s="112" t="b">
        <v>0</v>
      </c>
      <c r="F227" s="112" t="b">
        <v>0</v>
      </c>
      <c r="G227" s="112" t="b">
        <v>0</v>
      </c>
    </row>
    <row r="228" spans="1:7" ht="15">
      <c r="A228" s="112" t="s">
        <v>2295</v>
      </c>
      <c r="B228" s="112">
        <v>9</v>
      </c>
      <c r="C228" s="114">
        <v>0.0012309251991876884</v>
      </c>
      <c r="D228" s="112" t="s">
        <v>3314</v>
      </c>
      <c r="E228" s="112" t="b">
        <v>0</v>
      </c>
      <c r="F228" s="112" t="b">
        <v>0</v>
      </c>
      <c r="G228" s="112" t="b">
        <v>0</v>
      </c>
    </row>
    <row r="229" spans="1:7" ht="15">
      <c r="A229" s="112" t="s">
        <v>2296</v>
      </c>
      <c r="B229" s="112">
        <v>9</v>
      </c>
      <c r="C229" s="114">
        <v>0.0012802474901729142</v>
      </c>
      <c r="D229" s="112" t="s">
        <v>3314</v>
      </c>
      <c r="E229" s="112" t="b">
        <v>0</v>
      </c>
      <c r="F229" s="112" t="b">
        <v>1</v>
      </c>
      <c r="G229" s="112" t="b">
        <v>0</v>
      </c>
    </row>
    <row r="230" spans="1:7" ht="15">
      <c r="A230" s="112" t="s">
        <v>2297</v>
      </c>
      <c r="B230" s="112">
        <v>9</v>
      </c>
      <c r="C230" s="114">
        <v>0.0013385833787148773</v>
      </c>
      <c r="D230" s="112" t="s">
        <v>3314</v>
      </c>
      <c r="E230" s="112" t="b">
        <v>0</v>
      </c>
      <c r="F230" s="112" t="b">
        <v>0</v>
      </c>
      <c r="G230" s="112" t="b">
        <v>0</v>
      </c>
    </row>
    <row r="231" spans="1:7" ht="15">
      <c r="A231" s="112" t="s">
        <v>2298</v>
      </c>
      <c r="B231" s="112">
        <v>9</v>
      </c>
      <c r="C231" s="114">
        <v>0.0011505142443067444</v>
      </c>
      <c r="D231" s="112" t="s">
        <v>3314</v>
      </c>
      <c r="E231" s="112" t="b">
        <v>0</v>
      </c>
      <c r="F231" s="112" t="b">
        <v>0</v>
      </c>
      <c r="G231" s="112" t="b">
        <v>0</v>
      </c>
    </row>
    <row r="232" spans="1:7" ht="15">
      <c r="A232" s="112" t="s">
        <v>2299</v>
      </c>
      <c r="B232" s="112">
        <v>9</v>
      </c>
      <c r="C232" s="114">
        <v>0.0013385833787148773</v>
      </c>
      <c r="D232" s="112" t="s">
        <v>3314</v>
      </c>
      <c r="E232" s="112" t="b">
        <v>0</v>
      </c>
      <c r="F232" s="112" t="b">
        <v>0</v>
      </c>
      <c r="G232" s="112" t="b">
        <v>0</v>
      </c>
    </row>
    <row r="233" spans="1:7" ht="15">
      <c r="A233" s="112" t="s">
        <v>2300</v>
      </c>
      <c r="B233" s="112">
        <v>9</v>
      </c>
      <c r="C233" s="114">
        <v>0.001188200287367192</v>
      </c>
      <c r="D233" s="112" t="s">
        <v>3314</v>
      </c>
      <c r="E233" s="112" t="b">
        <v>0</v>
      </c>
      <c r="F233" s="112" t="b">
        <v>0</v>
      </c>
      <c r="G233" s="112" t="b">
        <v>0</v>
      </c>
    </row>
    <row r="234" spans="1:7" ht="15">
      <c r="A234" s="112" t="s">
        <v>2301</v>
      </c>
      <c r="B234" s="112">
        <v>9</v>
      </c>
      <c r="C234" s="114">
        <v>0.0012802474901729142</v>
      </c>
      <c r="D234" s="112" t="s">
        <v>3314</v>
      </c>
      <c r="E234" s="112" t="b">
        <v>0</v>
      </c>
      <c r="F234" s="112" t="b">
        <v>0</v>
      </c>
      <c r="G234" s="112" t="b">
        <v>0</v>
      </c>
    </row>
    <row r="235" spans="1:7" ht="15">
      <c r="A235" s="112" t="s">
        <v>2302</v>
      </c>
      <c r="B235" s="112">
        <v>9</v>
      </c>
      <c r="C235" s="114">
        <v>0.0012802474901729142</v>
      </c>
      <c r="D235" s="112" t="s">
        <v>3314</v>
      </c>
      <c r="E235" s="112" t="b">
        <v>0</v>
      </c>
      <c r="F235" s="112" t="b">
        <v>0</v>
      </c>
      <c r="G235" s="112" t="b">
        <v>0</v>
      </c>
    </row>
    <row r="236" spans="1:7" ht="15">
      <c r="A236" s="112" t="s">
        <v>2303</v>
      </c>
      <c r="B236" s="112">
        <v>9</v>
      </c>
      <c r="C236" s="114">
        <v>0.0011505142443067444</v>
      </c>
      <c r="D236" s="112" t="s">
        <v>3314</v>
      </c>
      <c r="E236" s="112" t="b">
        <v>0</v>
      </c>
      <c r="F236" s="112" t="b">
        <v>0</v>
      </c>
      <c r="G236" s="112" t="b">
        <v>0</v>
      </c>
    </row>
    <row r="237" spans="1:7" ht="15">
      <c r="A237" s="112" t="s">
        <v>2304</v>
      </c>
      <c r="B237" s="112">
        <v>9</v>
      </c>
      <c r="C237" s="114">
        <v>0.0011505142443067444</v>
      </c>
      <c r="D237" s="112" t="s">
        <v>3314</v>
      </c>
      <c r="E237" s="112" t="b">
        <v>0</v>
      </c>
      <c r="F237" s="112" t="b">
        <v>0</v>
      </c>
      <c r="G237" s="112" t="b">
        <v>0</v>
      </c>
    </row>
    <row r="238" spans="1:7" ht="15">
      <c r="A238" s="112" t="s">
        <v>2305</v>
      </c>
      <c r="B238" s="112">
        <v>9</v>
      </c>
      <c r="C238" s="114">
        <v>0.0018535416333828679</v>
      </c>
      <c r="D238" s="112" t="s">
        <v>3314</v>
      </c>
      <c r="E238" s="112" t="b">
        <v>1</v>
      </c>
      <c r="F238" s="112" t="b">
        <v>0</v>
      </c>
      <c r="G238" s="112" t="b">
        <v>0</v>
      </c>
    </row>
    <row r="239" spans="1:7" ht="15">
      <c r="A239" s="112" t="s">
        <v>2306</v>
      </c>
      <c r="B239" s="112">
        <v>8</v>
      </c>
      <c r="C239" s="114">
        <v>0.0012533162098125191</v>
      </c>
      <c r="D239" s="112" t="s">
        <v>3314</v>
      </c>
      <c r="E239" s="112" t="b">
        <v>0</v>
      </c>
      <c r="F239" s="112" t="b">
        <v>0</v>
      </c>
      <c r="G239" s="112" t="b">
        <v>0</v>
      </c>
    </row>
    <row r="240" spans="1:7" ht="15">
      <c r="A240" s="112" t="s">
        <v>2307</v>
      </c>
      <c r="B240" s="112">
        <v>8</v>
      </c>
      <c r="C240" s="114">
        <v>0.001056178033215282</v>
      </c>
      <c r="D240" s="112" t="s">
        <v>3314</v>
      </c>
      <c r="E240" s="112" t="b">
        <v>0</v>
      </c>
      <c r="F240" s="112" t="b">
        <v>0</v>
      </c>
      <c r="G240" s="112" t="b">
        <v>0</v>
      </c>
    </row>
    <row r="241" spans="1:7" ht="15">
      <c r="A241" s="112" t="s">
        <v>2308</v>
      </c>
      <c r="B241" s="112">
        <v>8</v>
      </c>
      <c r="C241" s="114">
        <v>0.001189851892191002</v>
      </c>
      <c r="D241" s="112" t="s">
        <v>3314</v>
      </c>
      <c r="E241" s="112" t="b">
        <v>0</v>
      </c>
      <c r="F241" s="112" t="b">
        <v>0</v>
      </c>
      <c r="G241" s="112" t="b">
        <v>0</v>
      </c>
    </row>
    <row r="242" spans="1:7" ht="15">
      <c r="A242" s="112" t="s">
        <v>2309</v>
      </c>
      <c r="B242" s="112">
        <v>8</v>
      </c>
      <c r="C242" s="114">
        <v>0.001189851892191002</v>
      </c>
      <c r="D242" s="112" t="s">
        <v>3314</v>
      </c>
      <c r="E242" s="112" t="b">
        <v>0</v>
      </c>
      <c r="F242" s="112" t="b">
        <v>0</v>
      </c>
      <c r="G242" s="112" t="b">
        <v>0</v>
      </c>
    </row>
    <row r="243" spans="1:7" ht="15">
      <c r="A243" s="112" t="s">
        <v>2310</v>
      </c>
      <c r="B243" s="112">
        <v>8</v>
      </c>
      <c r="C243" s="114">
        <v>0.0012533162098125191</v>
      </c>
      <c r="D243" s="112" t="s">
        <v>3314</v>
      </c>
      <c r="E243" s="112" t="b">
        <v>0</v>
      </c>
      <c r="F243" s="112" t="b">
        <v>0</v>
      </c>
      <c r="G243" s="112" t="b">
        <v>0</v>
      </c>
    </row>
    <row r="244" spans="1:7" ht="15">
      <c r="A244" s="112" t="s">
        <v>2311</v>
      </c>
      <c r="B244" s="112">
        <v>8</v>
      </c>
      <c r="C244" s="114">
        <v>0.0010941557326112786</v>
      </c>
      <c r="D244" s="112" t="s">
        <v>3314</v>
      </c>
      <c r="E244" s="112" t="b">
        <v>0</v>
      </c>
      <c r="F244" s="112" t="b">
        <v>0</v>
      </c>
      <c r="G244" s="112" t="b">
        <v>0</v>
      </c>
    </row>
    <row r="245" spans="1:7" ht="15">
      <c r="A245" s="112" t="s">
        <v>2312</v>
      </c>
      <c r="B245" s="112">
        <v>8</v>
      </c>
      <c r="C245" s="114">
        <v>0.0013351359456398276</v>
      </c>
      <c r="D245" s="112" t="s">
        <v>3314</v>
      </c>
      <c r="E245" s="112" t="b">
        <v>0</v>
      </c>
      <c r="F245" s="112" t="b">
        <v>0</v>
      </c>
      <c r="G245" s="112" t="b">
        <v>0</v>
      </c>
    </row>
    <row r="246" spans="1:7" ht="15">
      <c r="A246" s="112" t="s">
        <v>2313</v>
      </c>
      <c r="B246" s="112">
        <v>8</v>
      </c>
      <c r="C246" s="114">
        <v>0.001056178033215282</v>
      </c>
      <c r="D246" s="112" t="s">
        <v>3314</v>
      </c>
      <c r="E246" s="112" t="b">
        <v>0</v>
      </c>
      <c r="F246" s="112" t="b">
        <v>0</v>
      </c>
      <c r="G246" s="112" t="b">
        <v>0</v>
      </c>
    </row>
    <row r="247" spans="1:7" ht="15">
      <c r="A247" s="112" t="s">
        <v>2314</v>
      </c>
      <c r="B247" s="112">
        <v>8</v>
      </c>
      <c r="C247" s="114">
        <v>0.001189851892191002</v>
      </c>
      <c r="D247" s="112" t="s">
        <v>3314</v>
      </c>
      <c r="E247" s="112" t="b">
        <v>0</v>
      </c>
      <c r="F247" s="112" t="b">
        <v>0</v>
      </c>
      <c r="G247" s="112" t="b">
        <v>0</v>
      </c>
    </row>
    <row r="248" spans="1:7" ht="15">
      <c r="A248" s="112" t="s">
        <v>2315</v>
      </c>
      <c r="B248" s="112">
        <v>8</v>
      </c>
      <c r="C248" s="114">
        <v>0.0011379977690425904</v>
      </c>
      <c r="D248" s="112" t="s">
        <v>3314</v>
      </c>
      <c r="E248" s="112" t="b">
        <v>0</v>
      </c>
      <c r="F248" s="112" t="b">
        <v>0</v>
      </c>
      <c r="G248" s="112" t="b">
        <v>0</v>
      </c>
    </row>
    <row r="249" spans="1:7" ht="15">
      <c r="A249" s="112" t="s">
        <v>2316</v>
      </c>
      <c r="B249" s="112">
        <v>8</v>
      </c>
      <c r="C249" s="114">
        <v>0.0010941557326112786</v>
      </c>
      <c r="D249" s="112" t="s">
        <v>3314</v>
      </c>
      <c r="E249" s="112" t="b">
        <v>0</v>
      </c>
      <c r="F249" s="112" t="b">
        <v>0</v>
      </c>
      <c r="G249" s="112" t="b">
        <v>0</v>
      </c>
    </row>
    <row r="250" spans="1:7" ht="15">
      <c r="A250" s="112" t="s">
        <v>2317</v>
      </c>
      <c r="B250" s="112">
        <v>8</v>
      </c>
      <c r="C250" s="114">
        <v>0.001189851892191002</v>
      </c>
      <c r="D250" s="112" t="s">
        <v>3314</v>
      </c>
      <c r="E250" s="112" t="b">
        <v>0</v>
      </c>
      <c r="F250" s="112" t="b">
        <v>0</v>
      </c>
      <c r="G250" s="112" t="b">
        <v>0</v>
      </c>
    </row>
    <row r="251" spans="1:7" ht="15">
      <c r="A251" s="112" t="s">
        <v>2318</v>
      </c>
      <c r="B251" s="112">
        <v>8</v>
      </c>
      <c r="C251" s="114">
        <v>0.0010941557326112786</v>
      </c>
      <c r="D251" s="112" t="s">
        <v>3314</v>
      </c>
      <c r="E251" s="112" t="b">
        <v>0</v>
      </c>
      <c r="F251" s="112" t="b">
        <v>0</v>
      </c>
      <c r="G251" s="112" t="b">
        <v>0</v>
      </c>
    </row>
    <row r="252" spans="1:7" ht="15">
      <c r="A252" s="112" t="s">
        <v>2319</v>
      </c>
      <c r="B252" s="112">
        <v>8</v>
      </c>
      <c r="C252" s="114">
        <v>0.0016475925630069937</v>
      </c>
      <c r="D252" s="112" t="s">
        <v>3314</v>
      </c>
      <c r="E252" s="112" t="b">
        <v>0</v>
      </c>
      <c r="F252" s="112" t="b">
        <v>0</v>
      </c>
      <c r="G252" s="112" t="b">
        <v>0</v>
      </c>
    </row>
    <row r="253" spans="1:7" ht="15">
      <c r="A253" s="112" t="s">
        <v>2320</v>
      </c>
      <c r="B253" s="112">
        <v>8</v>
      </c>
      <c r="C253" s="114">
        <v>0.0016475925630069937</v>
      </c>
      <c r="D253" s="112" t="s">
        <v>3314</v>
      </c>
      <c r="E253" s="112" t="b">
        <v>0</v>
      </c>
      <c r="F253" s="112" t="b">
        <v>0</v>
      </c>
      <c r="G253" s="112" t="b">
        <v>0</v>
      </c>
    </row>
    <row r="254" spans="1:7" ht="15">
      <c r="A254" s="112" t="s">
        <v>2321</v>
      </c>
      <c r="B254" s="112">
        <v>8</v>
      </c>
      <c r="C254" s="114">
        <v>0.0012533162098125191</v>
      </c>
      <c r="D254" s="112" t="s">
        <v>3314</v>
      </c>
      <c r="E254" s="112" t="b">
        <v>0</v>
      </c>
      <c r="F254" s="112" t="b">
        <v>0</v>
      </c>
      <c r="G254" s="112" t="b">
        <v>0</v>
      </c>
    </row>
    <row r="255" spans="1:7" ht="15">
      <c r="A255" s="112" t="s">
        <v>2322</v>
      </c>
      <c r="B255" s="112">
        <v>8</v>
      </c>
      <c r="C255" s="114">
        <v>0.0011379977690425904</v>
      </c>
      <c r="D255" s="112" t="s">
        <v>3314</v>
      </c>
      <c r="E255" s="112" t="b">
        <v>0</v>
      </c>
      <c r="F255" s="112" t="b">
        <v>0</v>
      </c>
      <c r="G255" s="112" t="b">
        <v>0</v>
      </c>
    </row>
    <row r="256" spans="1:7" ht="15">
      <c r="A256" s="112" t="s">
        <v>2323</v>
      </c>
      <c r="B256" s="112">
        <v>8</v>
      </c>
      <c r="C256" s="114">
        <v>0.001189851892191002</v>
      </c>
      <c r="D256" s="112" t="s">
        <v>3314</v>
      </c>
      <c r="E256" s="112" t="b">
        <v>0</v>
      </c>
      <c r="F256" s="112" t="b">
        <v>0</v>
      </c>
      <c r="G256" s="112" t="b">
        <v>0</v>
      </c>
    </row>
    <row r="257" spans="1:7" ht="15">
      <c r="A257" s="112" t="s">
        <v>2324</v>
      </c>
      <c r="B257" s="112">
        <v>8</v>
      </c>
      <c r="C257" s="114">
        <v>0.0016475925630069937</v>
      </c>
      <c r="D257" s="112" t="s">
        <v>3314</v>
      </c>
      <c r="E257" s="112" t="b">
        <v>0</v>
      </c>
      <c r="F257" s="112" t="b">
        <v>0</v>
      </c>
      <c r="G257" s="112" t="b">
        <v>0</v>
      </c>
    </row>
    <row r="258" spans="1:7" ht="15">
      <c r="A258" s="112" t="s">
        <v>2325</v>
      </c>
      <c r="B258" s="112">
        <v>8</v>
      </c>
      <c r="C258" s="114">
        <v>0.0013351359456398276</v>
      </c>
      <c r="D258" s="112" t="s">
        <v>3314</v>
      </c>
      <c r="E258" s="112" t="b">
        <v>0</v>
      </c>
      <c r="F258" s="112" t="b">
        <v>0</v>
      </c>
      <c r="G258" s="112" t="b">
        <v>0</v>
      </c>
    </row>
    <row r="259" spans="1:7" ht="15">
      <c r="A259" s="112" t="s">
        <v>2326</v>
      </c>
      <c r="B259" s="112">
        <v>8</v>
      </c>
      <c r="C259" s="114">
        <v>0.0010941557326112786</v>
      </c>
      <c r="D259" s="112" t="s">
        <v>3314</v>
      </c>
      <c r="E259" s="112" t="b">
        <v>0</v>
      </c>
      <c r="F259" s="112" t="b">
        <v>0</v>
      </c>
      <c r="G259" s="112" t="b">
        <v>0</v>
      </c>
    </row>
    <row r="260" spans="1:7" ht="15">
      <c r="A260" s="112" t="s">
        <v>2327</v>
      </c>
      <c r="B260" s="112">
        <v>8</v>
      </c>
      <c r="C260" s="114">
        <v>0.0011379977690425904</v>
      </c>
      <c r="D260" s="112" t="s">
        <v>3314</v>
      </c>
      <c r="E260" s="112" t="b">
        <v>0</v>
      </c>
      <c r="F260" s="112" t="b">
        <v>0</v>
      </c>
      <c r="G260" s="112" t="b">
        <v>0</v>
      </c>
    </row>
    <row r="261" spans="1:7" ht="15">
      <c r="A261" s="112" t="s">
        <v>2328</v>
      </c>
      <c r="B261" s="112">
        <v>8</v>
      </c>
      <c r="C261" s="114">
        <v>0.001189851892191002</v>
      </c>
      <c r="D261" s="112" t="s">
        <v>3314</v>
      </c>
      <c r="E261" s="112" t="b">
        <v>0</v>
      </c>
      <c r="F261" s="112" t="b">
        <v>0</v>
      </c>
      <c r="G261" s="112" t="b">
        <v>0</v>
      </c>
    </row>
    <row r="262" spans="1:7" ht="15">
      <c r="A262" s="112" t="s">
        <v>2329</v>
      </c>
      <c r="B262" s="112">
        <v>8</v>
      </c>
      <c r="C262" s="114">
        <v>0.0012533162098125191</v>
      </c>
      <c r="D262" s="112" t="s">
        <v>3314</v>
      </c>
      <c r="E262" s="112" t="b">
        <v>0</v>
      </c>
      <c r="F262" s="112" t="b">
        <v>0</v>
      </c>
      <c r="G262" s="112" t="b">
        <v>0</v>
      </c>
    </row>
    <row r="263" spans="1:7" ht="15">
      <c r="A263" s="112" t="s">
        <v>2330</v>
      </c>
      <c r="B263" s="112">
        <v>8</v>
      </c>
      <c r="C263" s="114">
        <v>0.0010941557326112786</v>
      </c>
      <c r="D263" s="112" t="s">
        <v>3314</v>
      </c>
      <c r="E263" s="112" t="b">
        <v>0</v>
      </c>
      <c r="F263" s="112" t="b">
        <v>1</v>
      </c>
      <c r="G263" s="112" t="b">
        <v>0</v>
      </c>
    </row>
    <row r="264" spans="1:7" ht="15">
      <c r="A264" s="112" t="s">
        <v>2331</v>
      </c>
      <c r="B264" s="112">
        <v>8</v>
      </c>
      <c r="C264" s="114">
        <v>0.001189851892191002</v>
      </c>
      <c r="D264" s="112" t="s">
        <v>3314</v>
      </c>
      <c r="E264" s="112" t="b">
        <v>0</v>
      </c>
      <c r="F264" s="112" t="b">
        <v>0</v>
      </c>
      <c r="G264" s="112" t="b">
        <v>0</v>
      </c>
    </row>
    <row r="265" spans="1:7" ht="15">
      <c r="A265" s="112" t="s">
        <v>2332</v>
      </c>
      <c r="B265" s="112">
        <v>8</v>
      </c>
      <c r="C265" s="114">
        <v>0.0010941557326112786</v>
      </c>
      <c r="D265" s="112" t="s">
        <v>3314</v>
      </c>
      <c r="E265" s="112" t="b">
        <v>0</v>
      </c>
      <c r="F265" s="112" t="b">
        <v>0</v>
      </c>
      <c r="G265" s="112" t="b">
        <v>0</v>
      </c>
    </row>
    <row r="266" spans="1:7" ht="15">
      <c r="A266" s="112" t="s">
        <v>2333</v>
      </c>
      <c r="B266" s="112">
        <v>8</v>
      </c>
      <c r="C266" s="114">
        <v>0.0013351359456398276</v>
      </c>
      <c r="D266" s="112" t="s">
        <v>3314</v>
      </c>
      <c r="E266" s="112" t="b">
        <v>0</v>
      </c>
      <c r="F266" s="112" t="b">
        <v>0</v>
      </c>
      <c r="G266" s="112" t="b">
        <v>0</v>
      </c>
    </row>
    <row r="267" spans="1:7" ht="15">
      <c r="A267" s="112" t="s">
        <v>2334</v>
      </c>
      <c r="B267" s="112">
        <v>8</v>
      </c>
      <c r="C267" s="114">
        <v>0.001056178033215282</v>
      </c>
      <c r="D267" s="112" t="s">
        <v>3314</v>
      </c>
      <c r="E267" s="112" t="b">
        <v>0</v>
      </c>
      <c r="F267" s="112" t="b">
        <v>0</v>
      </c>
      <c r="G267" s="112" t="b">
        <v>0</v>
      </c>
    </row>
    <row r="268" spans="1:7" ht="15">
      <c r="A268" s="112" t="s">
        <v>2335</v>
      </c>
      <c r="B268" s="112">
        <v>8</v>
      </c>
      <c r="C268" s="114">
        <v>0.001189851892191002</v>
      </c>
      <c r="D268" s="112" t="s">
        <v>3314</v>
      </c>
      <c r="E268" s="112" t="b">
        <v>0</v>
      </c>
      <c r="F268" s="112" t="b">
        <v>0</v>
      </c>
      <c r="G268" s="112" t="b">
        <v>0</v>
      </c>
    </row>
    <row r="269" spans="1:7" ht="15">
      <c r="A269" s="112" t="s">
        <v>2336</v>
      </c>
      <c r="B269" s="112">
        <v>8</v>
      </c>
      <c r="C269" s="114">
        <v>0.001189851892191002</v>
      </c>
      <c r="D269" s="112" t="s">
        <v>3314</v>
      </c>
      <c r="E269" s="112" t="b">
        <v>0</v>
      </c>
      <c r="F269" s="112" t="b">
        <v>0</v>
      </c>
      <c r="G269" s="112" t="b">
        <v>0</v>
      </c>
    </row>
    <row r="270" spans="1:7" ht="15">
      <c r="A270" s="112" t="s">
        <v>2337</v>
      </c>
      <c r="B270" s="112">
        <v>8</v>
      </c>
      <c r="C270" s="114">
        <v>0.0012533162098125191</v>
      </c>
      <c r="D270" s="112" t="s">
        <v>3314</v>
      </c>
      <c r="E270" s="112" t="b">
        <v>0</v>
      </c>
      <c r="F270" s="112" t="b">
        <v>0</v>
      </c>
      <c r="G270" s="112" t="b">
        <v>0</v>
      </c>
    </row>
    <row r="271" spans="1:7" ht="15">
      <c r="A271" s="112" t="s">
        <v>2338</v>
      </c>
      <c r="B271" s="112">
        <v>8</v>
      </c>
      <c r="C271" s="114">
        <v>0.0011379977690425904</v>
      </c>
      <c r="D271" s="112" t="s">
        <v>3314</v>
      </c>
      <c r="E271" s="112" t="b">
        <v>0</v>
      </c>
      <c r="F271" s="112" t="b">
        <v>1</v>
      </c>
      <c r="G271" s="112" t="b">
        <v>0</v>
      </c>
    </row>
    <row r="272" spans="1:7" ht="15">
      <c r="A272" s="112" t="s">
        <v>2339</v>
      </c>
      <c r="B272" s="112">
        <v>8</v>
      </c>
      <c r="C272" s="114">
        <v>0.001056178033215282</v>
      </c>
      <c r="D272" s="112" t="s">
        <v>3314</v>
      </c>
      <c r="E272" s="112" t="b">
        <v>0</v>
      </c>
      <c r="F272" s="112" t="b">
        <v>0</v>
      </c>
      <c r="G272" s="112" t="b">
        <v>0</v>
      </c>
    </row>
    <row r="273" spans="1:7" ht="15">
      <c r="A273" s="112" t="s">
        <v>2340</v>
      </c>
      <c r="B273" s="112">
        <v>8</v>
      </c>
      <c r="C273" s="114">
        <v>0.0016475925630069937</v>
      </c>
      <c r="D273" s="112" t="s">
        <v>3314</v>
      </c>
      <c r="E273" s="112" t="b">
        <v>0</v>
      </c>
      <c r="F273" s="112" t="b">
        <v>0</v>
      </c>
      <c r="G273" s="112" t="b">
        <v>0</v>
      </c>
    </row>
    <row r="274" spans="1:7" ht="15">
      <c r="A274" s="112" t="s">
        <v>2341</v>
      </c>
      <c r="B274" s="112">
        <v>7</v>
      </c>
      <c r="C274" s="114">
        <v>0.0009573862660348688</v>
      </c>
      <c r="D274" s="112" t="s">
        <v>3314</v>
      </c>
      <c r="E274" s="112" t="b">
        <v>0</v>
      </c>
      <c r="F274" s="112" t="b">
        <v>0</v>
      </c>
      <c r="G274" s="112" t="b">
        <v>0</v>
      </c>
    </row>
    <row r="275" spans="1:7" ht="15">
      <c r="A275" s="112" t="s">
        <v>2342</v>
      </c>
      <c r="B275" s="112">
        <v>7</v>
      </c>
      <c r="C275" s="114">
        <v>0.0009957480479122667</v>
      </c>
      <c r="D275" s="112" t="s">
        <v>3314</v>
      </c>
      <c r="E275" s="112" t="b">
        <v>1</v>
      </c>
      <c r="F275" s="112" t="b">
        <v>0</v>
      </c>
      <c r="G275" s="112" t="b">
        <v>0</v>
      </c>
    </row>
    <row r="276" spans="1:7" ht="15">
      <c r="A276" s="112" t="s">
        <v>2343</v>
      </c>
      <c r="B276" s="112">
        <v>7</v>
      </c>
      <c r="C276" s="114">
        <v>0.0009573862660348688</v>
      </c>
      <c r="D276" s="112" t="s">
        <v>3314</v>
      </c>
      <c r="E276" s="112" t="b">
        <v>0</v>
      </c>
      <c r="F276" s="112" t="b">
        <v>0</v>
      </c>
      <c r="G276" s="112" t="b">
        <v>0</v>
      </c>
    </row>
    <row r="277" spans="1:7" ht="15">
      <c r="A277" s="112" t="s">
        <v>2344</v>
      </c>
      <c r="B277" s="112">
        <v>7</v>
      </c>
      <c r="C277" s="114">
        <v>0.001041120405667127</v>
      </c>
      <c r="D277" s="112" t="s">
        <v>3314</v>
      </c>
      <c r="E277" s="112" t="b">
        <v>0</v>
      </c>
      <c r="F277" s="112" t="b">
        <v>0</v>
      </c>
      <c r="G277" s="112" t="b">
        <v>0</v>
      </c>
    </row>
    <row r="278" spans="1:7" ht="15">
      <c r="A278" s="112" t="s">
        <v>2345</v>
      </c>
      <c r="B278" s="112">
        <v>7</v>
      </c>
      <c r="C278" s="114">
        <v>0.0014416434926311195</v>
      </c>
      <c r="D278" s="112" t="s">
        <v>3314</v>
      </c>
      <c r="E278" s="112" t="b">
        <v>0</v>
      </c>
      <c r="F278" s="112" t="b">
        <v>1</v>
      </c>
      <c r="G278" s="112" t="b">
        <v>0</v>
      </c>
    </row>
    <row r="279" spans="1:7" ht="15">
      <c r="A279" s="112" t="s">
        <v>2346</v>
      </c>
      <c r="B279" s="112">
        <v>7</v>
      </c>
      <c r="C279" s="114">
        <v>0.0010966516835859543</v>
      </c>
      <c r="D279" s="112" t="s">
        <v>3314</v>
      </c>
      <c r="E279" s="112" t="b">
        <v>0</v>
      </c>
      <c r="F279" s="112" t="b">
        <v>0</v>
      </c>
      <c r="G279" s="112" t="b">
        <v>0</v>
      </c>
    </row>
    <row r="280" spans="1:7" ht="15">
      <c r="A280" s="112" t="s">
        <v>2347</v>
      </c>
      <c r="B280" s="112">
        <v>7</v>
      </c>
      <c r="C280" s="114">
        <v>0.001168243952434849</v>
      </c>
      <c r="D280" s="112" t="s">
        <v>3314</v>
      </c>
      <c r="E280" s="112" t="b">
        <v>0</v>
      </c>
      <c r="F280" s="112" t="b">
        <v>0</v>
      </c>
      <c r="G280" s="112" t="b">
        <v>0</v>
      </c>
    </row>
    <row r="281" spans="1:7" ht="15">
      <c r="A281" s="112" t="s">
        <v>2348</v>
      </c>
      <c r="B281" s="112">
        <v>7</v>
      </c>
      <c r="C281" s="114">
        <v>0.001168243952434849</v>
      </c>
      <c r="D281" s="112" t="s">
        <v>3314</v>
      </c>
      <c r="E281" s="112" t="b">
        <v>0</v>
      </c>
      <c r="F281" s="112" t="b">
        <v>0</v>
      </c>
      <c r="G281" s="112" t="b">
        <v>0</v>
      </c>
    </row>
    <row r="282" spans="1:7" ht="15">
      <c r="A282" s="112" t="s">
        <v>2349</v>
      </c>
      <c r="B282" s="112">
        <v>7</v>
      </c>
      <c r="C282" s="114">
        <v>0.001168243952434849</v>
      </c>
      <c r="D282" s="112" t="s">
        <v>3314</v>
      </c>
      <c r="E282" s="112" t="b">
        <v>0</v>
      </c>
      <c r="F282" s="112" t="b">
        <v>1</v>
      </c>
      <c r="G282" s="112" t="b">
        <v>0</v>
      </c>
    </row>
    <row r="283" spans="1:7" ht="15">
      <c r="A283" s="112" t="s">
        <v>2350</v>
      </c>
      <c r="B283" s="112">
        <v>7</v>
      </c>
      <c r="C283" s="114">
        <v>0.0009573862660348688</v>
      </c>
      <c r="D283" s="112" t="s">
        <v>3314</v>
      </c>
      <c r="E283" s="112" t="b">
        <v>0</v>
      </c>
      <c r="F283" s="112" t="b">
        <v>0</v>
      </c>
      <c r="G283" s="112" t="b">
        <v>0</v>
      </c>
    </row>
    <row r="284" spans="1:7" ht="15">
      <c r="A284" s="112" t="s">
        <v>2351</v>
      </c>
      <c r="B284" s="112">
        <v>7</v>
      </c>
      <c r="C284" s="114">
        <v>0.001041120405667127</v>
      </c>
      <c r="D284" s="112" t="s">
        <v>3314</v>
      </c>
      <c r="E284" s="112" t="b">
        <v>0</v>
      </c>
      <c r="F284" s="112" t="b">
        <v>0</v>
      </c>
      <c r="G284" s="112" t="b">
        <v>0</v>
      </c>
    </row>
    <row r="285" spans="1:7" ht="15">
      <c r="A285" s="112" t="s">
        <v>2352</v>
      </c>
      <c r="B285" s="112">
        <v>7</v>
      </c>
      <c r="C285" s="114">
        <v>0.0009957480479122667</v>
      </c>
      <c r="D285" s="112" t="s">
        <v>3314</v>
      </c>
      <c r="E285" s="112" t="b">
        <v>0</v>
      </c>
      <c r="F285" s="112" t="b">
        <v>0</v>
      </c>
      <c r="G285" s="112" t="b">
        <v>0</v>
      </c>
    </row>
    <row r="286" spans="1:7" ht="15">
      <c r="A286" s="112" t="s">
        <v>2353</v>
      </c>
      <c r="B286" s="112">
        <v>7</v>
      </c>
      <c r="C286" s="114">
        <v>0.001269147588108537</v>
      </c>
      <c r="D286" s="112" t="s">
        <v>3314</v>
      </c>
      <c r="E286" s="112" t="b">
        <v>0</v>
      </c>
      <c r="F286" s="112" t="b">
        <v>0</v>
      </c>
      <c r="G286" s="112" t="b">
        <v>0</v>
      </c>
    </row>
    <row r="287" spans="1:7" ht="15">
      <c r="A287" s="112" t="s">
        <v>2354</v>
      </c>
      <c r="B287" s="112">
        <v>7</v>
      </c>
      <c r="C287" s="114">
        <v>0.001269147588108537</v>
      </c>
      <c r="D287" s="112" t="s">
        <v>3314</v>
      </c>
      <c r="E287" s="112" t="b">
        <v>0</v>
      </c>
      <c r="F287" s="112" t="b">
        <v>0</v>
      </c>
      <c r="G287" s="112" t="b">
        <v>0</v>
      </c>
    </row>
    <row r="288" spans="1:7" ht="15">
      <c r="A288" s="112" t="s">
        <v>2355</v>
      </c>
      <c r="B288" s="112">
        <v>7</v>
      </c>
      <c r="C288" s="114">
        <v>0.0009957480479122667</v>
      </c>
      <c r="D288" s="112" t="s">
        <v>3314</v>
      </c>
      <c r="E288" s="112" t="b">
        <v>0</v>
      </c>
      <c r="F288" s="112" t="b">
        <v>0</v>
      </c>
      <c r="G288" s="112" t="b">
        <v>0</v>
      </c>
    </row>
    <row r="289" spans="1:7" ht="15">
      <c r="A289" s="112" t="s">
        <v>2356</v>
      </c>
      <c r="B289" s="112">
        <v>7</v>
      </c>
      <c r="C289" s="114">
        <v>0.0010966516835859543</v>
      </c>
      <c r="D289" s="112" t="s">
        <v>3314</v>
      </c>
      <c r="E289" s="112" t="b">
        <v>0</v>
      </c>
      <c r="F289" s="112" t="b">
        <v>0</v>
      </c>
      <c r="G289" s="112" t="b">
        <v>0</v>
      </c>
    </row>
    <row r="290" spans="1:7" ht="15">
      <c r="A290" s="112" t="s">
        <v>2357</v>
      </c>
      <c r="B290" s="112">
        <v>7</v>
      </c>
      <c r="C290" s="114">
        <v>0.0009573862660348688</v>
      </c>
      <c r="D290" s="112" t="s">
        <v>3314</v>
      </c>
      <c r="E290" s="112" t="b">
        <v>0</v>
      </c>
      <c r="F290" s="112" t="b">
        <v>0</v>
      </c>
      <c r="G290" s="112" t="b">
        <v>0</v>
      </c>
    </row>
    <row r="291" spans="1:7" ht="15">
      <c r="A291" s="112" t="s">
        <v>2358</v>
      </c>
      <c r="B291" s="112">
        <v>7</v>
      </c>
      <c r="C291" s="114">
        <v>0.0009573862660348688</v>
      </c>
      <c r="D291" s="112" t="s">
        <v>3314</v>
      </c>
      <c r="E291" s="112" t="b">
        <v>0</v>
      </c>
      <c r="F291" s="112" t="b">
        <v>0</v>
      </c>
      <c r="G291" s="112" t="b">
        <v>0</v>
      </c>
    </row>
    <row r="292" spans="1:7" ht="15">
      <c r="A292" s="112" t="s">
        <v>2359</v>
      </c>
      <c r="B292" s="112">
        <v>7</v>
      </c>
      <c r="C292" s="114">
        <v>0.0009957480479122667</v>
      </c>
      <c r="D292" s="112" t="s">
        <v>3314</v>
      </c>
      <c r="E292" s="112" t="b">
        <v>0</v>
      </c>
      <c r="F292" s="112" t="b">
        <v>0</v>
      </c>
      <c r="G292" s="112" t="b">
        <v>0</v>
      </c>
    </row>
    <row r="293" spans="1:7" ht="15">
      <c r="A293" s="112" t="s">
        <v>2360</v>
      </c>
      <c r="B293" s="112">
        <v>7</v>
      </c>
      <c r="C293" s="114">
        <v>0.0010966516835859543</v>
      </c>
      <c r="D293" s="112" t="s">
        <v>3314</v>
      </c>
      <c r="E293" s="112" t="b">
        <v>0</v>
      </c>
      <c r="F293" s="112" t="b">
        <v>0</v>
      </c>
      <c r="G293" s="112" t="b">
        <v>0</v>
      </c>
    </row>
    <row r="294" spans="1:7" ht="15">
      <c r="A294" s="112" t="s">
        <v>2361</v>
      </c>
      <c r="B294" s="112">
        <v>7</v>
      </c>
      <c r="C294" s="114">
        <v>0.0009573862660348688</v>
      </c>
      <c r="D294" s="112" t="s">
        <v>3314</v>
      </c>
      <c r="E294" s="112" t="b">
        <v>0</v>
      </c>
      <c r="F294" s="112" t="b">
        <v>0</v>
      </c>
      <c r="G294" s="112" t="b">
        <v>0</v>
      </c>
    </row>
    <row r="295" spans="1:7" ht="15">
      <c r="A295" s="112" t="s">
        <v>2362</v>
      </c>
      <c r="B295" s="112">
        <v>7</v>
      </c>
      <c r="C295" s="114">
        <v>0.0009957480479122667</v>
      </c>
      <c r="D295" s="112" t="s">
        <v>3314</v>
      </c>
      <c r="E295" s="112" t="b">
        <v>0</v>
      </c>
      <c r="F295" s="112" t="b">
        <v>0</v>
      </c>
      <c r="G295" s="112" t="b">
        <v>0</v>
      </c>
    </row>
    <row r="296" spans="1:7" ht="15">
      <c r="A296" s="112" t="s">
        <v>2363</v>
      </c>
      <c r="B296" s="112">
        <v>7</v>
      </c>
      <c r="C296" s="114">
        <v>0.0009957480479122667</v>
      </c>
      <c r="D296" s="112" t="s">
        <v>3314</v>
      </c>
      <c r="E296" s="112" t="b">
        <v>0</v>
      </c>
      <c r="F296" s="112" t="b">
        <v>1</v>
      </c>
      <c r="G296" s="112" t="b">
        <v>0</v>
      </c>
    </row>
    <row r="297" spans="1:7" ht="15">
      <c r="A297" s="112" t="s">
        <v>2364</v>
      </c>
      <c r="B297" s="112">
        <v>7</v>
      </c>
      <c r="C297" s="114">
        <v>0.001041120405667127</v>
      </c>
      <c r="D297" s="112" t="s">
        <v>3314</v>
      </c>
      <c r="E297" s="112" t="b">
        <v>0</v>
      </c>
      <c r="F297" s="112" t="b">
        <v>0</v>
      </c>
      <c r="G297" s="112" t="b">
        <v>0</v>
      </c>
    </row>
    <row r="298" spans="1:7" ht="15">
      <c r="A298" s="112" t="s">
        <v>2365</v>
      </c>
      <c r="B298" s="112">
        <v>7</v>
      </c>
      <c r="C298" s="114">
        <v>0.0009573862660348688</v>
      </c>
      <c r="D298" s="112" t="s">
        <v>3314</v>
      </c>
      <c r="E298" s="112" t="b">
        <v>0</v>
      </c>
      <c r="F298" s="112" t="b">
        <v>0</v>
      </c>
      <c r="G298" s="112" t="b">
        <v>0</v>
      </c>
    </row>
    <row r="299" spans="1:7" ht="15">
      <c r="A299" s="112" t="s">
        <v>2366</v>
      </c>
      <c r="B299" s="112">
        <v>7</v>
      </c>
      <c r="C299" s="114">
        <v>0.0009957480479122667</v>
      </c>
      <c r="D299" s="112" t="s">
        <v>3314</v>
      </c>
      <c r="E299" s="112" t="b">
        <v>0</v>
      </c>
      <c r="F299" s="112" t="b">
        <v>0</v>
      </c>
      <c r="G299" s="112" t="b">
        <v>0</v>
      </c>
    </row>
    <row r="300" spans="1:7" ht="15">
      <c r="A300" s="112" t="s">
        <v>2367</v>
      </c>
      <c r="B300" s="112">
        <v>7</v>
      </c>
      <c r="C300" s="114">
        <v>0.0010966516835859543</v>
      </c>
      <c r="D300" s="112" t="s">
        <v>3314</v>
      </c>
      <c r="E300" s="112" t="b">
        <v>1</v>
      </c>
      <c r="F300" s="112" t="b">
        <v>0</v>
      </c>
      <c r="G300" s="112" t="b">
        <v>0</v>
      </c>
    </row>
    <row r="301" spans="1:7" ht="15">
      <c r="A301" s="112" t="s">
        <v>2368</v>
      </c>
      <c r="B301" s="112">
        <v>7</v>
      </c>
      <c r="C301" s="114">
        <v>0.0009573862660348688</v>
      </c>
      <c r="D301" s="112" t="s">
        <v>3314</v>
      </c>
      <c r="E301" s="112" t="b">
        <v>0</v>
      </c>
      <c r="F301" s="112" t="b">
        <v>0</v>
      </c>
      <c r="G301" s="112" t="b">
        <v>0</v>
      </c>
    </row>
    <row r="302" spans="1:7" ht="15">
      <c r="A302" s="112" t="s">
        <v>2369</v>
      </c>
      <c r="B302" s="112">
        <v>7</v>
      </c>
      <c r="C302" s="114">
        <v>0.0009573862660348688</v>
      </c>
      <c r="D302" s="112" t="s">
        <v>3314</v>
      </c>
      <c r="E302" s="112" t="b">
        <v>0</v>
      </c>
      <c r="F302" s="112" t="b">
        <v>0</v>
      </c>
      <c r="G302" s="112" t="b">
        <v>0</v>
      </c>
    </row>
    <row r="303" spans="1:7" ht="15">
      <c r="A303" s="112" t="s">
        <v>2370</v>
      </c>
      <c r="B303" s="112">
        <v>7</v>
      </c>
      <c r="C303" s="114">
        <v>0.0010966516835859543</v>
      </c>
      <c r="D303" s="112" t="s">
        <v>3314</v>
      </c>
      <c r="E303" s="112" t="b">
        <v>0</v>
      </c>
      <c r="F303" s="112" t="b">
        <v>0</v>
      </c>
      <c r="G303" s="112" t="b">
        <v>0</v>
      </c>
    </row>
    <row r="304" spans="1:7" ht="15">
      <c r="A304" s="112" t="s">
        <v>2371</v>
      </c>
      <c r="B304" s="112">
        <v>7</v>
      </c>
      <c r="C304" s="114">
        <v>0.001168243952434849</v>
      </c>
      <c r="D304" s="112" t="s">
        <v>3314</v>
      </c>
      <c r="E304" s="112" t="b">
        <v>0</v>
      </c>
      <c r="F304" s="112" t="b">
        <v>1</v>
      </c>
      <c r="G304" s="112" t="b">
        <v>0</v>
      </c>
    </row>
    <row r="305" spans="1:7" ht="15">
      <c r="A305" s="112" t="s">
        <v>2372</v>
      </c>
      <c r="B305" s="112">
        <v>7</v>
      </c>
      <c r="C305" s="114">
        <v>0.0010966516835859543</v>
      </c>
      <c r="D305" s="112" t="s">
        <v>3314</v>
      </c>
      <c r="E305" s="112" t="b">
        <v>0</v>
      </c>
      <c r="F305" s="112" t="b">
        <v>0</v>
      </c>
      <c r="G305" s="112" t="b">
        <v>0</v>
      </c>
    </row>
    <row r="306" spans="1:7" ht="15">
      <c r="A306" s="112" t="s">
        <v>2373</v>
      </c>
      <c r="B306" s="112">
        <v>7</v>
      </c>
      <c r="C306" s="114">
        <v>0.0010966516835859543</v>
      </c>
      <c r="D306" s="112" t="s">
        <v>3314</v>
      </c>
      <c r="E306" s="112" t="b">
        <v>0</v>
      </c>
      <c r="F306" s="112" t="b">
        <v>0</v>
      </c>
      <c r="G306" s="112" t="b">
        <v>0</v>
      </c>
    </row>
    <row r="307" spans="1:7" ht="15">
      <c r="A307" s="112" t="s">
        <v>2374</v>
      </c>
      <c r="B307" s="112">
        <v>7</v>
      </c>
      <c r="C307" s="114">
        <v>0.0010966516835859543</v>
      </c>
      <c r="D307" s="112" t="s">
        <v>3314</v>
      </c>
      <c r="E307" s="112" t="b">
        <v>0</v>
      </c>
      <c r="F307" s="112" t="b">
        <v>0</v>
      </c>
      <c r="G307" s="112" t="b">
        <v>0</v>
      </c>
    </row>
    <row r="308" spans="1:7" ht="15">
      <c r="A308" s="112" t="s">
        <v>2375</v>
      </c>
      <c r="B308" s="112">
        <v>7</v>
      </c>
      <c r="C308" s="114">
        <v>0.0009957480479122667</v>
      </c>
      <c r="D308" s="112" t="s">
        <v>3314</v>
      </c>
      <c r="E308" s="112" t="b">
        <v>0</v>
      </c>
      <c r="F308" s="112" t="b">
        <v>0</v>
      </c>
      <c r="G308" s="112" t="b">
        <v>0</v>
      </c>
    </row>
    <row r="309" spans="1:7" ht="15">
      <c r="A309" s="112" t="s">
        <v>2376</v>
      </c>
      <c r="B309" s="112">
        <v>7</v>
      </c>
      <c r="C309" s="114">
        <v>0.001168243952434849</v>
      </c>
      <c r="D309" s="112" t="s">
        <v>3314</v>
      </c>
      <c r="E309" s="112" t="b">
        <v>0</v>
      </c>
      <c r="F309" s="112" t="b">
        <v>0</v>
      </c>
      <c r="G309" s="112" t="b">
        <v>0</v>
      </c>
    </row>
    <row r="310" spans="1:7" ht="15">
      <c r="A310" s="112" t="s">
        <v>2377</v>
      </c>
      <c r="B310" s="112">
        <v>7</v>
      </c>
      <c r="C310" s="114">
        <v>0.0009957480479122667</v>
      </c>
      <c r="D310" s="112" t="s">
        <v>3314</v>
      </c>
      <c r="E310" s="112" t="b">
        <v>0</v>
      </c>
      <c r="F310" s="112" t="b">
        <v>0</v>
      </c>
      <c r="G310" s="112" t="b">
        <v>0</v>
      </c>
    </row>
    <row r="311" spans="1:7" ht="15">
      <c r="A311" s="112" t="s">
        <v>2378</v>
      </c>
      <c r="B311" s="112">
        <v>7</v>
      </c>
      <c r="C311" s="114">
        <v>0.0009573862660348688</v>
      </c>
      <c r="D311" s="112" t="s">
        <v>3314</v>
      </c>
      <c r="E311" s="112" t="b">
        <v>0</v>
      </c>
      <c r="F311" s="112" t="b">
        <v>0</v>
      </c>
      <c r="G311" s="112" t="b">
        <v>0</v>
      </c>
    </row>
    <row r="312" spans="1:7" ht="15">
      <c r="A312" s="112" t="s">
        <v>2379</v>
      </c>
      <c r="B312" s="112">
        <v>7</v>
      </c>
      <c r="C312" s="114">
        <v>0.0009573862660348688</v>
      </c>
      <c r="D312" s="112" t="s">
        <v>3314</v>
      </c>
      <c r="E312" s="112" t="b">
        <v>1</v>
      </c>
      <c r="F312" s="112" t="b">
        <v>0</v>
      </c>
      <c r="G312" s="112" t="b">
        <v>0</v>
      </c>
    </row>
    <row r="313" spans="1:7" ht="15">
      <c r="A313" s="112" t="s">
        <v>2380</v>
      </c>
      <c r="B313" s="112">
        <v>7</v>
      </c>
      <c r="C313" s="114">
        <v>0.001269147588108537</v>
      </c>
      <c r="D313" s="112" t="s">
        <v>3314</v>
      </c>
      <c r="E313" s="112" t="b">
        <v>0</v>
      </c>
      <c r="F313" s="112" t="b">
        <v>1</v>
      </c>
      <c r="G313" s="112" t="b">
        <v>0</v>
      </c>
    </row>
    <row r="314" spans="1:7" ht="15">
      <c r="A314" s="112" t="s">
        <v>2381</v>
      </c>
      <c r="B314" s="112">
        <v>6</v>
      </c>
      <c r="C314" s="114">
        <v>0.0010878407898073173</v>
      </c>
      <c r="D314" s="112" t="s">
        <v>3314</v>
      </c>
      <c r="E314" s="112" t="b">
        <v>0</v>
      </c>
      <c r="F314" s="112" t="b">
        <v>0</v>
      </c>
      <c r="G314" s="112" t="b">
        <v>0</v>
      </c>
    </row>
    <row r="315" spans="1:7" ht="15">
      <c r="A315" s="112" t="s">
        <v>2382</v>
      </c>
      <c r="B315" s="112">
        <v>6</v>
      </c>
      <c r="C315" s="114">
        <v>0.0010013519592298706</v>
      </c>
      <c r="D315" s="112" t="s">
        <v>3314</v>
      </c>
      <c r="E315" s="112" t="b">
        <v>0</v>
      </c>
      <c r="F315" s="112" t="b">
        <v>0</v>
      </c>
      <c r="G315" s="112" t="b">
        <v>0</v>
      </c>
    </row>
    <row r="316" spans="1:7" ht="15">
      <c r="A316" s="112" t="s">
        <v>2383</v>
      </c>
      <c r="B316" s="112">
        <v>6</v>
      </c>
      <c r="C316" s="114">
        <v>0.0012356944222552452</v>
      </c>
      <c r="D316" s="112" t="s">
        <v>3314</v>
      </c>
      <c r="E316" s="112" t="b">
        <v>0</v>
      </c>
      <c r="F316" s="112" t="b">
        <v>0</v>
      </c>
      <c r="G316" s="112" t="b">
        <v>0</v>
      </c>
    </row>
    <row r="317" spans="1:7" ht="15">
      <c r="A317" s="112" t="s">
        <v>2384</v>
      </c>
      <c r="B317" s="112">
        <v>6</v>
      </c>
      <c r="C317" s="114">
        <v>0.0010013519592298706</v>
      </c>
      <c r="D317" s="112" t="s">
        <v>3314</v>
      </c>
      <c r="E317" s="112" t="b">
        <v>0</v>
      </c>
      <c r="F317" s="112" t="b">
        <v>0</v>
      </c>
      <c r="G317" s="112" t="b">
        <v>0</v>
      </c>
    </row>
    <row r="318" spans="1:7" ht="15">
      <c r="A318" s="112" t="s">
        <v>2385</v>
      </c>
      <c r="B318" s="112">
        <v>6</v>
      </c>
      <c r="C318" s="114">
        <v>0.0012356944222552452</v>
      </c>
      <c r="D318" s="112" t="s">
        <v>3314</v>
      </c>
      <c r="E318" s="112" t="b">
        <v>0</v>
      </c>
      <c r="F318" s="112" t="b">
        <v>0</v>
      </c>
      <c r="G318" s="112" t="b">
        <v>0</v>
      </c>
    </row>
    <row r="319" spans="1:7" ht="15">
      <c r="A319" s="112" t="s">
        <v>2386</v>
      </c>
      <c r="B319" s="112">
        <v>6</v>
      </c>
      <c r="C319" s="114">
        <v>0.0008923889191432516</v>
      </c>
      <c r="D319" s="112" t="s">
        <v>3314</v>
      </c>
      <c r="E319" s="112" t="b">
        <v>0</v>
      </c>
      <c r="F319" s="112" t="b">
        <v>0</v>
      </c>
      <c r="G319" s="112" t="b">
        <v>0</v>
      </c>
    </row>
    <row r="320" spans="1:7" ht="15">
      <c r="A320" s="112" t="s">
        <v>2387</v>
      </c>
      <c r="B320" s="112">
        <v>6</v>
      </c>
      <c r="C320" s="114">
        <v>0.0008923889191432516</v>
      </c>
      <c r="D320" s="112" t="s">
        <v>3314</v>
      </c>
      <c r="E320" s="112" t="b">
        <v>0</v>
      </c>
      <c r="F320" s="112" t="b">
        <v>0</v>
      </c>
      <c r="G320" s="112" t="b">
        <v>0</v>
      </c>
    </row>
    <row r="321" spans="1:7" ht="15">
      <c r="A321" s="112" t="s">
        <v>2388</v>
      </c>
      <c r="B321" s="112">
        <v>6</v>
      </c>
      <c r="C321" s="114">
        <v>0.0008923889191432516</v>
      </c>
      <c r="D321" s="112" t="s">
        <v>3314</v>
      </c>
      <c r="E321" s="112" t="b">
        <v>1</v>
      </c>
      <c r="F321" s="112" t="b">
        <v>0</v>
      </c>
      <c r="G321" s="112" t="b">
        <v>0</v>
      </c>
    </row>
    <row r="322" spans="1:7" ht="15">
      <c r="A322" s="112" t="s">
        <v>2389</v>
      </c>
      <c r="B322" s="112">
        <v>6</v>
      </c>
      <c r="C322" s="114">
        <v>0.0009399871573593893</v>
      </c>
      <c r="D322" s="112" t="s">
        <v>3314</v>
      </c>
      <c r="E322" s="112" t="b">
        <v>0</v>
      </c>
      <c r="F322" s="112" t="b">
        <v>0</v>
      </c>
      <c r="G322" s="112" t="b">
        <v>0</v>
      </c>
    </row>
    <row r="323" spans="1:7" ht="15">
      <c r="A323" s="112" t="s">
        <v>2390</v>
      </c>
      <c r="B323" s="112">
        <v>6</v>
      </c>
      <c r="C323" s="114">
        <v>0.0010878407898073173</v>
      </c>
      <c r="D323" s="112" t="s">
        <v>3314</v>
      </c>
      <c r="E323" s="112" t="b">
        <v>0</v>
      </c>
      <c r="F323" s="112" t="b">
        <v>0</v>
      </c>
      <c r="G323" s="112" t="b">
        <v>0</v>
      </c>
    </row>
    <row r="324" spans="1:7" ht="15">
      <c r="A324" s="112" t="s">
        <v>2391</v>
      </c>
      <c r="B324" s="112">
        <v>6</v>
      </c>
      <c r="C324" s="114">
        <v>0.0010878407898073173</v>
      </c>
      <c r="D324" s="112" t="s">
        <v>3314</v>
      </c>
      <c r="E324" s="112" t="b">
        <v>0</v>
      </c>
      <c r="F324" s="112" t="b">
        <v>0</v>
      </c>
      <c r="G324" s="112" t="b">
        <v>0</v>
      </c>
    </row>
    <row r="325" spans="1:7" ht="15">
      <c r="A325" s="112" t="s">
        <v>2392</v>
      </c>
      <c r="B325" s="112">
        <v>6</v>
      </c>
      <c r="C325" s="114">
        <v>0.0008923889191432516</v>
      </c>
      <c r="D325" s="112" t="s">
        <v>3314</v>
      </c>
      <c r="E325" s="112" t="b">
        <v>0</v>
      </c>
      <c r="F325" s="112" t="b">
        <v>0</v>
      </c>
      <c r="G325" s="112" t="b">
        <v>0</v>
      </c>
    </row>
    <row r="326" spans="1:7" ht="15">
      <c r="A326" s="112" t="s">
        <v>2393</v>
      </c>
      <c r="B326" s="112">
        <v>6</v>
      </c>
      <c r="C326" s="114">
        <v>0.0009399871573593893</v>
      </c>
      <c r="D326" s="112" t="s">
        <v>3314</v>
      </c>
      <c r="E326" s="112" t="b">
        <v>0</v>
      </c>
      <c r="F326" s="112" t="b">
        <v>0</v>
      </c>
      <c r="G326" s="112" t="b">
        <v>0</v>
      </c>
    </row>
    <row r="327" spans="1:7" ht="15">
      <c r="A327" s="112" t="s">
        <v>2394</v>
      </c>
      <c r="B327" s="112">
        <v>6</v>
      </c>
      <c r="C327" s="114">
        <v>0.0009399871573593893</v>
      </c>
      <c r="D327" s="112" t="s">
        <v>3314</v>
      </c>
      <c r="E327" s="112" t="b">
        <v>1</v>
      </c>
      <c r="F327" s="112" t="b">
        <v>0</v>
      </c>
      <c r="G327" s="112" t="b">
        <v>0</v>
      </c>
    </row>
    <row r="328" spans="1:7" ht="15">
      <c r="A328" s="112" t="s">
        <v>2395</v>
      </c>
      <c r="B328" s="112">
        <v>6</v>
      </c>
      <c r="C328" s="114">
        <v>0.0009399871573593893</v>
      </c>
      <c r="D328" s="112" t="s">
        <v>3314</v>
      </c>
      <c r="E328" s="112" t="b">
        <v>0</v>
      </c>
      <c r="F328" s="112" t="b">
        <v>0</v>
      </c>
      <c r="G328" s="112" t="b">
        <v>0</v>
      </c>
    </row>
    <row r="329" spans="1:7" ht="15">
      <c r="A329" s="112" t="s">
        <v>2396</v>
      </c>
      <c r="B329" s="112">
        <v>6</v>
      </c>
      <c r="C329" s="114">
        <v>0.0010013519592298706</v>
      </c>
      <c r="D329" s="112" t="s">
        <v>3314</v>
      </c>
      <c r="E329" s="112" t="b">
        <v>0</v>
      </c>
      <c r="F329" s="112" t="b">
        <v>0</v>
      </c>
      <c r="G329" s="112" t="b">
        <v>0</v>
      </c>
    </row>
    <row r="330" spans="1:7" ht="15">
      <c r="A330" s="112" t="s">
        <v>2397</v>
      </c>
      <c r="B330" s="112">
        <v>6</v>
      </c>
      <c r="C330" s="114">
        <v>0.0010013519592298706</v>
      </c>
      <c r="D330" s="112" t="s">
        <v>3314</v>
      </c>
      <c r="E330" s="112" t="b">
        <v>0</v>
      </c>
      <c r="F330" s="112" t="b">
        <v>0</v>
      </c>
      <c r="G330" s="112" t="b">
        <v>0</v>
      </c>
    </row>
    <row r="331" spans="1:7" ht="15">
      <c r="A331" s="112" t="s">
        <v>2398</v>
      </c>
      <c r="B331" s="112">
        <v>6</v>
      </c>
      <c r="C331" s="114">
        <v>0.0012356944222552452</v>
      </c>
      <c r="D331" s="112" t="s">
        <v>3314</v>
      </c>
      <c r="E331" s="112" t="b">
        <v>0</v>
      </c>
      <c r="F331" s="112" t="b">
        <v>0</v>
      </c>
      <c r="G331" s="112" t="b">
        <v>0</v>
      </c>
    </row>
    <row r="332" spans="1:7" ht="15">
      <c r="A332" s="112" t="s">
        <v>2399</v>
      </c>
      <c r="B332" s="112">
        <v>6</v>
      </c>
      <c r="C332" s="114">
        <v>0.0009399871573593893</v>
      </c>
      <c r="D332" s="112" t="s">
        <v>3314</v>
      </c>
      <c r="E332" s="112" t="b">
        <v>0</v>
      </c>
      <c r="F332" s="112" t="b">
        <v>0</v>
      </c>
      <c r="G332" s="112" t="b">
        <v>0</v>
      </c>
    </row>
    <row r="333" spans="1:7" ht="15">
      <c r="A333" s="112" t="s">
        <v>2400</v>
      </c>
      <c r="B333" s="112">
        <v>6</v>
      </c>
      <c r="C333" s="114">
        <v>0.0012356944222552452</v>
      </c>
      <c r="D333" s="112" t="s">
        <v>3314</v>
      </c>
      <c r="E333" s="112" t="b">
        <v>0</v>
      </c>
      <c r="F333" s="112" t="b">
        <v>0</v>
      </c>
      <c r="G333" s="112" t="b">
        <v>0</v>
      </c>
    </row>
    <row r="334" spans="1:7" ht="15">
      <c r="A334" s="112" t="s">
        <v>2401</v>
      </c>
      <c r="B334" s="112">
        <v>6</v>
      </c>
      <c r="C334" s="114">
        <v>0.0010878407898073173</v>
      </c>
      <c r="D334" s="112" t="s">
        <v>3314</v>
      </c>
      <c r="E334" s="112" t="b">
        <v>0</v>
      </c>
      <c r="F334" s="112" t="b">
        <v>0</v>
      </c>
      <c r="G334" s="112" t="b">
        <v>0</v>
      </c>
    </row>
    <row r="335" spans="1:7" ht="15">
      <c r="A335" s="112" t="s">
        <v>2402</v>
      </c>
      <c r="B335" s="112">
        <v>6</v>
      </c>
      <c r="C335" s="114">
        <v>0.0012356944222552452</v>
      </c>
      <c r="D335" s="112" t="s">
        <v>3314</v>
      </c>
      <c r="E335" s="112" t="b">
        <v>0</v>
      </c>
      <c r="F335" s="112" t="b">
        <v>0</v>
      </c>
      <c r="G335" s="112" t="b">
        <v>0</v>
      </c>
    </row>
    <row r="336" spans="1:7" ht="15">
      <c r="A336" s="112" t="s">
        <v>2403</v>
      </c>
      <c r="B336" s="112">
        <v>6</v>
      </c>
      <c r="C336" s="114">
        <v>0.0008534983267819426</v>
      </c>
      <c r="D336" s="112" t="s">
        <v>3314</v>
      </c>
      <c r="E336" s="112" t="b">
        <v>0</v>
      </c>
      <c r="F336" s="112" t="b">
        <v>0</v>
      </c>
      <c r="G336" s="112" t="b">
        <v>0</v>
      </c>
    </row>
    <row r="337" spans="1:7" ht="15">
      <c r="A337" s="112" t="s">
        <v>2404</v>
      </c>
      <c r="B337" s="112">
        <v>6</v>
      </c>
      <c r="C337" s="114">
        <v>0.0008534983267819426</v>
      </c>
      <c r="D337" s="112" t="s">
        <v>3314</v>
      </c>
      <c r="E337" s="112" t="b">
        <v>0</v>
      </c>
      <c r="F337" s="112" t="b">
        <v>1</v>
      </c>
      <c r="G337" s="112" t="b">
        <v>0</v>
      </c>
    </row>
    <row r="338" spans="1:7" ht="15">
      <c r="A338" s="112" t="s">
        <v>1390</v>
      </c>
      <c r="B338" s="112">
        <v>6</v>
      </c>
      <c r="C338" s="114">
        <v>0.0008923889191432516</v>
      </c>
      <c r="D338" s="112" t="s">
        <v>3314</v>
      </c>
      <c r="E338" s="112" t="b">
        <v>0</v>
      </c>
      <c r="F338" s="112" t="b">
        <v>0</v>
      </c>
      <c r="G338" s="112" t="b">
        <v>0</v>
      </c>
    </row>
    <row r="339" spans="1:7" ht="15">
      <c r="A339" s="112" t="s">
        <v>2405</v>
      </c>
      <c r="B339" s="112">
        <v>6</v>
      </c>
      <c r="C339" s="114">
        <v>0.0009399871573593893</v>
      </c>
      <c r="D339" s="112" t="s">
        <v>3314</v>
      </c>
      <c r="E339" s="112" t="b">
        <v>0</v>
      </c>
      <c r="F339" s="112" t="b">
        <v>0</v>
      </c>
      <c r="G339" s="112" t="b">
        <v>0</v>
      </c>
    </row>
    <row r="340" spans="1:7" ht="15">
      <c r="A340" s="112" t="s">
        <v>2406</v>
      </c>
      <c r="B340" s="112">
        <v>6</v>
      </c>
      <c r="C340" s="114">
        <v>0.0010013519592298706</v>
      </c>
      <c r="D340" s="112" t="s">
        <v>3314</v>
      </c>
      <c r="E340" s="112" t="b">
        <v>0</v>
      </c>
      <c r="F340" s="112" t="b">
        <v>0</v>
      </c>
      <c r="G340" s="112" t="b">
        <v>0</v>
      </c>
    </row>
    <row r="341" spans="1:7" ht="15">
      <c r="A341" s="112" t="s">
        <v>2407</v>
      </c>
      <c r="B341" s="112">
        <v>6</v>
      </c>
      <c r="C341" s="114">
        <v>0.0008534983267819426</v>
      </c>
      <c r="D341" s="112" t="s">
        <v>3314</v>
      </c>
      <c r="E341" s="112" t="b">
        <v>0</v>
      </c>
      <c r="F341" s="112" t="b">
        <v>1</v>
      </c>
      <c r="G341" s="112" t="b">
        <v>0</v>
      </c>
    </row>
    <row r="342" spans="1:7" ht="15">
      <c r="A342" s="112" t="s">
        <v>2408</v>
      </c>
      <c r="B342" s="112">
        <v>6</v>
      </c>
      <c r="C342" s="114">
        <v>0.0009399871573593893</v>
      </c>
      <c r="D342" s="112" t="s">
        <v>3314</v>
      </c>
      <c r="E342" s="112" t="b">
        <v>0</v>
      </c>
      <c r="F342" s="112" t="b">
        <v>0</v>
      </c>
      <c r="G342" s="112" t="b">
        <v>0</v>
      </c>
    </row>
    <row r="343" spans="1:7" ht="15">
      <c r="A343" s="112" t="s">
        <v>2409</v>
      </c>
      <c r="B343" s="112">
        <v>6</v>
      </c>
      <c r="C343" s="114">
        <v>0.0008534983267819426</v>
      </c>
      <c r="D343" s="112" t="s">
        <v>3314</v>
      </c>
      <c r="E343" s="112" t="b">
        <v>0</v>
      </c>
      <c r="F343" s="112" t="b">
        <v>0</v>
      </c>
      <c r="G343" s="112" t="b">
        <v>0</v>
      </c>
    </row>
    <row r="344" spans="1:7" ht="15">
      <c r="A344" s="112" t="s">
        <v>2410</v>
      </c>
      <c r="B344" s="112">
        <v>6</v>
      </c>
      <c r="C344" s="114">
        <v>0.0010013519592298706</v>
      </c>
      <c r="D344" s="112" t="s">
        <v>3314</v>
      </c>
      <c r="E344" s="112" t="b">
        <v>0</v>
      </c>
      <c r="F344" s="112" t="b">
        <v>0</v>
      </c>
      <c r="G344" s="112" t="b">
        <v>0</v>
      </c>
    </row>
    <row r="345" spans="1:7" ht="15">
      <c r="A345" s="112" t="s">
        <v>2411</v>
      </c>
      <c r="B345" s="112">
        <v>6</v>
      </c>
      <c r="C345" s="114">
        <v>0.0008923889191432516</v>
      </c>
      <c r="D345" s="112" t="s">
        <v>3314</v>
      </c>
      <c r="E345" s="112" t="b">
        <v>0</v>
      </c>
      <c r="F345" s="112" t="b">
        <v>0</v>
      </c>
      <c r="G345" s="112" t="b">
        <v>0</v>
      </c>
    </row>
    <row r="346" spans="1:7" ht="15">
      <c r="A346" s="112" t="s">
        <v>2412</v>
      </c>
      <c r="B346" s="112">
        <v>6</v>
      </c>
      <c r="C346" s="114">
        <v>0.0008534983267819426</v>
      </c>
      <c r="D346" s="112" t="s">
        <v>3314</v>
      </c>
      <c r="E346" s="112" t="b">
        <v>0</v>
      </c>
      <c r="F346" s="112" t="b">
        <v>0</v>
      </c>
      <c r="G346" s="112" t="b">
        <v>0</v>
      </c>
    </row>
    <row r="347" spans="1:7" ht="15">
      <c r="A347" s="112" t="s">
        <v>2413</v>
      </c>
      <c r="B347" s="112">
        <v>6</v>
      </c>
      <c r="C347" s="114">
        <v>0.0008534983267819426</v>
      </c>
      <c r="D347" s="112" t="s">
        <v>3314</v>
      </c>
      <c r="E347" s="112" t="b">
        <v>0</v>
      </c>
      <c r="F347" s="112" t="b">
        <v>0</v>
      </c>
      <c r="G347" s="112" t="b">
        <v>0</v>
      </c>
    </row>
    <row r="348" spans="1:7" ht="15">
      <c r="A348" s="112" t="s">
        <v>2414</v>
      </c>
      <c r="B348" s="112">
        <v>6</v>
      </c>
      <c r="C348" s="114">
        <v>0.0008534983267819426</v>
      </c>
      <c r="D348" s="112" t="s">
        <v>3314</v>
      </c>
      <c r="E348" s="112" t="b">
        <v>0</v>
      </c>
      <c r="F348" s="112" t="b">
        <v>0</v>
      </c>
      <c r="G348" s="112" t="b">
        <v>0</v>
      </c>
    </row>
    <row r="349" spans="1:7" ht="15">
      <c r="A349" s="112" t="s">
        <v>2415</v>
      </c>
      <c r="B349" s="112">
        <v>6</v>
      </c>
      <c r="C349" s="114">
        <v>0.0008923889191432516</v>
      </c>
      <c r="D349" s="112" t="s">
        <v>3314</v>
      </c>
      <c r="E349" s="112" t="b">
        <v>0</v>
      </c>
      <c r="F349" s="112" t="b">
        <v>0</v>
      </c>
      <c r="G349" s="112" t="b">
        <v>0</v>
      </c>
    </row>
    <row r="350" spans="1:7" ht="15">
      <c r="A350" s="112" t="s">
        <v>2416</v>
      </c>
      <c r="B350" s="112">
        <v>6</v>
      </c>
      <c r="C350" s="114">
        <v>0.0010878407898073173</v>
      </c>
      <c r="D350" s="112" t="s">
        <v>3314</v>
      </c>
      <c r="E350" s="112" t="b">
        <v>0</v>
      </c>
      <c r="F350" s="112" t="b">
        <v>0</v>
      </c>
      <c r="G350" s="112" t="b">
        <v>0</v>
      </c>
    </row>
    <row r="351" spans="1:7" ht="15">
      <c r="A351" s="112" t="s">
        <v>2417</v>
      </c>
      <c r="B351" s="112">
        <v>6</v>
      </c>
      <c r="C351" s="114">
        <v>0.0008534983267819426</v>
      </c>
      <c r="D351" s="112" t="s">
        <v>3314</v>
      </c>
      <c r="E351" s="112" t="b">
        <v>0</v>
      </c>
      <c r="F351" s="112" t="b">
        <v>0</v>
      </c>
      <c r="G351" s="112" t="b">
        <v>0</v>
      </c>
    </row>
    <row r="352" spans="1:7" ht="15">
      <c r="A352" s="112" t="s">
        <v>2418</v>
      </c>
      <c r="B352" s="112">
        <v>6</v>
      </c>
      <c r="C352" s="114">
        <v>0.0010878407898073173</v>
      </c>
      <c r="D352" s="112" t="s">
        <v>3314</v>
      </c>
      <c r="E352" s="112" t="b">
        <v>1</v>
      </c>
      <c r="F352" s="112" t="b">
        <v>0</v>
      </c>
      <c r="G352" s="112" t="b">
        <v>0</v>
      </c>
    </row>
    <row r="353" spans="1:7" ht="15">
      <c r="A353" s="112" t="s">
        <v>2419</v>
      </c>
      <c r="B353" s="112">
        <v>6</v>
      </c>
      <c r="C353" s="114">
        <v>0.0008534983267819426</v>
      </c>
      <c r="D353" s="112" t="s">
        <v>3314</v>
      </c>
      <c r="E353" s="112" t="b">
        <v>0</v>
      </c>
      <c r="F353" s="112" t="b">
        <v>0</v>
      </c>
      <c r="G353" s="112" t="b">
        <v>0</v>
      </c>
    </row>
    <row r="354" spans="1:7" ht="15">
      <c r="A354" s="112" t="s">
        <v>2420</v>
      </c>
      <c r="B354" s="112">
        <v>6</v>
      </c>
      <c r="C354" s="114">
        <v>0.0008534983267819426</v>
      </c>
      <c r="D354" s="112" t="s">
        <v>3314</v>
      </c>
      <c r="E354" s="112" t="b">
        <v>0</v>
      </c>
      <c r="F354" s="112" t="b">
        <v>0</v>
      </c>
      <c r="G354" s="112" t="b">
        <v>0</v>
      </c>
    </row>
    <row r="355" spans="1:7" ht="15">
      <c r="A355" s="112" t="s">
        <v>2421</v>
      </c>
      <c r="B355" s="112">
        <v>6</v>
      </c>
      <c r="C355" s="114">
        <v>0.0010013519592298706</v>
      </c>
      <c r="D355" s="112" t="s">
        <v>3314</v>
      </c>
      <c r="E355" s="112" t="b">
        <v>0</v>
      </c>
      <c r="F355" s="112" t="b">
        <v>0</v>
      </c>
      <c r="G355" s="112" t="b">
        <v>0</v>
      </c>
    </row>
    <row r="356" spans="1:7" ht="15">
      <c r="A356" s="112" t="s">
        <v>2422</v>
      </c>
      <c r="B356" s="112">
        <v>6</v>
      </c>
      <c r="C356" s="114">
        <v>0.0010878407898073173</v>
      </c>
      <c r="D356" s="112" t="s">
        <v>3314</v>
      </c>
      <c r="E356" s="112" t="b">
        <v>0</v>
      </c>
      <c r="F356" s="112" t="b">
        <v>0</v>
      </c>
      <c r="G356" s="112" t="b">
        <v>0</v>
      </c>
    </row>
    <row r="357" spans="1:7" ht="15">
      <c r="A357" s="112" t="s">
        <v>2423</v>
      </c>
      <c r="B357" s="112">
        <v>6</v>
      </c>
      <c r="C357" s="114">
        <v>0.0010013519592298706</v>
      </c>
      <c r="D357" s="112" t="s">
        <v>3314</v>
      </c>
      <c r="E357" s="112" t="b">
        <v>0</v>
      </c>
      <c r="F357" s="112" t="b">
        <v>0</v>
      </c>
      <c r="G357" s="112" t="b">
        <v>0</v>
      </c>
    </row>
    <row r="358" spans="1:7" ht="15">
      <c r="A358" s="112" t="s">
        <v>2424</v>
      </c>
      <c r="B358" s="112">
        <v>6</v>
      </c>
      <c r="C358" s="114">
        <v>0.0008534983267819426</v>
      </c>
      <c r="D358" s="112" t="s">
        <v>3314</v>
      </c>
      <c r="E358" s="112" t="b">
        <v>0</v>
      </c>
      <c r="F358" s="112" t="b">
        <v>0</v>
      </c>
      <c r="G358" s="112" t="b">
        <v>0</v>
      </c>
    </row>
    <row r="359" spans="1:7" ht="15">
      <c r="A359" s="112" t="s">
        <v>2425</v>
      </c>
      <c r="B359" s="112">
        <v>6</v>
      </c>
      <c r="C359" s="114">
        <v>0.0012356944222552452</v>
      </c>
      <c r="D359" s="112" t="s">
        <v>3314</v>
      </c>
      <c r="E359" s="112" t="b">
        <v>0</v>
      </c>
      <c r="F359" s="112" t="b">
        <v>0</v>
      </c>
      <c r="G359" s="112" t="b">
        <v>0</v>
      </c>
    </row>
    <row r="360" spans="1:7" ht="15">
      <c r="A360" s="112" t="s">
        <v>2426</v>
      </c>
      <c r="B360" s="112">
        <v>6</v>
      </c>
      <c r="C360" s="114">
        <v>0.0008534983267819426</v>
      </c>
      <c r="D360" s="112" t="s">
        <v>3314</v>
      </c>
      <c r="E360" s="112" t="b">
        <v>0</v>
      </c>
      <c r="F360" s="112" t="b">
        <v>0</v>
      </c>
      <c r="G360" s="112" t="b">
        <v>0</v>
      </c>
    </row>
    <row r="361" spans="1:7" ht="15">
      <c r="A361" s="112" t="s">
        <v>2427</v>
      </c>
      <c r="B361" s="112">
        <v>6</v>
      </c>
      <c r="C361" s="114">
        <v>0.0010013519592298706</v>
      </c>
      <c r="D361" s="112" t="s">
        <v>3314</v>
      </c>
      <c r="E361" s="112" t="b">
        <v>0</v>
      </c>
      <c r="F361" s="112" t="b">
        <v>0</v>
      </c>
      <c r="G361" s="112" t="b">
        <v>0</v>
      </c>
    </row>
    <row r="362" spans="1:7" ht="15">
      <c r="A362" s="112" t="s">
        <v>2428</v>
      </c>
      <c r="B362" s="112">
        <v>6</v>
      </c>
      <c r="C362" s="114">
        <v>0.0010878407898073173</v>
      </c>
      <c r="D362" s="112" t="s">
        <v>3314</v>
      </c>
      <c r="E362" s="112" t="b">
        <v>0</v>
      </c>
      <c r="F362" s="112" t="b">
        <v>0</v>
      </c>
      <c r="G362" s="112" t="b">
        <v>0</v>
      </c>
    </row>
    <row r="363" spans="1:7" ht="15">
      <c r="A363" s="112" t="s">
        <v>2429</v>
      </c>
      <c r="B363" s="112">
        <v>6</v>
      </c>
      <c r="C363" s="114">
        <v>0.0012356944222552452</v>
      </c>
      <c r="D363" s="112" t="s">
        <v>3314</v>
      </c>
      <c r="E363" s="112" t="b">
        <v>0</v>
      </c>
      <c r="F363" s="112" t="b">
        <v>0</v>
      </c>
      <c r="G363" s="112" t="b">
        <v>0</v>
      </c>
    </row>
    <row r="364" spans="1:7" ht="15">
      <c r="A364" s="112" t="s">
        <v>2430</v>
      </c>
      <c r="B364" s="112">
        <v>6</v>
      </c>
      <c r="C364" s="114">
        <v>0.0012356944222552452</v>
      </c>
      <c r="D364" s="112" t="s">
        <v>3314</v>
      </c>
      <c r="E364" s="112" t="b">
        <v>0</v>
      </c>
      <c r="F364" s="112" t="b">
        <v>0</v>
      </c>
      <c r="G364" s="112" t="b">
        <v>0</v>
      </c>
    </row>
    <row r="365" spans="1:7" ht="15">
      <c r="A365" s="112" t="s">
        <v>2431</v>
      </c>
      <c r="B365" s="112">
        <v>5</v>
      </c>
      <c r="C365" s="114">
        <v>0.0007436574326193763</v>
      </c>
      <c r="D365" s="112" t="s">
        <v>3314</v>
      </c>
      <c r="E365" s="112" t="b">
        <v>0</v>
      </c>
      <c r="F365" s="112" t="b">
        <v>0</v>
      </c>
      <c r="G365" s="112" t="b">
        <v>0</v>
      </c>
    </row>
    <row r="366" spans="1:7" ht="15">
      <c r="A366" s="112" t="s">
        <v>2432</v>
      </c>
      <c r="B366" s="112">
        <v>5</v>
      </c>
      <c r="C366" s="114">
        <v>0.0007436574326193763</v>
      </c>
      <c r="D366" s="112" t="s">
        <v>3314</v>
      </c>
      <c r="E366" s="112" t="b">
        <v>0</v>
      </c>
      <c r="F366" s="112" t="b">
        <v>0</v>
      </c>
      <c r="G366" s="112" t="b">
        <v>0</v>
      </c>
    </row>
    <row r="367" spans="1:7" ht="15">
      <c r="A367" s="112" t="s">
        <v>2433</v>
      </c>
      <c r="B367" s="112">
        <v>5</v>
      </c>
      <c r="C367" s="114">
        <v>0.001029745351879371</v>
      </c>
      <c r="D367" s="112" t="s">
        <v>3314</v>
      </c>
      <c r="E367" s="112" t="b">
        <v>0</v>
      </c>
      <c r="F367" s="112" t="b">
        <v>0</v>
      </c>
      <c r="G367" s="112" t="b">
        <v>0</v>
      </c>
    </row>
    <row r="368" spans="1:7" ht="15">
      <c r="A368" s="112" t="s">
        <v>2434</v>
      </c>
      <c r="B368" s="112">
        <v>5</v>
      </c>
      <c r="C368" s="114">
        <v>0.0008344599660248922</v>
      </c>
      <c r="D368" s="112" t="s">
        <v>3314</v>
      </c>
      <c r="E368" s="112" t="b">
        <v>0</v>
      </c>
      <c r="F368" s="112" t="b">
        <v>0</v>
      </c>
      <c r="G368" s="112" t="b">
        <v>0</v>
      </c>
    </row>
    <row r="369" spans="1:7" ht="15">
      <c r="A369" s="112" t="s">
        <v>2435</v>
      </c>
      <c r="B369" s="112">
        <v>5</v>
      </c>
      <c r="C369" s="114">
        <v>0.0007833226311328244</v>
      </c>
      <c r="D369" s="112" t="s">
        <v>3314</v>
      </c>
      <c r="E369" s="112" t="b">
        <v>0</v>
      </c>
      <c r="F369" s="112" t="b">
        <v>0</v>
      </c>
      <c r="G369" s="112" t="b">
        <v>0</v>
      </c>
    </row>
    <row r="370" spans="1:7" ht="15">
      <c r="A370" s="112" t="s">
        <v>2436</v>
      </c>
      <c r="B370" s="112">
        <v>5</v>
      </c>
      <c r="C370" s="114">
        <v>0.0009065339915060977</v>
      </c>
      <c r="D370" s="112" t="s">
        <v>3314</v>
      </c>
      <c r="E370" s="112" t="b">
        <v>0</v>
      </c>
      <c r="F370" s="112" t="b">
        <v>0</v>
      </c>
      <c r="G370" s="112" t="b">
        <v>0</v>
      </c>
    </row>
    <row r="371" spans="1:7" ht="15">
      <c r="A371" s="112" t="s">
        <v>2437</v>
      </c>
      <c r="B371" s="112">
        <v>5</v>
      </c>
      <c r="C371" s="114">
        <v>0.0007436574326193763</v>
      </c>
      <c r="D371" s="112" t="s">
        <v>3314</v>
      </c>
      <c r="E371" s="112" t="b">
        <v>0</v>
      </c>
      <c r="F371" s="112" t="b">
        <v>0</v>
      </c>
      <c r="G371" s="112" t="b">
        <v>0</v>
      </c>
    </row>
    <row r="372" spans="1:7" ht="15">
      <c r="A372" s="112" t="s">
        <v>2438</v>
      </c>
      <c r="B372" s="112">
        <v>5</v>
      </c>
      <c r="C372" s="114">
        <v>0.0008344599660248922</v>
      </c>
      <c r="D372" s="112" t="s">
        <v>3314</v>
      </c>
      <c r="E372" s="112" t="b">
        <v>0</v>
      </c>
      <c r="F372" s="112" t="b">
        <v>0</v>
      </c>
      <c r="G372" s="112" t="b">
        <v>0</v>
      </c>
    </row>
    <row r="373" spans="1:7" ht="15">
      <c r="A373" s="112" t="s">
        <v>2439</v>
      </c>
      <c r="B373" s="112">
        <v>5</v>
      </c>
      <c r="C373" s="114">
        <v>0.0008344599660248922</v>
      </c>
      <c r="D373" s="112" t="s">
        <v>3314</v>
      </c>
      <c r="E373" s="112" t="b">
        <v>0</v>
      </c>
      <c r="F373" s="112" t="b">
        <v>0</v>
      </c>
      <c r="G373" s="112" t="b">
        <v>0</v>
      </c>
    </row>
    <row r="374" spans="1:7" ht="15">
      <c r="A374" s="112" t="s">
        <v>2440</v>
      </c>
      <c r="B374" s="112">
        <v>5</v>
      </c>
      <c r="C374" s="114">
        <v>0.0007436574326193763</v>
      </c>
      <c r="D374" s="112" t="s">
        <v>3314</v>
      </c>
      <c r="E374" s="112" t="b">
        <v>0</v>
      </c>
      <c r="F374" s="112" t="b">
        <v>0</v>
      </c>
      <c r="G374" s="112" t="b">
        <v>0</v>
      </c>
    </row>
    <row r="375" spans="1:7" ht="15">
      <c r="A375" s="112" t="s">
        <v>2441</v>
      </c>
      <c r="B375" s="112">
        <v>5</v>
      </c>
      <c r="C375" s="114">
        <v>0.001029745351879371</v>
      </c>
      <c r="D375" s="112" t="s">
        <v>3314</v>
      </c>
      <c r="E375" s="112" t="b">
        <v>0</v>
      </c>
      <c r="F375" s="112" t="b">
        <v>0</v>
      </c>
      <c r="G375" s="112" t="b">
        <v>0</v>
      </c>
    </row>
    <row r="376" spans="1:7" ht="15">
      <c r="A376" s="112" t="s">
        <v>2442</v>
      </c>
      <c r="B376" s="112">
        <v>5</v>
      </c>
      <c r="C376" s="114">
        <v>0.0007833226311328244</v>
      </c>
      <c r="D376" s="112" t="s">
        <v>3314</v>
      </c>
      <c r="E376" s="112" t="b">
        <v>0</v>
      </c>
      <c r="F376" s="112" t="b">
        <v>0</v>
      </c>
      <c r="G376" s="112" t="b">
        <v>0</v>
      </c>
    </row>
    <row r="377" spans="1:7" ht="15">
      <c r="A377" s="112" t="s">
        <v>2443</v>
      </c>
      <c r="B377" s="112">
        <v>5</v>
      </c>
      <c r="C377" s="114">
        <v>0.0008344599660248922</v>
      </c>
      <c r="D377" s="112" t="s">
        <v>3314</v>
      </c>
      <c r="E377" s="112" t="b">
        <v>0</v>
      </c>
      <c r="F377" s="112" t="b">
        <v>0</v>
      </c>
      <c r="G377" s="112" t="b">
        <v>0</v>
      </c>
    </row>
    <row r="378" spans="1:7" ht="15">
      <c r="A378" s="112" t="s">
        <v>2444</v>
      </c>
      <c r="B378" s="112">
        <v>5</v>
      </c>
      <c r="C378" s="114">
        <v>0.001029745351879371</v>
      </c>
      <c r="D378" s="112" t="s">
        <v>3314</v>
      </c>
      <c r="E378" s="112" t="b">
        <v>0</v>
      </c>
      <c r="F378" s="112" t="b">
        <v>0</v>
      </c>
      <c r="G378" s="112" t="b">
        <v>0</v>
      </c>
    </row>
    <row r="379" spans="1:7" ht="15">
      <c r="A379" s="112" t="s">
        <v>2445</v>
      </c>
      <c r="B379" s="112">
        <v>5</v>
      </c>
      <c r="C379" s="114">
        <v>0.0008344599660248922</v>
      </c>
      <c r="D379" s="112" t="s">
        <v>3314</v>
      </c>
      <c r="E379" s="112" t="b">
        <v>0</v>
      </c>
      <c r="F379" s="112" t="b">
        <v>0</v>
      </c>
      <c r="G379" s="112" t="b">
        <v>0</v>
      </c>
    </row>
    <row r="380" spans="1:7" ht="15">
      <c r="A380" s="112" t="s">
        <v>2446</v>
      </c>
      <c r="B380" s="112">
        <v>5</v>
      </c>
      <c r="C380" s="114">
        <v>0.0008344599660248922</v>
      </c>
      <c r="D380" s="112" t="s">
        <v>3314</v>
      </c>
      <c r="E380" s="112" t="b">
        <v>0</v>
      </c>
      <c r="F380" s="112" t="b">
        <v>1</v>
      </c>
      <c r="G380" s="112" t="b">
        <v>0</v>
      </c>
    </row>
    <row r="381" spans="1:7" ht="15">
      <c r="A381" s="112" t="s">
        <v>2447</v>
      </c>
      <c r="B381" s="112">
        <v>5</v>
      </c>
      <c r="C381" s="114">
        <v>0.0008344599660248922</v>
      </c>
      <c r="D381" s="112" t="s">
        <v>3314</v>
      </c>
      <c r="E381" s="112" t="b">
        <v>0</v>
      </c>
      <c r="F381" s="112" t="b">
        <v>0</v>
      </c>
      <c r="G381" s="112" t="b">
        <v>0</v>
      </c>
    </row>
    <row r="382" spans="1:7" ht="15">
      <c r="A382" s="112" t="s">
        <v>2448</v>
      </c>
      <c r="B382" s="112">
        <v>5</v>
      </c>
      <c r="C382" s="114">
        <v>0.0007436574326193763</v>
      </c>
      <c r="D382" s="112" t="s">
        <v>3314</v>
      </c>
      <c r="E382" s="112" t="b">
        <v>0</v>
      </c>
      <c r="F382" s="112" t="b">
        <v>0</v>
      </c>
      <c r="G382" s="112" t="b">
        <v>0</v>
      </c>
    </row>
    <row r="383" spans="1:7" ht="15">
      <c r="A383" s="112" t="s">
        <v>2449</v>
      </c>
      <c r="B383" s="112">
        <v>5</v>
      </c>
      <c r="C383" s="114">
        <v>0.0009065339915060977</v>
      </c>
      <c r="D383" s="112" t="s">
        <v>3314</v>
      </c>
      <c r="E383" s="112" t="b">
        <v>0</v>
      </c>
      <c r="F383" s="112" t="b">
        <v>0</v>
      </c>
      <c r="G383" s="112" t="b">
        <v>0</v>
      </c>
    </row>
    <row r="384" spans="1:7" ht="15">
      <c r="A384" s="112" t="s">
        <v>2450</v>
      </c>
      <c r="B384" s="112">
        <v>5</v>
      </c>
      <c r="C384" s="114">
        <v>0.0007436574326193763</v>
      </c>
      <c r="D384" s="112" t="s">
        <v>3314</v>
      </c>
      <c r="E384" s="112" t="b">
        <v>0</v>
      </c>
      <c r="F384" s="112" t="b">
        <v>1</v>
      </c>
      <c r="G384" s="112" t="b">
        <v>0</v>
      </c>
    </row>
    <row r="385" spans="1:7" ht="15">
      <c r="A385" s="112" t="s">
        <v>2451</v>
      </c>
      <c r="B385" s="112">
        <v>5</v>
      </c>
      <c r="C385" s="114">
        <v>0.0009065339915060977</v>
      </c>
      <c r="D385" s="112" t="s">
        <v>3314</v>
      </c>
      <c r="E385" s="112" t="b">
        <v>0</v>
      </c>
      <c r="F385" s="112" t="b">
        <v>0</v>
      </c>
      <c r="G385" s="112" t="b">
        <v>0</v>
      </c>
    </row>
    <row r="386" spans="1:7" ht="15">
      <c r="A386" s="112" t="s">
        <v>2452</v>
      </c>
      <c r="B386" s="112">
        <v>5</v>
      </c>
      <c r="C386" s="114">
        <v>0.0007436574326193763</v>
      </c>
      <c r="D386" s="112" t="s">
        <v>3314</v>
      </c>
      <c r="E386" s="112" t="b">
        <v>0</v>
      </c>
      <c r="F386" s="112" t="b">
        <v>0</v>
      </c>
      <c r="G386" s="112" t="b">
        <v>0</v>
      </c>
    </row>
    <row r="387" spans="1:7" ht="15">
      <c r="A387" s="112" t="s">
        <v>2453</v>
      </c>
      <c r="B387" s="112">
        <v>5</v>
      </c>
      <c r="C387" s="114">
        <v>0.0007436574326193763</v>
      </c>
      <c r="D387" s="112" t="s">
        <v>3314</v>
      </c>
      <c r="E387" s="112" t="b">
        <v>1</v>
      </c>
      <c r="F387" s="112" t="b">
        <v>0</v>
      </c>
      <c r="G387" s="112" t="b">
        <v>0</v>
      </c>
    </row>
    <row r="388" spans="1:7" ht="15">
      <c r="A388" s="112" t="s">
        <v>2454</v>
      </c>
      <c r="B388" s="112">
        <v>5</v>
      </c>
      <c r="C388" s="114">
        <v>0.0007436574326193763</v>
      </c>
      <c r="D388" s="112" t="s">
        <v>3314</v>
      </c>
      <c r="E388" s="112" t="b">
        <v>0</v>
      </c>
      <c r="F388" s="112" t="b">
        <v>0</v>
      </c>
      <c r="G388" s="112" t="b">
        <v>0</v>
      </c>
    </row>
    <row r="389" spans="1:7" ht="15">
      <c r="A389" s="112" t="s">
        <v>2455</v>
      </c>
      <c r="B389" s="112">
        <v>5</v>
      </c>
      <c r="C389" s="114">
        <v>0.0007833226311328244</v>
      </c>
      <c r="D389" s="112" t="s">
        <v>3314</v>
      </c>
      <c r="E389" s="112" t="b">
        <v>0</v>
      </c>
      <c r="F389" s="112" t="b">
        <v>0</v>
      </c>
      <c r="G389" s="112" t="b">
        <v>0</v>
      </c>
    </row>
    <row r="390" spans="1:7" ht="15">
      <c r="A390" s="112" t="s">
        <v>2456</v>
      </c>
      <c r="B390" s="112">
        <v>5</v>
      </c>
      <c r="C390" s="114">
        <v>0.0008344599660248922</v>
      </c>
      <c r="D390" s="112" t="s">
        <v>3314</v>
      </c>
      <c r="E390" s="112" t="b">
        <v>0</v>
      </c>
      <c r="F390" s="112" t="b">
        <v>0</v>
      </c>
      <c r="G390" s="112" t="b">
        <v>0</v>
      </c>
    </row>
    <row r="391" spans="1:7" ht="15">
      <c r="A391" s="112" t="s">
        <v>2457</v>
      </c>
      <c r="B391" s="112">
        <v>5</v>
      </c>
      <c r="C391" s="114">
        <v>0.0009065339915060977</v>
      </c>
      <c r="D391" s="112" t="s">
        <v>3314</v>
      </c>
      <c r="E391" s="112" t="b">
        <v>0</v>
      </c>
      <c r="F391" s="112" t="b">
        <v>0</v>
      </c>
      <c r="G391" s="112" t="b">
        <v>0</v>
      </c>
    </row>
    <row r="392" spans="1:7" ht="15">
      <c r="A392" s="112" t="s">
        <v>2458</v>
      </c>
      <c r="B392" s="112">
        <v>5</v>
      </c>
      <c r="C392" s="114">
        <v>0.0007436574326193763</v>
      </c>
      <c r="D392" s="112" t="s">
        <v>3314</v>
      </c>
      <c r="E392" s="112" t="b">
        <v>0</v>
      </c>
      <c r="F392" s="112" t="b">
        <v>0</v>
      </c>
      <c r="G392" s="112" t="b">
        <v>0</v>
      </c>
    </row>
    <row r="393" spans="1:7" ht="15">
      <c r="A393" s="112" t="s">
        <v>2459</v>
      </c>
      <c r="B393" s="112">
        <v>5</v>
      </c>
      <c r="C393" s="114">
        <v>0.0007436574326193763</v>
      </c>
      <c r="D393" s="112" t="s">
        <v>3314</v>
      </c>
      <c r="E393" s="112" t="b">
        <v>0</v>
      </c>
      <c r="F393" s="112" t="b">
        <v>0</v>
      </c>
      <c r="G393" s="112" t="b">
        <v>0</v>
      </c>
    </row>
    <row r="394" spans="1:7" ht="15">
      <c r="A394" s="112" t="s">
        <v>2460</v>
      </c>
      <c r="B394" s="112">
        <v>5</v>
      </c>
      <c r="C394" s="114">
        <v>0.0007436574326193763</v>
      </c>
      <c r="D394" s="112" t="s">
        <v>3314</v>
      </c>
      <c r="E394" s="112" t="b">
        <v>0</v>
      </c>
      <c r="F394" s="112" t="b">
        <v>0</v>
      </c>
      <c r="G394" s="112" t="b">
        <v>0</v>
      </c>
    </row>
    <row r="395" spans="1:7" ht="15">
      <c r="A395" s="112" t="s">
        <v>2461</v>
      </c>
      <c r="B395" s="112">
        <v>5</v>
      </c>
      <c r="C395" s="114">
        <v>0.0007436574326193763</v>
      </c>
      <c r="D395" s="112" t="s">
        <v>3314</v>
      </c>
      <c r="E395" s="112" t="b">
        <v>0</v>
      </c>
      <c r="F395" s="112" t="b">
        <v>0</v>
      </c>
      <c r="G395" s="112" t="b">
        <v>0</v>
      </c>
    </row>
    <row r="396" spans="1:7" ht="15">
      <c r="A396" s="112" t="s">
        <v>2462</v>
      </c>
      <c r="B396" s="112">
        <v>5</v>
      </c>
      <c r="C396" s="114">
        <v>0.0008344599660248922</v>
      </c>
      <c r="D396" s="112" t="s">
        <v>3314</v>
      </c>
      <c r="E396" s="112" t="b">
        <v>0</v>
      </c>
      <c r="F396" s="112" t="b">
        <v>0</v>
      </c>
      <c r="G396" s="112" t="b">
        <v>0</v>
      </c>
    </row>
    <row r="397" spans="1:7" ht="15">
      <c r="A397" s="112" t="s">
        <v>2463</v>
      </c>
      <c r="B397" s="112">
        <v>5</v>
      </c>
      <c r="C397" s="114">
        <v>0.0007833226311328244</v>
      </c>
      <c r="D397" s="112" t="s">
        <v>3314</v>
      </c>
      <c r="E397" s="112" t="b">
        <v>0</v>
      </c>
      <c r="F397" s="112" t="b">
        <v>0</v>
      </c>
      <c r="G397" s="112" t="b">
        <v>0</v>
      </c>
    </row>
    <row r="398" spans="1:7" ht="15">
      <c r="A398" s="112" t="s">
        <v>2464</v>
      </c>
      <c r="B398" s="112">
        <v>5</v>
      </c>
      <c r="C398" s="114">
        <v>0.0007436574326193763</v>
      </c>
      <c r="D398" s="112" t="s">
        <v>3314</v>
      </c>
      <c r="E398" s="112" t="b">
        <v>0</v>
      </c>
      <c r="F398" s="112" t="b">
        <v>1</v>
      </c>
      <c r="G398" s="112" t="b">
        <v>0</v>
      </c>
    </row>
    <row r="399" spans="1:7" ht="15">
      <c r="A399" s="112" t="s">
        <v>2465</v>
      </c>
      <c r="B399" s="112">
        <v>5</v>
      </c>
      <c r="C399" s="114">
        <v>0.001029745351879371</v>
      </c>
      <c r="D399" s="112" t="s">
        <v>3314</v>
      </c>
      <c r="E399" s="112" t="b">
        <v>0</v>
      </c>
      <c r="F399" s="112" t="b">
        <v>0</v>
      </c>
      <c r="G399" s="112" t="b">
        <v>0</v>
      </c>
    </row>
    <row r="400" spans="1:7" ht="15">
      <c r="A400" s="112" t="s">
        <v>2466</v>
      </c>
      <c r="B400" s="112">
        <v>5</v>
      </c>
      <c r="C400" s="114">
        <v>0.0008344599660248922</v>
      </c>
      <c r="D400" s="112" t="s">
        <v>3314</v>
      </c>
      <c r="E400" s="112" t="b">
        <v>0</v>
      </c>
      <c r="F400" s="112" t="b">
        <v>0</v>
      </c>
      <c r="G400" s="112" t="b">
        <v>0</v>
      </c>
    </row>
    <row r="401" spans="1:7" ht="15">
      <c r="A401" s="112" t="s">
        <v>2467</v>
      </c>
      <c r="B401" s="112">
        <v>5</v>
      </c>
      <c r="C401" s="114">
        <v>0.0009065339915060977</v>
      </c>
      <c r="D401" s="112" t="s">
        <v>3314</v>
      </c>
      <c r="E401" s="112" t="b">
        <v>0</v>
      </c>
      <c r="F401" s="112" t="b">
        <v>0</v>
      </c>
      <c r="G401" s="112" t="b">
        <v>0</v>
      </c>
    </row>
    <row r="402" spans="1:7" ht="15">
      <c r="A402" s="112" t="s">
        <v>2468</v>
      </c>
      <c r="B402" s="112">
        <v>5</v>
      </c>
      <c r="C402" s="114">
        <v>0.0008344599660248922</v>
      </c>
      <c r="D402" s="112" t="s">
        <v>3314</v>
      </c>
      <c r="E402" s="112" t="b">
        <v>0</v>
      </c>
      <c r="F402" s="112" t="b">
        <v>1</v>
      </c>
      <c r="G402" s="112" t="b">
        <v>0</v>
      </c>
    </row>
    <row r="403" spans="1:7" ht="15">
      <c r="A403" s="112" t="s">
        <v>2469</v>
      </c>
      <c r="B403" s="112">
        <v>5</v>
      </c>
      <c r="C403" s="114">
        <v>0.0007833226311328244</v>
      </c>
      <c r="D403" s="112" t="s">
        <v>3314</v>
      </c>
      <c r="E403" s="112" t="b">
        <v>0</v>
      </c>
      <c r="F403" s="112" t="b">
        <v>0</v>
      </c>
      <c r="G403" s="112" t="b">
        <v>0</v>
      </c>
    </row>
    <row r="404" spans="1:7" ht="15">
      <c r="A404" s="112" t="s">
        <v>2470</v>
      </c>
      <c r="B404" s="112">
        <v>5</v>
      </c>
      <c r="C404" s="114">
        <v>0.0007833226311328244</v>
      </c>
      <c r="D404" s="112" t="s">
        <v>3314</v>
      </c>
      <c r="E404" s="112" t="b">
        <v>0</v>
      </c>
      <c r="F404" s="112" t="b">
        <v>0</v>
      </c>
      <c r="G404" s="112" t="b">
        <v>0</v>
      </c>
    </row>
    <row r="405" spans="1:7" ht="15">
      <c r="A405" s="112" t="s">
        <v>2471</v>
      </c>
      <c r="B405" s="112">
        <v>5</v>
      </c>
      <c r="C405" s="114">
        <v>0.0007833226311328244</v>
      </c>
      <c r="D405" s="112" t="s">
        <v>3314</v>
      </c>
      <c r="E405" s="112" t="b">
        <v>0</v>
      </c>
      <c r="F405" s="112" t="b">
        <v>0</v>
      </c>
      <c r="G405" s="112" t="b">
        <v>0</v>
      </c>
    </row>
    <row r="406" spans="1:7" ht="15">
      <c r="A406" s="112" t="s">
        <v>2472</v>
      </c>
      <c r="B406" s="112">
        <v>5</v>
      </c>
      <c r="C406" s="114">
        <v>0.0008344599660248922</v>
      </c>
      <c r="D406" s="112" t="s">
        <v>3314</v>
      </c>
      <c r="E406" s="112" t="b">
        <v>0</v>
      </c>
      <c r="F406" s="112" t="b">
        <v>0</v>
      </c>
      <c r="G406" s="112" t="b">
        <v>0</v>
      </c>
    </row>
    <row r="407" spans="1:7" ht="15">
      <c r="A407" s="112" t="s">
        <v>2473</v>
      </c>
      <c r="B407" s="112">
        <v>5</v>
      </c>
      <c r="C407" s="114">
        <v>0.0007436574326193763</v>
      </c>
      <c r="D407" s="112" t="s">
        <v>3314</v>
      </c>
      <c r="E407" s="112" t="b">
        <v>0</v>
      </c>
      <c r="F407" s="112" t="b">
        <v>0</v>
      </c>
      <c r="G407" s="112" t="b">
        <v>0</v>
      </c>
    </row>
    <row r="408" spans="1:7" ht="15">
      <c r="A408" s="112" t="s">
        <v>2474</v>
      </c>
      <c r="B408" s="112">
        <v>5</v>
      </c>
      <c r="C408" s="114">
        <v>0.0007436574326193763</v>
      </c>
      <c r="D408" s="112" t="s">
        <v>3314</v>
      </c>
      <c r="E408" s="112" t="b">
        <v>0</v>
      </c>
      <c r="F408" s="112" t="b">
        <v>0</v>
      </c>
      <c r="G408" s="112" t="b">
        <v>0</v>
      </c>
    </row>
    <row r="409" spans="1:7" ht="15">
      <c r="A409" s="112" t="s">
        <v>2475</v>
      </c>
      <c r="B409" s="112">
        <v>5</v>
      </c>
      <c r="C409" s="114">
        <v>0.0007833226311328244</v>
      </c>
      <c r="D409" s="112" t="s">
        <v>3314</v>
      </c>
      <c r="E409" s="112" t="b">
        <v>0</v>
      </c>
      <c r="F409" s="112" t="b">
        <v>0</v>
      </c>
      <c r="G409" s="112" t="b">
        <v>0</v>
      </c>
    </row>
    <row r="410" spans="1:7" ht="15">
      <c r="A410" s="112" t="s">
        <v>2476</v>
      </c>
      <c r="B410" s="112">
        <v>5</v>
      </c>
      <c r="C410" s="114">
        <v>0.0007436574326193763</v>
      </c>
      <c r="D410" s="112" t="s">
        <v>3314</v>
      </c>
      <c r="E410" s="112" t="b">
        <v>0</v>
      </c>
      <c r="F410" s="112" t="b">
        <v>0</v>
      </c>
      <c r="G410" s="112" t="b">
        <v>0</v>
      </c>
    </row>
    <row r="411" spans="1:7" ht="15">
      <c r="A411" s="112" t="s">
        <v>2477</v>
      </c>
      <c r="B411" s="112">
        <v>5</v>
      </c>
      <c r="C411" s="114">
        <v>0.0007436574326193763</v>
      </c>
      <c r="D411" s="112" t="s">
        <v>3314</v>
      </c>
      <c r="E411" s="112" t="b">
        <v>0</v>
      </c>
      <c r="F411" s="112" t="b">
        <v>0</v>
      </c>
      <c r="G411" s="112" t="b">
        <v>0</v>
      </c>
    </row>
    <row r="412" spans="1:7" ht="15">
      <c r="A412" s="112" t="s">
        <v>2478</v>
      </c>
      <c r="B412" s="112">
        <v>5</v>
      </c>
      <c r="C412" s="114">
        <v>0.0007436574326193763</v>
      </c>
      <c r="D412" s="112" t="s">
        <v>3314</v>
      </c>
      <c r="E412" s="112" t="b">
        <v>0</v>
      </c>
      <c r="F412" s="112" t="b">
        <v>0</v>
      </c>
      <c r="G412" s="112" t="b">
        <v>0</v>
      </c>
    </row>
    <row r="413" spans="1:7" ht="15">
      <c r="A413" s="112" t="s">
        <v>2479</v>
      </c>
      <c r="B413" s="112">
        <v>5</v>
      </c>
      <c r="C413" s="114">
        <v>0.0007833226311328244</v>
      </c>
      <c r="D413" s="112" t="s">
        <v>3314</v>
      </c>
      <c r="E413" s="112" t="b">
        <v>0</v>
      </c>
      <c r="F413" s="112" t="b">
        <v>0</v>
      </c>
      <c r="G413" s="112" t="b">
        <v>0</v>
      </c>
    </row>
    <row r="414" spans="1:7" ht="15">
      <c r="A414" s="112" t="s">
        <v>2480</v>
      </c>
      <c r="B414" s="112">
        <v>5</v>
      </c>
      <c r="C414" s="114">
        <v>0.0007833226311328244</v>
      </c>
      <c r="D414" s="112" t="s">
        <v>3314</v>
      </c>
      <c r="E414" s="112" t="b">
        <v>0</v>
      </c>
      <c r="F414" s="112" t="b">
        <v>0</v>
      </c>
      <c r="G414" s="112" t="b">
        <v>0</v>
      </c>
    </row>
    <row r="415" spans="1:7" ht="15">
      <c r="A415" s="112" t="s">
        <v>2481</v>
      </c>
      <c r="B415" s="112">
        <v>5</v>
      </c>
      <c r="C415" s="114">
        <v>0.0008344599660248922</v>
      </c>
      <c r="D415" s="112" t="s">
        <v>3314</v>
      </c>
      <c r="E415" s="112" t="b">
        <v>0</v>
      </c>
      <c r="F415" s="112" t="b">
        <v>0</v>
      </c>
      <c r="G415" s="112" t="b">
        <v>0</v>
      </c>
    </row>
    <row r="416" spans="1:7" ht="15">
      <c r="A416" s="112" t="s">
        <v>2482</v>
      </c>
      <c r="B416" s="112">
        <v>5</v>
      </c>
      <c r="C416" s="114">
        <v>0.0007436574326193763</v>
      </c>
      <c r="D416" s="112" t="s">
        <v>3314</v>
      </c>
      <c r="E416" s="112" t="b">
        <v>0</v>
      </c>
      <c r="F416" s="112" t="b">
        <v>1</v>
      </c>
      <c r="G416" s="112" t="b">
        <v>0</v>
      </c>
    </row>
    <row r="417" spans="1:7" ht="15">
      <c r="A417" s="112" t="s">
        <v>2483</v>
      </c>
      <c r="B417" s="112">
        <v>5</v>
      </c>
      <c r="C417" s="114">
        <v>0.001029745351879371</v>
      </c>
      <c r="D417" s="112" t="s">
        <v>3314</v>
      </c>
      <c r="E417" s="112" t="b">
        <v>0</v>
      </c>
      <c r="F417" s="112" t="b">
        <v>0</v>
      </c>
      <c r="G417" s="112" t="b">
        <v>0</v>
      </c>
    </row>
    <row r="418" spans="1:7" ht="15">
      <c r="A418" s="112" t="s">
        <v>2484</v>
      </c>
      <c r="B418" s="112">
        <v>5</v>
      </c>
      <c r="C418" s="114">
        <v>0.0008344599660248922</v>
      </c>
      <c r="D418" s="112" t="s">
        <v>3314</v>
      </c>
      <c r="E418" s="112" t="b">
        <v>1</v>
      </c>
      <c r="F418" s="112" t="b">
        <v>0</v>
      </c>
      <c r="G418" s="112" t="b">
        <v>0</v>
      </c>
    </row>
    <row r="419" spans="1:7" ht="15">
      <c r="A419" s="112" t="s">
        <v>2485</v>
      </c>
      <c r="B419" s="112">
        <v>5</v>
      </c>
      <c r="C419" s="114">
        <v>0.0007833226311328244</v>
      </c>
      <c r="D419" s="112" t="s">
        <v>3314</v>
      </c>
      <c r="E419" s="112" t="b">
        <v>0</v>
      </c>
      <c r="F419" s="112" t="b">
        <v>0</v>
      </c>
      <c r="G419" s="112" t="b">
        <v>0</v>
      </c>
    </row>
    <row r="420" spans="1:7" ht="15">
      <c r="A420" s="112" t="s">
        <v>2486</v>
      </c>
      <c r="B420" s="112">
        <v>5</v>
      </c>
      <c r="C420" s="114">
        <v>0.0009065339915060977</v>
      </c>
      <c r="D420" s="112" t="s">
        <v>3314</v>
      </c>
      <c r="E420" s="112" t="b">
        <v>0</v>
      </c>
      <c r="F420" s="112" t="b">
        <v>0</v>
      </c>
      <c r="G420" s="112" t="b">
        <v>0</v>
      </c>
    </row>
    <row r="421" spans="1:7" ht="15">
      <c r="A421" s="112" t="s">
        <v>2487</v>
      </c>
      <c r="B421" s="112">
        <v>5</v>
      </c>
      <c r="C421" s="114">
        <v>0.001029745351879371</v>
      </c>
      <c r="D421" s="112" t="s">
        <v>3314</v>
      </c>
      <c r="E421" s="112" t="b">
        <v>0</v>
      </c>
      <c r="F421" s="112" t="b">
        <v>0</v>
      </c>
      <c r="G421" s="112" t="b">
        <v>0</v>
      </c>
    </row>
    <row r="422" spans="1:7" ht="15">
      <c r="A422" s="112" t="s">
        <v>2488</v>
      </c>
      <c r="B422" s="112">
        <v>5</v>
      </c>
      <c r="C422" s="114">
        <v>0.0009065339915060977</v>
      </c>
      <c r="D422" s="112" t="s">
        <v>3314</v>
      </c>
      <c r="E422" s="112" t="b">
        <v>0</v>
      </c>
      <c r="F422" s="112" t="b">
        <v>0</v>
      </c>
      <c r="G422" s="112" t="b">
        <v>0</v>
      </c>
    </row>
    <row r="423" spans="1:7" ht="15">
      <c r="A423" s="112" t="s">
        <v>2489</v>
      </c>
      <c r="B423" s="112">
        <v>5</v>
      </c>
      <c r="C423" s="114">
        <v>0.0008344599660248922</v>
      </c>
      <c r="D423" s="112" t="s">
        <v>3314</v>
      </c>
      <c r="E423" s="112" t="b">
        <v>0</v>
      </c>
      <c r="F423" s="112" t="b">
        <v>0</v>
      </c>
      <c r="G423" s="112" t="b">
        <v>0</v>
      </c>
    </row>
    <row r="424" spans="1:7" ht="15">
      <c r="A424" s="112" t="s">
        <v>2490</v>
      </c>
      <c r="B424" s="112">
        <v>5</v>
      </c>
      <c r="C424" s="114">
        <v>0.0007833226311328244</v>
      </c>
      <c r="D424" s="112" t="s">
        <v>3314</v>
      </c>
      <c r="E424" s="112" t="b">
        <v>0</v>
      </c>
      <c r="F424" s="112" t="b">
        <v>1</v>
      </c>
      <c r="G424" s="112" t="b">
        <v>0</v>
      </c>
    </row>
    <row r="425" spans="1:7" ht="15">
      <c r="A425" s="112" t="s">
        <v>2491</v>
      </c>
      <c r="B425" s="112">
        <v>5</v>
      </c>
      <c r="C425" s="114">
        <v>0.0008344599660248922</v>
      </c>
      <c r="D425" s="112" t="s">
        <v>3314</v>
      </c>
      <c r="E425" s="112" t="b">
        <v>0</v>
      </c>
      <c r="F425" s="112" t="b">
        <v>0</v>
      </c>
      <c r="G425" s="112" t="b">
        <v>0</v>
      </c>
    </row>
    <row r="426" spans="1:7" ht="15">
      <c r="A426" s="112" t="s">
        <v>2492</v>
      </c>
      <c r="B426" s="112">
        <v>5</v>
      </c>
      <c r="C426" s="114">
        <v>0.0008344599660248922</v>
      </c>
      <c r="D426" s="112" t="s">
        <v>3314</v>
      </c>
      <c r="E426" s="112" t="b">
        <v>0</v>
      </c>
      <c r="F426" s="112" t="b">
        <v>0</v>
      </c>
      <c r="G426" s="112" t="b">
        <v>0</v>
      </c>
    </row>
    <row r="427" spans="1:7" ht="15">
      <c r="A427" s="112" t="s">
        <v>2493</v>
      </c>
      <c r="B427" s="112">
        <v>5</v>
      </c>
      <c r="C427" s="114">
        <v>0.0007833226311328244</v>
      </c>
      <c r="D427" s="112" t="s">
        <v>3314</v>
      </c>
      <c r="E427" s="112" t="b">
        <v>0</v>
      </c>
      <c r="F427" s="112" t="b">
        <v>0</v>
      </c>
      <c r="G427" s="112" t="b">
        <v>0</v>
      </c>
    </row>
    <row r="428" spans="1:7" ht="15">
      <c r="A428" s="112" t="s">
        <v>2494</v>
      </c>
      <c r="B428" s="112">
        <v>5</v>
      </c>
      <c r="C428" s="114">
        <v>0.0007833226311328244</v>
      </c>
      <c r="D428" s="112" t="s">
        <v>3314</v>
      </c>
      <c r="E428" s="112" t="b">
        <v>0</v>
      </c>
      <c r="F428" s="112" t="b">
        <v>0</v>
      </c>
      <c r="G428" s="112" t="b">
        <v>0</v>
      </c>
    </row>
    <row r="429" spans="1:7" ht="15">
      <c r="A429" s="112" t="s">
        <v>2495</v>
      </c>
      <c r="B429" s="112">
        <v>5</v>
      </c>
      <c r="C429" s="114">
        <v>0.0007833226311328244</v>
      </c>
      <c r="D429" s="112" t="s">
        <v>3314</v>
      </c>
      <c r="E429" s="112" t="b">
        <v>1</v>
      </c>
      <c r="F429" s="112" t="b">
        <v>0</v>
      </c>
      <c r="G429" s="112" t="b">
        <v>0</v>
      </c>
    </row>
    <row r="430" spans="1:7" ht="15">
      <c r="A430" s="112" t="s">
        <v>2496</v>
      </c>
      <c r="B430" s="112">
        <v>5</v>
      </c>
      <c r="C430" s="114">
        <v>0.001029745351879371</v>
      </c>
      <c r="D430" s="112" t="s">
        <v>3314</v>
      </c>
      <c r="E430" s="112" t="b">
        <v>0</v>
      </c>
      <c r="F430" s="112" t="b">
        <v>0</v>
      </c>
      <c r="G430" s="112" t="b">
        <v>0</v>
      </c>
    </row>
    <row r="431" spans="1:7" ht="15">
      <c r="A431" s="112" t="s">
        <v>2497</v>
      </c>
      <c r="B431" s="112">
        <v>5</v>
      </c>
      <c r="C431" s="114">
        <v>0.001029745351879371</v>
      </c>
      <c r="D431" s="112" t="s">
        <v>3314</v>
      </c>
      <c r="E431" s="112" t="b">
        <v>0</v>
      </c>
      <c r="F431" s="112" t="b">
        <v>0</v>
      </c>
      <c r="G431" s="112" t="b">
        <v>0</v>
      </c>
    </row>
    <row r="432" spans="1:7" ht="15">
      <c r="A432" s="112" t="s">
        <v>2498</v>
      </c>
      <c r="B432" s="112">
        <v>5</v>
      </c>
      <c r="C432" s="114">
        <v>0.001029745351879371</v>
      </c>
      <c r="D432" s="112" t="s">
        <v>3314</v>
      </c>
      <c r="E432" s="112" t="b">
        <v>0</v>
      </c>
      <c r="F432" s="112" t="b">
        <v>0</v>
      </c>
      <c r="G432" s="112" t="b">
        <v>0</v>
      </c>
    </row>
    <row r="433" spans="1:7" ht="15">
      <c r="A433" s="112" t="s">
        <v>2499</v>
      </c>
      <c r="B433" s="112">
        <v>5</v>
      </c>
      <c r="C433" s="114">
        <v>0.001029745351879371</v>
      </c>
      <c r="D433" s="112" t="s">
        <v>3314</v>
      </c>
      <c r="E433" s="112" t="b">
        <v>0</v>
      </c>
      <c r="F433" s="112" t="b">
        <v>0</v>
      </c>
      <c r="G433" s="112" t="b">
        <v>0</v>
      </c>
    </row>
    <row r="434" spans="1:7" ht="15">
      <c r="A434" s="112" t="s">
        <v>2500</v>
      </c>
      <c r="B434" s="112">
        <v>5</v>
      </c>
      <c r="C434" s="114">
        <v>0.001029745351879371</v>
      </c>
      <c r="D434" s="112" t="s">
        <v>3314</v>
      </c>
      <c r="E434" s="112" t="b">
        <v>0</v>
      </c>
      <c r="F434" s="112" t="b">
        <v>0</v>
      </c>
      <c r="G434" s="112" t="b">
        <v>0</v>
      </c>
    </row>
    <row r="435" spans="1:7" ht="15">
      <c r="A435" s="112" t="s">
        <v>2501</v>
      </c>
      <c r="B435" s="112">
        <v>5</v>
      </c>
      <c r="C435" s="114">
        <v>0.001029745351879371</v>
      </c>
      <c r="D435" s="112" t="s">
        <v>3314</v>
      </c>
      <c r="E435" s="112" t="b">
        <v>0</v>
      </c>
      <c r="F435" s="112" t="b">
        <v>1</v>
      </c>
      <c r="G435" s="112" t="b">
        <v>0</v>
      </c>
    </row>
    <row r="436" spans="1:7" ht="15">
      <c r="A436" s="112" t="s">
        <v>2502</v>
      </c>
      <c r="B436" s="112">
        <v>4</v>
      </c>
      <c r="C436" s="114">
        <v>0.0006675679728199138</v>
      </c>
      <c r="D436" s="112" t="s">
        <v>3314</v>
      </c>
      <c r="E436" s="112" t="b">
        <v>0</v>
      </c>
      <c r="F436" s="112" t="b">
        <v>0</v>
      </c>
      <c r="G436" s="112" t="b">
        <v>0</v>
      </c>
    </row>
    <row r="437" spans="1:7" ht="15">
      <c r="A437" s="112" t="s">
        <v>2503</v>
      </c>
      <c r="B437" s="112">
        <v>4</v>
      </c>
      <c r="C437" s="114">
        <v>0.0008237962815034968</v>
      </c>
      <c r="D437" s="112" t="s">
        <v>3314</v>
      </c>
      <c r="E437" s="112" t="b">
        <v>0</v>
      </c>
      <c r="F437" s="112" t="b">
        <v>0</v>
      </c>
      <c r="G437" s="112" t="b">
        <v>0</v>
      </c>
    </row>
    <row r="438" spans="1:7" ht="15">
      <c r="A438" s="112" t="s">
        <v>2504</v>
      </c>
      <c r="B438" s="112">
        <v>4</v>
      </c>
      <c r="C438" s="114">
        <v>0.0006266581049062596</v>
      </c>
      <c r="D438" s="112" t="s">
        <v>3314</v>
      </c>
      <c r="E438" s="112" t="b">
        <v>1</v>
      </c>
      <c r="F438" s="112" t="b">
        <v>0</v>
      </c>
      <c r="G438" s="112" t="b">
        <v>0</v>
      </c>
    </row>
    <row r="439" spans="1:7" ht="15">
      <c r="A439" s="112" t="s">
        <v>2505</v>
      </c>
      <c r="B439" s="112">
        <v>4</v>
      </c>
      <c r="C439" s="114">
        <v>0.0006675679728199138</v>
      </c>
      <c r="D439" s="112" t="s">
        <v>3314</v>
      </c>
      <c r="E439" s="112" t="b">
        <v>0</v>
      </c>
      <c r="F439" s="112" t="b">
        <v>1</v>
      </c>
      <c r="G439" s="112" t="b">
        <v>0</v>
      </c>
    </row>
    <row r="440" spans="1:7" ht="15">
      <c r="A440" s="112" t="s">
        <v>2506</v>
      </c>
      <c r="B440" s="112">
        <v>4</v>
      </c>
      <c r="C440" s="114">
        <v>0.0006266581049062596</v>
      </c>
      <c r="D440" s="112" t="s">
        <v>3314</v>
      </c>
      <c r="E440" s="112" t="b">
        <v>0</v>
      </c>
      <c r="F440" s="112" t="b">
        <v>0</v>
      </c>
      <c r="G440" s="112" t="b">
        <v>0</v>
      </c>
    </row>
    <row r="441" spans="1:7" ht="15">
      <c r="A441" s="112" t="s">
        <v>2507</v>
      </c>
      <c r="B441" s="112">
        <v>4</v>
      </c>
      <c r="C441" s="114">
        <v>0.0006266581049062596</v>
      </c>
      <c r="D441" s="112" t="s">
        <v>3314</v>
      </c>
      <c r="E441" s="112" t="b">
        <v>0</v>
      </c>
      <c r="F441" s="112" t="b">
        <v>0</v>
      </c>
      <c r="G441" s="112" t="b">
        <v>0</v>
      </c>
    </row>
    <row r="442" spans="1:7" ht="15">
      <c r="A442" s="112" t="s">
        <v>2508</v>
      </c>
      <c r="B442" s="112">
        <v>4</v>
      </c>
      <c r="C442" s="114">
        <v>0.0008237962815034968</v>
      </c>
      <c r="D442" s="112" t="s">
        <v>3314</v>
      </c>
      <c r="E442" s="112" t="b">
        <v>0</v>
      </c>
      <c r="F442" s="112" t="b">
        <v>0</v>
      </c>
      <c r="G442" s="112" t="b">
        <v>0</v>
      </c>
    </row>
    <row r="443" spans="1:7" ht="15">
      <c r="A443" s="112" t="s">
        <v>2509</v>
      </c>
      <c r="B443" s="112">
        <v>4</v>
      </c>
      <c r="C443" s="114">
        <v>0.0006266581049062596</v>
      </c>
      <c r="D443" s="112" t="s">
        <v>3314</v>
      </c>
      <c r="E443" s="112" t="b">
        <v>0</v>
      </c>
      <c r="F443" s="112" t="b">
        <v>0</v>
      </c>
      <c r="G443" s="112" t="b">
        <v>0</v>
      </c>
    </row>
    <row r="444" spans="1:7" ht="15">
      <c r="A444" s="112" t="s">
        <v>2510</v>
      </c>
      <c r="B444" s="112">
        <v>4</v>
      </c>
      <c r="C444" s="114">
        <v>0.0006675679728199138</v>
      </c>
      <c r="D444" s="112" t="s">
        <v>3314</v>
      </c>
      <c r="E444" s="112" t="b">
        <v>0</v>
      </c>
      <c r="F444" s="112" t="b">
        <v>0</v>
      </c>
      <c r="G444" s="112" t="b">
        <v>0</v>
      </c>
    </row>
    <row r="445" spans="1:7" ht="15">
      <c r="A445" s="112" t="s">
        <v>2511</v>
      </c>
      <c r="B445" s="112">
        <v>4</v>
      </c>
      <c r="C445" s="114">
        <v>0.0006266581049062596</v>
      </c>
      <c r="D445" s="112" t="s">
        <v>3314</v>
      </c>
      <c r="E445" s="112" t="b">
        <v>0</v>
      </c>
      <c r="F445" s="112" t="b">
        <v>0</v>
      </c>
      <c r="G445" s="112" t="b">
        <v>0</v>
      </c>
    </row>
    <row r="446" spans="1:7" ht="15">
      <c r="A446" s="112" t="s">
        <v>2512</v>
      </c>
      <c r="B446" s="112">
        <v>4</v>
      </c>
      <c r="C446" s="114">
        <v>0.0008237962815034968</v>
      </c>
      <c r="D446" s="112" t="s">
        <v>3314</v>
      </c>
      <c r="E446" s="112" t="b">
        <v>0</v>
      </c>
      <c r="F446" s="112" t="b">
        <v>0</v>
      </c>
      <c r="G446" s="112" t="b">
        <v>0</v>
      </c>
    </row>
    <row r="447" spans="1:7" ht="15">
      <c r="A447" s="112" t="s">
        <v>2513</v>
      </c>
      <c r="B447" s="112">
        <v>4</v>
      </c>
      <c r="C447" s="114">
        <v>0.0006675679728199138</v>
      </c>
      <c r="D447" s="112" t="s">
        <v>3314</v>
      </c>
      <c r="E447" s="112" t="b">
        <v>0</v>
      </c>
      <c r="F447" s="112" t="b">
        <v>0</v>
      </c>
      <c r="G447" s="112" t="b">
        <v>0</v>
      </c>
    </row>
    <row r="448" spans="1:7" ht="15">
      <c r="A448" s="112" t="s">
        <v>2514</v>
      </c>
      <c r="B448" s="112">
        <v>4</v>
      </c>
      <c r="C448" s="114">
        <v>0.0006266581049062596</v>
      </c>
      <c r="D448" s="112" t="s">
        <v>3314</v>
      </c>
      <c r="E448" s="112" t="b">
        <v>0</v>
      </c>
      <c r="F448" s="112" t="b">
        <v>0</v>
      </c>
      <c r="G448" s="112" t="b">
        <v>0</v>
      </c>
    </row>
    <row r="449" spans="1:7" ht="15">
      <c r="A449" s="112" t="s">
        <v>2515</v>
      </c>
      <c r="B449" s="112">
        <v>4</v>
      </c>
      <c r="C449" s="114">
        <v>0.0006266581049062596</v>
      </c>
      <c r="D449" s="112" t="s">
        <v>3314</v>
      </c>
      <c r="E449" s="112" t="b">
        <v>0</v>
      </c>
      <c r="F449" s="112" t="b">
        <v>0</v>
      </c>
      <c r="G449" s="112" t="b">
        <v>0</v>
      </c>
    </row>
    <row r="450" spans="1:7" ht="15">
      <c r="A450" s="112" t="s">
        <v>2516</v>
      </c>
      <c r="B450" s="112">
        <v>4</v>
      </c>
      <c r="C450" s="114">
        <v>0.0007252271932048783</v>
      </c>
      <c r="D450" s="112" t="s">
        <v>3314</v>
      </c>
      <c r="E450" s="112" t="b">
        <v>0</v>
      </c>
      <c r="F450" s="112" t="b">
        <v>0</v>
      </c>
      <c r="G450" s="112" t="b">
        <v>0</v>
      </c>
    </row>
    <row r="451" spans="1:7" ht="15">
      <c r="A451" s="112" t="s">
        <v>2517</v>
      </c>
      <c r="B451" s="112">
        <v>4</v>
      </c>
      <c r="C451" s="114">
        <v>0.0006266581049062596</v>
      </c>
      <c r="D451" s="112" t="s">
        <v>3314</v>
      </c>
      <c r="E451" s="112" t="b">
        <v>0</v>
      </c>
      <c r="F451" s="112" t="b">
        <v>0</v>
      </c>
      <c r="G451" s="112" t="b">
        <v>0</v>
      </c>
    </row>
    <row r="452" spans="1:7" ht="15">
      <c r="A452" s="112" t="s">
        <v>2518</v>
      </c>
      <c r="B452" s="112">
        <v>4</v>
      </c>
      <c r="C452" s="114">
        <v>0.0006266581049062596</v>
      </c>
      <c r="D452" s="112" t="s">
        <v>3314</v>
      </c>
      <c r="E452" s="112" t="b">
        <v>0</v>
      </c>
      <c r="F452" s="112" t="b">
        <v>0</v>
      </c>
      <c r="G452" s="112" t="b">
        <v>0</v>
      </c>
    </row>
    <row r="453" spans="1:7" ht="15">
      <c r="A453" s="112" t="s">
        <v>2519</v>
      </c>
      <c r="B453" s="112">
        <v>4</v>
      </c>
      <c r="C453" s="114">
        <v>0.0006266581049062596</v>
      </c>
      <c r="D453" s="112" t="s">
        <v>3314</v>
      </c>
      <c r="E453" s="112" t="b">
        <v>1</v>
      </c>
      <c r="F453" s="112" t="b">
        <v>0</v>
      </c>
      <c r="G453" s="112" t="b">
        <v>0</v>
      </c>
    </row>
    <row r="454" spans="1:7" ht="15">
      <c r="A454" s="112" t="s">
        <v>2520</v>
      </c>
      <c r="B454" s="112">
        <v>4</v>
      </c>
      <c r="C454" s="114">
        <v>0.0008237962815034968</v>
      </c>
      <c r="D454" s="112" t="s">
        <v>3314</v>
      </c>
      <c r="E454" s="112" t="b">
        <v>0</v>
      </c>
      <c r="F454" s="112" t="b">
        <v>0</v>
      </c>
      <c r="G454" s="112" t="b">
        <v>0</v>
      </c>
    </row>
    <row r="455" spans="1:7" ht="15">
      <c r="A455" s="112" t="s">
        <v>2521</v>
      </c>
      <c r="B455" s="112">
        <v>4</v>
      </c>
      <c r="C455" s="114">
        <v>0.0006266581049062596</v>
      </c>
      <c r="D455" s="112" t="s">
        <v>3314</v>
      </c>
      <c r="E455" s="112" t="b">
        <v>0</v>
      </c>
      <c r="F455" s="112" t="b">
        <v>0</v>
      </c>
      <c r="G455" s="112" t="b">
        <v>0</v>
      </c>
    </row>
    <row r="456" spans="1:7" ht="15">
      <c r="A456" s="112" t="s">
        <v>2522</v>
      </c>
      <c r="B456" s="112">
        <v>4</v>
      </c>
      <c r="C456" s="114">
        <v>0.0007252271932048783</v>
      </c>
      <c r="D456" s="112" t="s">
        <v>3314</v>
      </c>
      <c r="E456" s="112" t="b">
        <v>0</v>
      </c>
      <c r="F456" s="112" t="b">
        <v>1</v>
      </c>
      <c r="G456" s="112" t="b">
        <v>0</v>
      </c>
    </row>
    <row r="457" spans="1:7" ht="15">
      <c r="A457" s="112" t="s">
        <v>2523</v>
      </c>
      <c r="B457" s="112">
        <v>4</v>
      </c>
      <c r="C457" s="114">
        <v>0.0008237962815034968</v>
      </c>
      <c r="D457" s="112" t="s">
        <v>3314</v>
      </c>
      <c r="E457" s="112" t="b">
        <v>0</v>
      </c>
      <c r="F457" s="112" t="b">
        <v>0</v>
      </c>
      <c r="G457" s="112" t="b">
        <v>0</v>
      </c>
    </row>
    <row r="458" spans="1:7" ht="15">
      <c r="A458" s="112" t="s">
        <v>2524</v>
      </c>
      <c r="B458" s="112">
        <v>4</v>
      </c>
      <c r="C458" s="114">
        <v>0.0006675679728199138</v>
      </c>
      <c r="D458" s="112" t="s">
        <v>3314</v>
      </c>
      <c r="E458" s="112" t="b">
        <v>0</v>
      </c>
      <c r="F458" s="112" t="b">
        <v>0</v>
      </c>
      <c r="G458" s="112" t="b">
        <v>0</v>
      </c>
    </row>
    <row r="459" spans="1:7" ht="15">
      <c r="A459" s="112" t="s">
        <v>2525</v>
      </c>
      <c r="B459" s="112">
        <v>4</v>
      </c>
      <c r="C459" s="114">
        <v>0.0008237962815034968</v>
      </c>
      <c r="D459" s="112" t="s">
        <v>3314</v>
      </c>
      <c r="E459" s="112" t="b">
        <v>0</v>
      </c>
      <c r="F459" s="112" t="b">
        <v>0</v>
      </c>
      <c r="G459" s="112" t="b">
        <v>0</v>
      </c>
    </row>
    <row r="460" spans="1:7" ht="15">
      <c r="A460" s="112" t="s">
        <v>2526</v>
      </c>
      <c r="B460" s="112">
        <v>4</v>
      </c>
      <c r="C460" s="114">
        <v>0.0006675679728199138</v>
      </c>
      <c r="D460" s="112" t="s">
        <v>3314</v>
      </c>
      <c r="E460" s="112" t="b">
        <v>0</v>
      </c>
      <c r="F460" s="112" t="b">
        <v>0</v>
      </c>
      <c r="G460" s="112" t="b">
        <v>0</v>
      </c>
    </row>
    <row r="461" spans="1:7" ht="15">
      <c r="A461" s="112" t="s">
        <v>2527</v>
      </c>
      <c r="B461" s="112">
        <v>4</v>
      </c>
      <c r="C461" s="114">
        <v>0.0006266581049062596</v>
      </c>
      <c r="D461" s="112" t="s">
        <v>3314</v>
      </c>
      <c r="E461" s="112" t="b">
        <v>0</v>
      </c>
      <c r="F461" s="112" t="b">
        <v>0</v>
      </c>
      <c r="G461" s="112" t="b">
        <v>0</v>
      </c>
    </row>
    <row r="462" spans="1:7" ht="15">
      <c r="A462" s="112" t="s">
        <v>2528</v>
      </c>
      <c r="B462" s="112">
        <v>4</v>
      </c>
      <c r="C462" s="114">
        <v>0.0006675679728199138</v>
      </c>
      <c r="D462" s="112" t="s">
        <v>3314</v>
      </c>
      <c r="E462" s="112" t="b">
        <v>0</v>
      </c>
      <c r="F462" s="112" t="b">
        <v>0</v>
      </c>
      <c r="G462" s="112" t="b">
        <v>0</v>
      </c>
    </row>
    <row r="463" spans="1:7" ht="15">
      <c r="A463" s="112" t="s">
        <v>2529</v>
      </c>
      <c r="B463" s="112">
        <v>4</v>
      </c>
      <c r="C463" s="114">
        <v>0.0008237962815034968</v>
      </c>
      <c r="D463" s="112" t="s">
        <v>3314</v>
      </c>
      <c r="E463" s="112" t="b">
        <v>0</v>
      </c>
      <c r="F463" s="112" t="b">
        <v>0</v>
      </c>
      <c r="G463" s="112" t="b">
        <v>0</v>
      </c>
    </row>
    <row r="464" spans="1:7" ht="15">
      <c r="A464" s="112" t="s">
        <v>2530</v>
      </c>
      <c r="B464" s="112">
        <v>4</v>
      </c>
      <c r="C464" s="114">
        <v>0.0006675679728199138</v>
      </c>
      <c r="D464" s="112" t="s">
        <v>3314</v>
      </c>
      <c r="E464" s="112" t="b">
        <v>0</v>
      </c>
      <c r="F464" s="112" t="b">
        <v>0</v>
      </c>
      <c r="G464" s="112" t="b">
        <v>0</v>
      </c>
    </row>
    <row r="465" spans="1:7" ht="15">
      <c r="A465" s="112" t="s">
        <v>2531</v>
      </c>
      <c r="B465" s="112">
        <v>4</v>
      </c>
      <c r="C465" s="114">
        <v>0.0006266581049062596</v>
      </c>
      <c r="D465" s="112" t="s">
        <v>3314</v>
      </c>
      <c r="E465" s="112" t="b">
        <v>0</v>
      </c>
      <c r="F465" s="112" t="b">
        <v>1</v>
      </c>
      <c r="G465" s="112" t="b">
        <v>0</v>
      </c>
    </row>
    <row r="466" spans="1:7" ht="15">
      <c r="A466" s="112" t="s">
        <v>2532</v>
      </c>
      <c r="B466" s="112">
        <v>4</v>
      </c>
      <c r="C466" s="114">
        <v>0.0008237962815034968</v>
      </c>
      <c r="D466" s="112" t="s">
        <v>3314</v>
      </c>
      <c r="E466" s="112" t="b">
        <v>0</v>
      </c>
      <c r="F466" s="112" t="b">
        <v>0</v>
      </c>
      <c r="G466" s="112" t="b">
        <v>0</v>
      </c>
    </row>
    <row r="467" spans="1:7" ht="15">
      <c r="A467" s="112" t="s">
        <v>2533</v>
      </c>
      <c r="B467" s="112">
        <v>4</v>
      </c>
      <c r="C467" s="114">
        <v>0.0007252271932048783</v>
      </c>
      <c r="D467" s="112" t="s">
        <v>3314</v>
      </c>
      <c r="E467" s="112" t="b">
        <v>0</v>
      </c>
      <c r="F467" s="112" t="b">
        <v>0</v>
      </c>
      <c r="G467" s="112" t="b">
        <v>0</v>
      </c>
    </row>
    <row r="468" spans="1:7" ht="15">
      <c r="A468" s="112" t="s">
        <v>2534</v>
      </c>
      <c r="B468" s="112">
        <v>4</v>
      </c>
      <c r="C468" s="114">
        <v>0.0008237962815034968</v>
      </c>
      <c r="D468" s="112" t="s">
        <v>3314</v>
      </c>
      <c r="E468" s="112" t="b">
        <v>0</v>
      </c>
      <c r="F468" s="112" t="b">
        <v>0</v>
      </c>
      <c r="G468" s="112" t="b">
        <v>0</v>
      </c>
    </row>
    <row r="469" spans="1:7" ht="15">
      <c r="A469" s="112" t="s">
        <v>2535</v>
      </c>
      <c r="B469" s="112">
        <v>4</v>
      </c>
      <c r="C469" s="114">
        <v>0.0006266581049062596</v>
      </c>
      <c r="D469" s="112" t="s">
        <v>3314</v>
      </c>
      <c r="E469" s="112" t="b">
        <v>0</v>
      </c>
      <c r="F469" s="112" t="b">
        <v>0</v>
      </c>
      <c r="G469" s="112" t="b">
        <v>0</v>
      </c>
    </row>
    <row r="470" spans="1:7" ht="15">
      <c r="A470" s="112" t="s">
        <v>2536</v>
      </c>
      <c r="B470" s="112">
        <v>4</v>
      </c>
      <c r="C470" s="114">
        <v>0.0007252271932048783</v>
      </c>
      <c r="D470" s="112" t="s">
        <v>3314</v>
      </c>
      <c r="E470" s="112" t="b">
        <v>0</v>
      </c>
      <c r="F470" s="112" t="b">
        <v>0</v>
      </c>
      <c r="G470" s="112" t="b">
        <v>0</v>
      </c>
    </row>
    <row r="471" spans="1:7" ht="15">
      <c r="A471" s="112" t="s">
        <v>2537</v>
      </c>
      <c r="B471" s="112">
        <v>4</v>
      </c>
      <c r="C471" s="114">
        <v>0.0006675679728199138</v>
      </c>
      <c r="D471" s="112" t="s">
        <v>3314</v>
      </c>
      <c r="E471" s="112" t="b">
        <v>0</v>
      </c>
      <c r="F471" s="112" t="b">
        <v>0</v>
      </c>
      <c r="G471" s="112" t="b">
        <v>0</v>
      </c>
    </row>
    <row r="472" spans="1:7" ht="15">
      <c r="A472" s="112" t="s">
        <v>2538</v>
      </c>
      <c r="B472" s="112">
        <v>4</v>
      </c>
      <c r="C472" s="114">
        <v>0.0006675679728199138</v>
      </c>
      <c r="D472" s="112" t="s">
        <v>3314</v>
      </c>
      <c r="E472" s="112" t="b">
        <v>0</v>
      </c>
      <c r="F472" s="112" t="b">
        <v>0</v>
      </c>
      <c r="G472" s="112" t="b">
        <v>0</v>
      </c>
    </row>
    <row r="473" spans="1:7" ht="15">
      <c r="A473" s="112" t="s">
        <v>2539</v>
      </c>
      <c r="B473" s="112">
        <v>4</v>
      </c>
      <c r="C473" s="114">
        <v>0.0007252271932048783</v>
      </c>
      <c r="D473" s="112" t="s">
        <v>3314</v>
      </c>
      <c r="E473" s="112" t="b">
        <v>0</v>
      </c>
      <c r="F473" s="112" t="b">
        <v>0</v>
      </c>
      <c r="G473" s="112" t="b">
        <v>0</v>
      </c>
    </row>
    <row r="474" spans="1:7" ht="15">
      <c r="A474" s="112" t="s">
        <v>2540</v>
      </c>
      <c r="B474" s="112">
        <v>4</v>
      </c>
      <c r="C474" s="114">
        <v>0.0007252271932048783</v>
      </c>
      <c r="D474" s="112" t="s">
        <v>3314</v>
      </c>
      <c r="E474" s="112" t="b">
        <v>0</v>
      </c>
      <c r="F474" s="112" t="b">
        <v>0</v>
      </c>
      <c r="G474" s="112" t="b">
        <v>0</v>
      </c>
    </row>
    <row r="475" spans="1:7" ht="15">
      <c r="A475" s="112" t="s">
        <v>2541</v>
      </c>
      <c r="B475" s="112">
        <v>4</v>
      </c>
      <c r="C475" s="114">
        <v>0.0007252271932048783</v>
      </c>
      <c r="D475" s="112" t="s">
        <v>3314</v>
      </c>
      <c r="E475" s="112" t="b">
        <v>0</v>
      </c>
      <c r="F475" s="112" t="b">
        <v>1</v>
      </c>
      <c r="G475" s="112" t="b">
        <v>0</v>
      </c>
    </row>
    <row r="476" spans="1:7" ht="15">
      <c r="A476" s="112" t="s">
        <v>2542</v>
      </c>
      <c r="B476" s="112">
        <v>4</v>
      </c>
      <c r="C476" s="114">
        <v>0.0008237962815034968</v>
      </c>
      <c r="D476" s="112" t="s">
        <v>3314</v>
      </c>
      <c r="E476" s="112" t="b">
        <v>0</v>
      </c>
      <c r="F476" s="112" t="b">
        <v>0</v>
      </c>
      <c r="G476" s="112" t="b">
        <v>0</v>
      </c>
    </row>
    <row r="477" spans="1:7" ht="15">
      <c r="A477" s="112" t="s">
        <v>2543</v>
      </c>
      <c r="B477" s="112">
        <v>4</v>
      </c>
      <c r="C477" s="114">
        <v>0.0006266581049062596</v>
      </c>
      <c r="D477" s="112" t="s">
        <v>3314</v>
      </c>
      <c r="E477" s="112" t="b">
        <v>0</v>
      </c>
      <c r="F477" s="112" t="b">
        <v>0</v>
      </c>
      <c r="G477" s="112" t="b">
        <v>0</v>
      </c>
    </row>
    <row r="478" spans="1:7" ht="15">
      <c r="A478" s="112" t="s">
        <v>2544</v>
      </c>
      <c r="B478" s="112">
        <v>4</v>
      </c>
      <c r="C478" s="114">
        <v>0.0006266581049062596</v>
      </c>
      <c r="D478" s="112" t="s">
        <v>3314</v>
      </c>
      <c r="E478" s="112" t="b">
        <v>0</v>
      </c>
      <c r="F478" s="112" t="b">
        <v>0</v>
      </c>
      <c r="G478" s="112" t="b">
        <v>0</v>
      </c>
    </row>
    <row r="479" spans="1:7" ht="15">
      <c r="A479" s="112" t="s">
        <v>2545</v>
      </c>
      <c r="B479" s="112">
        <v>4</v>
      </c>
      <c r="C479" s="114">
        <v>0.0006675679728199138</v>
      </c>
      <c r="D479" s="112" t="s">
        <v>3314</v>
      </c>
      <c r="E479" s="112" t="b">
        <v>0</v>
      </c>
      <c r="F479" s="112" t="b">
        <v>0</v>
      </c>
      <c r="G479" s="112" t="b">
        <v>0</v>
      </c>
    </row>
    <row r="480" spans="1:7" ht="15">
      <c r="A480" s="112" t="s">
        <v>2546</v>
      </c>
      <c r="B480" s="112">
        <v>4</v>
      </c>
      <c r="C480" s="114">
        <v>0.0006266581049062596</v>
      </c>
      <c r="D480" s="112" t="s">
        <v>3314</v>
      </c>
      <c r="E480" s="112" t="b">
        <v>0</v>
      </c>
      <c r="F480" s="112" t="b">
        <v>0</v>
      </c>
      <c r="G480" s="112" t="b">
        <v>0</v>
      </c>
    </row>
    <row r="481" spans="1:7" ht="15">
      <c r="A481" s="112" t="s">
        <v>2547</v>
      </c>
      <c r="B481" s="112">
        <v>4</v>
      </c>
      <c r="C481" s="114">
        <v>0.0007252271932048783</v>
      </c>
      <c r="D481" s="112" t="s">
        <v>3314</v>
      </c>
      <c r="E481" s="112" t="b">
        <v>0</v>
      </c>
      <c r="F481" s="112" t="b">
        <v>0</v>
      </c>
      <c r="G481" s="112" t="b">
        <v>0</v>
      </c>
    </row>
    <row r="482" spans="1:7" ht="15">
      <c r="A482" s="112" t="s">
        <v>2548</v>
      </c>
      <c r="B482" s="112">
        <v>4</v>
      </c>
      <c r="C482" s="114">
        <v>0.0006266581049062596</v>
      </c>
      <c r="D482" s="112" t="s">
        <v>3314</v>
      </c>
      <c r="E482" s="112" t="b">
        <v>0</v>
      </c>
      <c r="F482" s="112" t="b">
        <v>0</v>
      </c>
      <c r="G482" s="112" t="b">
        <v>0</v>
      </c>
    </row>
    <row r="483" spans="1:7" ht="15">
      <c r="A483" s="112" t="s">
        <v>2549</v>
      </c>
      <c r="B483" s="112">
        <v>4</v>
      </c>
      <c r="C483" s="114">
        <v>0.0006266581049062596</v>
      </c>
      <c r="D483" s="112" t="s">
        <v>3314</v>
      </c>
      <c r="E483" s="112" t="b">
        <v>0</v>
      </c>
      <c r="F483" s="112" t="b">
        <v>0</v>
      </c>
      <c r="G483" s="112" t="b">
        <v>0</v>
      </c>
    </row>
    <row r="484" spans="1:7" ht="15">
      <c r="A484" s="112" t="s">
        <v>2550</v>
      </c>
      <c r="B484" s="112">
        <v>4</v>
      </c>
      <c r="C484" s="114">
        <v>0.0006675679728199138</v>
      </c>
      <c r="D484" s="112" t="s">
        <v>3314</v>
      </c>
      <c r="E484" s="112" t="b">
        <v>0</v>
      </c>
      <c r="F484" s="112" t="b">
        <v>0</v>
      </c>
      <c r="G484" s="112" t="b">
        <v>0</v>
      </c>
    </row>
    <row r="485" spans="1:7" ht="15">
      <c r="A485" s="112" t="s">
        <v>2551</v>
      </c>
      <c r="B485" s="112">
        <v>4</v>
      </c>
      <c r="C485" s="114">
        <v>0.0006675679728199138</v>
      </c>
      <c r="D485" s="112" t="s">
        <v>3314</v>
      </c>
      <c r="E485" s="112" t="b">
        <v>0</v>
      </c>
      <c r="F485" s="112" t="b">
        <v>0</v>
      </c>
      <c r="G485" s="112" t="b">
        <v>0</v>
      </c>
    </row>
    <row r="486" spans="1:7" ht="15">
      <c r="A486" s="112" t="s">
        <v>2552</v>
      </c>
      <c r="B486" s="112">
        <v>4</v>
      </c>
      <c r="C486" s="114">
        <v>0.0006266581049062596</v>
      </c>
      <c r="D486" s="112" t="s">
        <v>3314</v>
      </c>
      <c r="E486" s="112" t="b">
        <v>0</v>
      </c>
      <c r="F486" s="112" t="b">
        <v>0</v>
      </c>
      <c r="G486" s="112" t="b">
        <v>0</v>
      </c>
    </row>
    <row r="487" spans="1:7" ht="15">
      <c r="A487" s="112" t="s">
        <v>2553</v>
      </c>
      <c r="B487" s="112">
        <v>4</v>
      </c>
      <c r="C487" s="114">
        <v>0.0006675679728199138</v>
      </c>
      <c r="D487" s="112" t="s">
        <v>3314</v>
      </c>
      <c r="E487" s="112" t="b">
        <v>0</v>
      </c>
      <c r="F487" s="112" t="b">
        <v>0</v>
      </c>
      <c r="G487" s="112" t="b">
        <v>0</v>
      </c>
    </row>
    <row r="488" spans="1:7" ht="15">
      <c r="A488" s="112" t="s">
        <v>2554</v>
      </c>
      <c r="B488" s="112">
        <v>4</v>
      </c>
      <c r="C488" s="114">
        <v>0.0006266581049062596</v>
      </c>
      <c r="D488" s="112" t="s">
        <v>3314</v>
      </c>
      <c r="E488" s="112" t="b">
        <v>0</v>
      </c>
      <c r="F488" s="112" t="b">
        <v>0</v>
      </c>
      <c r="G488" s="112" t="b">
        <v>0</v>
      </c>
    </row>
    <row r="489" spans="1:7" ht="15">
      <c r="A489" s="112" t="s">
        <v>2555</v>
      </c>
      <c r="B489" s="112">
        <v>4</v>
      </c>
      <c r="C489" s="114">
        <v>0.0007252271932048783</v>
      </c>
      <c r="D489" s="112" t="s">
        <v>3314</v>
      </c>
      <c r="E489" s="112" t="b">
        <v>0</v>
      </c>
      <c r="F489" s="112" t="b">
        <v>0</v>
      </c>
      <c r="G489" s="112" t="b">
        <v>0</v>
      </c>
    </row>
    <row r="490" spans="1:7" ht="15">
      <c r="A490" s="112" t="s">
        <v>2556</v>
      </c>
      <c r="B490" s="112">
        <v>4</v>
      </c>
      <c r="C490" s="114">
        <v>0.0007252271932048783</v>
      </c>
      <c r="D490" s="112" t="s">
        <v>3314</v>
      </c>
      <c r="E490" s="112" t="b">
        <v>0</v>
      </c>
      <c r="F490" s="112" t="b">
        <v>0</v>
      </c>
      <c r="G490" s="112" t="b">
        <v>0</v>
      </c>
    </row>
    <row r="491" spans="1:7" ht="15">
      <c r="A491" s="112" t="s">
        <v>2557</v>
      </c>
      <c r="B491" s="112">
        <v>4</v>
      </c>
      <c r="C491" s="114">
        <v>0.0006266581049062596</v>
      </c>
      <c r="D491" s="112" t="s">
        <v>3314</v>
      </c>
      <c r="E491" s="112" t="b">
        <v>0</v>
      </c>
      <c r="F491" s="112" t="b">
        <v>0</v>
      </c>
      <c r="G491" s="112" t="b">
        <v>0</v>
      </c>
    </row>
    <row r="492" spans="1:7" ht="15">
      <c r="A492" s="112" t="s">
        <v>2558</v>
      </c>
      <c r="B492" s="112">
        <v>4</v>
      </c>
      <c r="C492" s="114">
        <v>0.0006675679728199138</v>
      </c>
      <c r="D492" s="112" t="s">
        <v>3314</v>
      </c>
      <c r="E492" s="112" t="b">
        <v>0</v>
      </c>
      <c r="F492" s="112" t="b">
        <v>0</v>
      </c>
      <c r="G492" s="112" t="b">
        <v>0</v>
      </c>
    </row>
    <row r="493" spans="1:7" ht="15">
      <c r="A493" s="112" t="s">
        <v>2559</v>
      </c>
      <c r="B493" s="112">
        <v>4</v>
      </c>
      <c r="C493" s="114">
        <v>0.0006266581049062596</v>
      </c>
      <c r="D493" s="112" t="s">
        <v>3314</v>
      </c>
      <c r="E493" s="112" t="b">
        <v>0</v>
      </c>
      <c r="F493" s="112" t="b">
        <v>0</v>
      </c>
      <c r="G493" s="112" t="b">
        <v>0</v>
      </c>
    </row>
    <row r="494" spans="1:7" ht="15">
      <c r="A494" s="112" t="s">
        <v>2560</v>
      </c>
      <c r="B494" s="112">
        <v>4</v>
      </c>
      <c r="C494" s="114">
        <v>0.0006266581049062596</v>
      </c>
      <c r="D494" s="112" t="s">
        <v>3314</v>
      </c>
      <c r="E494" s="112" t="b">
        <v>0</v>
      </c>
      <c r="F494" s="112" t="b">
        <v>0</v>
      </c>
      <c r="G494" s="112" t="b">
        <v>0</v>
      </c>
    </row>
    <row r="495" spans="1:7" ht="15">
      <c r="A495" s="112" t="s">
        <v>2561</v>
      </c>
      <c r="B495" s="112">
        <v>4</v>
      </c>
      <c r="C495" s="114">
        <v>0.0008237962815034968</v>
      </c>
      <c r="D495" s="112" t="s">
        <v>3314</v>
      </c>
      <c r="E495" s="112" t="b">
        <v>0</v>
      </c>
      <c r="F495" s="112" t="b">
        <v>0</v>
      </c>
      <c r="G495" s="112" t="b">
        <v>0</v>
      </c>
    </row>
    <row r="496" spans="1:7" ht="15">
      <c r="A496" s="112" t="s">
        <v>2562</v>
      </c>
      <c r="B496" s="112">
        <v>4</v>
      </c>
      <c r="C496" s="114">
        <v>0.0006675679728199138</v>
      </c>
      <c r="D496" s="112" t="s">
        <v>3314</v>
      </c>
      <c r="E496" s="112" t="b">
        <v>0</v>
      </c>
      <c r="F496" s="112" t="b">
        <v>0</v>
      </c>
      <c r="G496" s="112" t="b">
        <v>0</v>
      </c>
    </row>
    <row r="497" spans="1:7" ht="15">
      <c r="A497" s="112" t="s">
        <v>2563</v>
      </c>
      <c r="B497" s="112">
        <v>4</v>
      </c>
      <c r="C497" s="114">
        <v>0.0006675679728199138</v>
      </c>
      <c r="D497" s="112" t="s">
        <v>3314</v>
      </c>
      <c r="E497" s="112" t="b">
        <v>0</v>
      </c>
      <c r="F497" s="112" t="b">
        <v>0</v>
      </c>
      <c r="G497" s="112" t="b">
        <v>0</v>
      </c>
    </row>
    <row r="498" spans="1:7" ht="15">
      <c r="A498" s="112" t="s">
        <v>2564</v>
      </c>
      <c r="B498" s="112">
        <v>4</v>
      </c>
      <c r="C498" s="114">
        <v>0.0006675679728199138</v>
      </c>
      <c r="D498" s="112" t="s">
        <v>3314</v>
      </c>
      <c r="E498" s="112" t="b">
        <v>0</v>
      </c>
      <c r="F498" s="112" t="b">
        <v>0</v>
      </c>
      <c r="G498" s="112" t="b">
        <v>0</v>
      </c>
    </row>
    <row r="499" spans="1:7" ht="15">
      <c r="A499" s="112" t="s">
        <v>2565</v>
      </c>
      <c r="B499" s="112">
        <v>4</v>
      </c>
      <c r="C499" s="114">
        <v>0.0007252271932048783</v>
      </c>
      <c r="D499" s="112" t="s">
        <v>3314</v>
      </c>
      <c r="E499" s="112" t="b">
        <v>0</v>
      </c>
      <c r="F499" s="112" t="b">
        <v>0</v>
      </c>
      <c r="G499" s="112" t="b">
        <v>0</v>
      </c>
    </row>
    <row r="500" spans="1:7" ht="15">
      <c r="A500" s="112" t="s">
        <v>2566</v>
      </c>
      <c r="B500" s="112">
        <v>4</v>
      </c>
      <c r="C500" s="114">
        <v>0.0006266581049062596</v>
      </c>
      <c r="D500" s="112" t="s">
        <v>3314</v>
      </c>
      <c r="E500" s="112" t="b">
        <v>0</v>
      </c>
      <c r="F500" s="112" t="b">
        <v>0</v>
      </c>
      <c r="G500" s="112" t="b">
        <v>0</v>
      </c>
    </row>
    <row r="501" spans="1:7" ht="15">
      <c r="A501" s="112" t="s">
        <v>2567</v>
      </c>
      <c r="B501" s="112">
        <v>4</v>
      </c>
      <c r="C501" s="114">
        <v>0.0007252271932048783</v>
      </c>
      <c r="D501" s="112" t="s">
        <v>3314</v>
      </c>
      <c r="E501" s="112" t="b">
        <v>0</v>
      </c>
      <c r="F501" s="112" t="b">
        <v>0</v>
      </c>
      <c r="G501" s="112" t="b">
        <v>0</v>
      </c>
    </row>
    <row r="502" spans="1:7" ht="15">
      <c r="A502" s="112" t="s">
        <v>2568</v>
      </c>
      <c r="B502" s="112">
        <v>4</v>
      </c>
      <c r="C502" s="114">
        <v>0.0006266581049062596</v>
      </c>
      <c r="D502" s="112" t="s">
        <v>3314</v>
      </c>
      <c r="E502" s="112" t="b">
        <v>0</v>
      </c>
      <c r="F502" s="112" t="b">
        <v>0</v>
      </c>
      <c r="G502" s="112" t="b">
        <v>0</v>
      </c>
    </row>
    <row r="503" spans="1:7" ht="15">
      <c r="A503" s="112" t="s">
        <v>2569</v>
      </c>
      <c r="B503" s="112">
        <v>4</v>
      </c>
      <c r="C503" s="114">
        <v>0.0006675679728199138</v>
      </c>
      <c r="D503" s="112" t="s">
        <v>3314</v>
      </c>
      <c r="E503" s="112" t="b">
        <v>0</v>
      </c>
      <c r="F503" s="112" t="b">
        <v>0</v>
      </c>
      <c r="G503" s="112" t="b">
        <v>0</v>
      </c>
    </row>
    <row r="504" spans="1:7" ht="15">
      <c r="A504" s="112" t="s">
        <v>2570</v>
      </c>
      <c r="B504" s="112">
        <v>4</v>
      </c>
      <c r="C504" s="114">
        <v>0.0006675679728199138</v>
      </c>
      <c r="D504" s="112" t="s">
        <v>3314</v>
      </c>
      <c r="E504" s="112" t="b">
        <v>0</v>
      </c>
      <c r="F504" s="112" t="b">
        <v>0</v>
      </c>
      <c r="G504" s="112" t="b">
        <v>0</v>
      </c>
    </row>
    <row r="505" spans="1:7" ht="15">
      <c r="A505" s="112" t="s">
        <v>2571</v>
      </c>
      <c r="B505" s="112">
        <v>4</v>
      </c>
      <c r="C505" s="114">
        <v>0.0006675679728199138</v>
      </c>
      <c r="D505" s="112" t="s">
        <v>3314</v>
      </c>
      <c r="E505" s="112" t="b">
        <v>0</v>
      </c>
      <c r="F505" s="112" t="b">
        <v>0</v>
      </c>
      <c r="G505" s="112" t="b">
        <v>0</v>
      </c>
    </row>
    <row r="506" spans="1:7" ht="15">
      <c r="A506" s="112" t="s">
        <v>2572</v>
      </c>
      <c r="B506" s="112">
        <v>4</v>
      </c>
      <c r="C506" s="114">
        <v>0.0006266581049062596</v>
      </c>
      <c r="D506" s="112" t="s">
        <v>3314</v>
      </c>
      <c r="E506" s="112" t="b">
        <v>0</v>
      </c>
      <c r="F506" s="112" t="b">
        <v>0</v>
      </c>
      <c r="G506" s="112" t="b">
        <v>0</v>
      </c>
    </row>
    <row r="507" spans="1:7" ht="15">
      <c r="A507" s="112" t="s">
        <v>2573</v>
      </c>
      <c r="B507" s="112">
        <v>4</v>
      </c>
      <c r="C507" s="114">
        <v>0.0006675679728199138</v>
      </c>
      <c r="D507" s="112" t="s">
        <v>3314</v>
      </c>
      <c r="E507" s="112" t="b">
        <v>0</v>
      </c>
      <c r="F507" s="112" t="b">
        <v>0</v>
      </c>
      <c r="G507" s="112" t="b">
        <v>0</v>
      </c>
    </row>
    <row r="508" spans="1:7" ht="15">
      <c r="A508" s="112" t="s">
        <v>2574</v>
      </c>
      <c r="B508" s="112">
        <v>4</v>
      </c>
      <c r="C508" s="114">
        <v>0.0006266581049062596</v>
      </c>
      <c r="D508" s="112" t="s">
        <v>3314</v>
      </c>
      <c r="E508" s="112" t="b">
        <v>0</v>
      </c>
      <c r="F508" s="112" t="b">
        <v>0</v>
      </c>
      <c r="G508" s="112" t="b">
        <v>0</v>
      </c>
    </row>
    <row r="509" spans="1:7" ht="15">
      <c r="A509" s="112" t="s">
        <v>2575</v>
      </c>
      <c r="B509" s="112">
        <v>4</v>
      </c>
      <c r="C509" s="114">
        <v>0.0007252271932048783</v>
      </c>
      <c r="D509" s="112" t="s">
        <v>3314</v>
      </c>
      <c r="E509" s="112" t="b">
        <v>0</v>
      </c>
      <c r="F509" s="112" t="b">
        <v>0</v>
      </c>
      <c r="G509" s="112" t="b">
        <v>0</v>
      </c>
    </row>
    <row r="510" spans="1:7" ht="15">
      <c r="A510" s="112" t="s">
        <v>2576</v>
      </c>
      <c r="B510" s="112">
        <v>4</v>
      </c>
      <c r="C510" s="114">
        <v>0.0006266581049062596</v>
      </c>
      <c r="D510" s="112" t="s">
        <v>3314</v>
      </c>
      <c r="E510" s="112" t="b">
        <v>0</v>
      </c>
      <c r="F510" s="112" t="b">
        <v>0</v>
      </c>
      <c r="G510" s="112" t="b">
        <v>0</v>
      </c>
    </row>
    <row r="511" spans="1:7" ht="15">
      <c r="A511" s="112" t="s">
        <v>2577</v>
      </c>
      <c r="B511" s="112">
        <v>4</v>
      </c>
      <c r="C511" s="114">
        <v>0.0006266581049062596</v>
      </c>
      <c r="D511" s="112" t="s">
        <v>3314</v>
      </c>
      <c r="E511" s="112" t="b">
        <v>0</v>
      </c>
      <c r="F511" s="112" t="b">
        <v>0</v>
      </c>
      <c r="G511" s="112" t="b">
        <v>0</v>
      </c>
    </row>
    <row r="512" spans="1:7" ht="15">
      <c r="A512" s="112" t="s">
        <v>2578</v>
      </c>
      <c r="B512" s="112">
        <v>4</v>
      </c>
      <c r="C512" s="114">
        <v>0.0006675679728199138</v>
      </c>
      <c r="D512" s="112" t="s">
        <v>3314</v>
      </c>
      <c r="E512" s="112" t="b">
        <v>0</v>
      </c>
      <c r="F512" s="112" t="b">
        <v>0</v>
      </c>
      <c r="G512" s="112" t="b">
        <v>0</v>
      </c>
    </row>
    <row r="513" spans="1:7" ht="15">
      <c r="A513" s="112" t="s">
        <v>2579</v>
      </c>
      <c r="B513" s="112">
        <v>4</v>
      </c>
      <c r="C513" s="114">
        <v>0.0006266581049062596</v>
      </c>
      <c r="D513" s="112" t="s">
        <v>3314</v>
      </c>
      <c r="E513" s="112" t="b">
        <v>0</v>
      </c>
      <c r="F513" s="112" t="b">
        <v>1</v>
      </c>
      <c r="G513" s="112" t="b">
        <v>0</v>
      </c>
    </row>
    <row r="514" spans="1:7" ht="15">
      <c r="A514" s="112" t="s">
        <v>2580</v>
      </c>
      <c r="B514" s="112">
        <v>4</v>
      </c>
      <c r="C514" s="114">
        <v>0.0006266581049062596</v>
      </c>
      <c r="D514" s="112" t="s">
        <v>3314</v>
      </c>
      <c r="E514" s="112" t="b">
        <v>0</v>
      </c>
      <c r="F514" s="112" t="b">
        <v>0</v>
      </c>
      <c r="G514" s="112" t="b">
        <v>0</v>
      </c>
    </row>
    <row r="515" spans="1:7" ht="15">
      <c r="A515" s="112" t="s">
        <v>2581</v>
      </c>
      <c r="B515" s="112">
        <v>4</v>
      </c>
      <c r="C515" s="114">
        <v>0.0007252271932048783</v>
      </c>
      <c r="D515" s="112" t="s">
        <v>3314</v>
      </c>
      <c r="E515" s="112" t="b">
        <v>0</v>
      </c>
      <c r="F515" s="112" t="b">
        <v>0</v>
      </c>
      <c r="G515" s="112" t="b">
        <v>0</v>
      </c>
    </row>
    <row r="516" spans="1:7" ht="15">
      <c r="A516" s="112" t="s">
        <v>2582</v>
      </c>
      <c r="B516" s="112">
        <v>4</v>
      </c>
      <c r="C516" s="114">
        <v>0.0007252271932048783</v>
      </c>
      <c r="D516" s="112" t="s">
        <v>3314</v>
      </c>
      <c r="E516" s="112" t="b">
        <v>0</v>
      </c>
      <c r="F516" s="112" t="b">
        <v>0</v>
      </c>
      <c r="G516" s="112" t="b">
        <v>0</v>
      </c>
    </row>
    <row r="517" spans="1:7" ht="15">
      <c r="A517" s="112" t="s">
        <v>2583</v>
      </c>
      <c r="B517" s="112">
        <v>4</v>
      </c>
      <c r="C517" s="114">
        <v>0.0007252271932048783</v>
      </c>
      <c r="D517" s="112" t="s">
        <v>3314</v>
      </c>
      <c r="E517" s="112" t="b">
        <v>0</v>
      </c>
      <c r="F517" s="112" t="b">
        <v>0</v>
      </c>
      <c r="G517" s="112" t="b">
        <v>0</v>
      </c>
    </row>
    <row r="518" spans="1:7" ht="15">
      <c r="A518" s="112" t="s">
        <v>2584</v>
      </c>
      <c r="B518" s="112">
        <v>4</v>
      </c>
      <c r="C518" s="114">
        <v>0.0006266581049062596</v>
      </c>
      <c r="D518" s="112" t="s">
        <v>3314</v>
      </c>
      <c r="E518" s="112" t="b">
        <v>0</v>
      </c>
      <c r="F518" s="112" t="b">
        <v>0</v>
      </c>
      <c r="G518" s="112" t="b">
        <v>0</v>
      </c>
    </row>
    <row r="519" spans="1:7" ht="15">
      <c r="A519" s="112" t="s">
        <v>2585</v>
      </c>
      <c r="B519" s="112">
        <v>4</v>
      </c>
      <c r="C519" s="114">
        <v>0.0006675679728199138</v>
      </c>
      <c r="D519" s="112" t="s">
        <v>3314</v>
      </c>
      <c r="E519" s="112" t="b">
        <v>0</v>
      </c>
      <c r="F519" s="112" t="b">
        <v>0</v>
      </c>
      <c r="G519" s="112" t="b">
        <v>0</v>
      </c>
    </row>
    <row r="520" spans="1:7" ht="15">
      <c r="A520" s="112" t="s">
        <v>2586</v>
      </c>
      <c r="B520" s="112">
        <v>4</v>
      </c>
      <c r="C520" s="114">
        <v>0.0006675679728199138</v>
      </c>
      <c r="D520" s="112" t="s">
        <v>3314</v>
      </c>
      <c r="E520" s="112" t="b">
        <v>0</v>
      </c>
      <c r="F520" s="112" t="b">
        <v>0</v>
      </c>
      <c r="G520" s="112" t="b">
        <v>0</v>
      </c>
    </row>
    <row r="521" spans="1:7" ht="15">
      <c r="A521" s="112" t="s">
        <v>2587</v>
      </c>
      <c r="B521" s="112">
        <v>4</v>
      </c>
      <c r="C521" s="114">
        <v>0.0006266581049062596</v>
      </c>
      <c r="D521" s="112" t="s">
        <v>3314</v>
      </c>
      <c r="E521" s="112" t="b">
        <v>0</v>
      </c>
      <c r="F521" s="112" t="b">
        <v>0</v>
      </c>
      <c r="G521" s="112" t="b">
        <v>0</v>
      </c>
    </row>
    <row r="522" spans="1:7" ht="15">
      <c r="A522" s="112" t="s">
        <v>2588</v>
      </c>
      <c r="B522" s="112">
        <v>4</v>
      </c>
      <c r="C522" s="114">
        <v>0.0007252271932048783</v>
      </c>
      <c r="D522" s="112" t="s">
        <v>3314</v>
      </c>
      <c r="E522" s="112" t="b">
        <v>0</v>
      </c>
      <c r="F522" s="112" t="b">
        <v>0</v>
      </c>
      <c r="G522" s="112" t="b">
        <v>0</v>
      </c>
    </row>
    <row r="523" spans="1:7" ht="15">
      <c r="A523" s="112" t="s">
        <v>2589</v>
      </c>
      <c r="B523" s="112">
        <v>4</v>
      </c>
      <c r="C523" s="114">
        <v>0.0008237962815034968</v>
      </c>
      <c r="D523" s="112" t="s">
        <v>3314</v>
      </c>
      <c r="E523" s="112" t="b">
        <v>0</v>
      </c>
      <c r="F523" s="112" t="b">
        <v>0</v>
      </c>
      <c r="G523" s="112" t="b">
        <v>0</v>
      </c>
    </row>
    <row r="524" spans="1:7" ht="15">
      <c r="A524" s="112" t="s">
        <v>2590</v>
      </c>
      <c r="B524" s="112">
        <v>4</v>
      </c>
      <c r="C524" s="114">
        <v>0.0006266581049062596</v>
      </c>
      <c r="D524" s="112" t="s">
        <v>3314</v>
      </c>
      <c r="E524" s="112" t="b">
        <v>0</v>
      </c>
      <c r="F524" s="112" t="b">
        <v>0</v>
      </c>
      <c r="G524" s="112" t="b">
        <v>0</v>
      </c>
    </row>
    <row r="525" spans="1:7" ht="15">
      <c r="A525" s="112" t="s">
        <v>2591</v>
      </c>
      <c r="B525" s="112">
        <v>4</v>
      </c>
      <c r="C525" s="114">
        <v>0.0007252271932048783</v>
      </c>
      <c r="D525" s="112" t="s">
        <v>3314</v>
      </c>
      <c r="E525" s="112" t="b">
        <v>0</v>
      </c>
      <c r="F525" s="112" t="b">
        <v>0</v>
      </c>
      <c r="G525" s="112" t="b">
        <v>0</v>
      </c>
    </row>
    <row r="526" spans="1:7" ht="15">
      <c r="A526" s="112" t="s">
        <v>2592</v>
      </c>
      <c r="B526" s="112">
        <v>4</v>
      </c>
      <c r="C526" s="114">
        <v>0.0008237962815034968</v>
      </c>
      <c r="D526" s="112" t="s">
        <v>3314</v>
      </c>
      <c r="E526" s="112" t="b">
        <v>0</v>
      </c>
      <c r="F526" s="112" t="b">
        <v>0</v>
      </c>
      <c r="G526" s="112" t="b">
        <v>0</v>
      </c>
    </row>
    <row r="527" spans="1:7" ht="15">
      <c r="A527" s="112" t="s">
        <v>2593</v>
      </c>
      <c r="B527" s="112">
        <v>4</v>
      </c>
      <c r="C527" s="114">
        <v>0.0006266581049062596</v>
      </c>
      <c r="D527" s="112" t="s">
        <v>3314</v>
      </c>
      <c r="E527" s="112" t="b">
        <v>0</v>
      </c>
      <c r="F527" s="112" t="b">
        <v>0</v>
      </c>
      <c r="G527" s="112" t="b">
        <v>0</v>
      </c>
    </row>
    <row r="528" spans="1:7" ht="15">
      <c r="A528" s="112" t="s">
        <v>2594</v>
      </c>
      <c r="B528" s="112">
        <v>4</v>
      </c>
      <c r="C528" s="114">
        <v>0.0008237962815034968</v>
      </c>
      <c r="D528" s="112" t="s">
        <v>3314</v>
      </c>
      <c r="E528" s="112" t="b">
        <v>0</v>
      </c>
      <c r="F528" s="112" t="b">
        <v>0</v>
      </c>
      <c r="G528" s="112" t="b">
        <v>0</v>
      </c>
    </row>
    <row r="529" spans="1:7" ht="15">
      <c r="A529" s="112" t="s">
        <v>2595</v>
      </c>
      <c r="B529" s="112">
        <v>4</v>
      </c>
      <c r="C529" s="114">
        <v>0.0008237962815034968</v>
      </c>
      <c r="D529" s="112" t="s">
        <v>3314</v>
      </c>
      <c r="E529" s="112" t="b">
        <v>0</v>
      </c>
      <c r="F529" s="112" t="b">
        <v>0</v>
      </c>
      <c r="G529" s="112" t="b">
        <v>0</v>
      </c>
    </row>
    <row r="530" spans="1:7" ht="15">
      <c r="A530" s="112" t="s">
        <v>2596</v>
      </c>
      <c r="B530" s="112">
        <v>4</v>
      </c>
      <c r="C530" s="114">
        <v>0.0007252271932048783</v>
      </c>
      <c r="D530" s="112" t="s">
        <v>3314</v>
      </c>
      <c r="E530" s="112" t="b">
        <v>0</v>
      </c>
      <c r="F530" s="112" t="b">
        <v>0</v>
      </c>
      <c r="G530" s="112" t="b">
        <v>0</v>
      </c>
    </row>
    <row r="531" spans="1:7" ht="15">
      <c r="A531" s="112" t="s">
        <v>2597</v>
      </c>
      <c r="B531" s="112">
        <v>4</v>
      </c>
      <c r="C531" s="114">
        <v>0.0006266581049062596</v>
      </c>
      <c r="D531" s="112" t="s">
        <v>3314</v>
      </c>
      <c r="E531" s="112" t="b">
        <v>0</v>
      </c>
      <c r="F531" s="112" t="b">
        <v>0</v>
      </c>
      <c r="G531" s="112" t="b">
        <v>0</v>
      </c>
    </row>
    <row r="532" spans="1:7" ht="15">
      <c r="A532" s="112" t="s">
        <v>2598</v>
      </c>
      <c r="B532" s="112">
        <v>4</v>
      </c>
      <c r="C532" s="114">
        <v>0.0006266581049062596</v>
      </c>
      <c r="D532" s="112" t="s">
        <v>3314</v>
      </c>
      <c r="E532" s="112" t="b">
        <v>0</v>
      </c>
      <c r="F532" s="112" t="b">
        <v>0</v>
      </c>
      <c r="G532" s="112" t="b">
        <v>0</v>
      </c>
    </row>
    <row r="533" spans="1:7" ht="15">
      <c r="A533" s="112" t="s">
        <v>2599</v>
      </c>
      <c r="B533" s="112">
        <v>4</v>
      </c>
      <c r="C533" s="114">
        <v>0.0007252271932048783</v>
      </c>
      <c r="D533" s="112" t="s">
        <v>3314</v>
      </c>
      <c r="E533" s="112" t="b">
        <v>0</v>
      </c>
      <c r="F533" s="112" t="b">
        <v>0</v>
      </c>
      <c r="G533" s="112" t="b">
        <v>0</v>
      </c>
    </row>
    <row r="534" spans="1:7" ht="15">
      <c r="A534" s="112" t="s">
        <v>2600</v>
      </c>
      <c r="B534" s="112">
        <v>4</v>
      </c>
      <c r="C534" s="114">
        <v>0.0007252271932048783</v>
      </c>
      <c r="D534" s="112" t="s">
        <v>3314</v>
      </c>
      <c r="E534" s="112" t="b">
        <v>0</v>
      </c>
      <c r="F534" s="112" t="b">
        <v>0</v>
      </c>
      <c r="G534" s="112" t="b">
        <v>0</v>
      </c>
    </row>
    <row r="535" spans="1:7" ht="15">
      <c r="A535" s="112" t="s">
        <v>2601</v>
      </c>
      <c r="B535" s="112">
        <v>4</v>
      </c>
      <c r="C535" s="114">
        <v>0.0007252271932048783</v>
      </c>
      <c r="D535" s="112" t="s">
        <v>3314</v>
      </c>
      <c r="E535" s="112" t="b">
        <v>0</v>
      </c>
      <c r="F535" s="112" t="b">
        <v>0</v>
      </c>
      <c r="G535" s="112" t="b">
        <v>0</v>
      </c>
    </row>
    <row r="536" spans="1:7" ht="15">
      <c r="A536" s="112" t="s">
        <v>2602</v>
      </c>
      <c r="B536" s="112">
        <v>4</v>
      </c>
      <c r="C536" s="114">
        <v>0.0006675679728199138</v>
      </c>
      <c r="D536" s="112" t="s">
        <v>3314</v>
      </c>
      <c r="E536" s="112" t="b">
        <v>0</v>
      </c>
      <c r="F536" s="112" t="b">
        <v>0</v>
      </c>
      <c r="G536" s="112" t="b">
        <v>0</v>
      </c>
    </row>
    <row r="537" spans="1:7" ht="15">
      <c r="A537" s="112" t="s">
        <v>2603</v>
      </c>
      <c r="B537" s="112">
        <v>4</v>
      </c>
      <c r="C537" s="114">
        <v>0.0006675679728199138</v>
      </c>
      <c r="D537" s="112" t="s">
        <v>3314</v>
      </c>
      <c r="E537" s="112" t="b">
        <v>0</v>
      </c>
      <c r="F537" s="112" t="b">
        <v>0</v>
      </c>
      <c r="G537" s="112" t="b">
        <v>0</v>
      </c>
    </row>
    <row r="538" spans="1:7" ht="15">
      <c r="A538" s="112" t="s">
        <v>2604</v>
      </c>
      <c r="B538" s="112">
        <v>4</v>
      </c>
      <c r="C538" s="114">
        <v>0.0006675679728199138</v>
      </c>
      <c r="D538" s="112" t="s">
        <v>3314</v>
      </c>
      <c r="E538" s="112" t="b">
        <v>0</v>
      </c>
      <c r="F538" s="112" t="b">
        <v>0</v>
      </c>
      <c r="G538" s="112" t="b">
        <v>0</v>
      </c>
    </row>
    <row r="539" spans="1:7" ht="15">
      <c r="A539" s="112" t="s">
        <v>2605</v>
      </c>
      <c r="B539" s="112">
        <v>4</v>
      </c>
      <c r="C539" s="114">
        <v>0.0006675679728199138</v>
      </c>
      <c r="D539" s="112" t="s">
        <v>3314</v>
      </c>
      <c r="E539" s="112" t="b">
        <v>0</v>
      </c>
      <c r="F539" s="112" t="b">
        <v>0</v>
      </c>
      <c r="G539" s="112" t="b">
        <v>0</v>
      </c>
    </row>
    <row r="540" spans="1:7" ht="15">
      <c r="A540" s="112" t="s">
        <v>2606</v>
      </c>
      <c r="B540" s="112">
        <v>4</v>
      </c>
      <c r="C540" s="114">
        <v>0.0006675679728199138</v>
      </c>
      <c r="D540" s="112" t="s">
        <v>3314</v>
      </c>
      <c r="E540" s="112" t="b">
        <v>0</v>
      </c>
      <c r="F540" s="112" t="b">
        <v>0</v>
      </c>
      <c r="G540" s="112" t="b">
        <v>0</v>
      </c>
    </row>
    <row r="541" spans="1:7" ht="15">
      <c r="A541" s="112" t="s">
        <v>2607</v>
      </c>
      <c r="B541" s="112">
        <v>4</v>
      </c>
      <c r="C541" s="114">
        <v>0.0006675679728199138</v>
      </c>
      <c r="D541" s="112" t="s">
        <v>3314</v>
      </c>
      <c r="E541" s="112" t="b">
        <v>0</v>
      </c>
      <c r="F541" s="112" t="b">
        <v>0</v>
      </c>
      <c r="G541" s="112" t="b">
        <v>0</v>
      </c>
    </row>
    <row r="542" spans="1:7" ht="15">
      <c r="A542" s="112" t="s">
        <v>2608</v>
      </c>
      <c r="B542" s="112">
        <v>4</v>
      </c>
      <c r="C542" s="114">
        <v>0.0006675679728199138</v>
      </c>
      <c r="D542" s="112" t="s">
        <v>3314</v>
      </c>
      <c r="E542" s="112" t="b">
        <v>0</v>
      </c>
      <c r="F542" s="112" t="b">
        <v>0</v>
      </c>
      <c r="G542" s="112" t="b">
        <v>0</v>
      </c>
    </row>
    <row r="543" spans="1:7" ht="15">
      <c r="A543" s="112" t="s">
        <v>2609</v>
      </c>
      <c r="B543" s="112">
        <v>4</v>
      </c>
      <c r="C543" s="114">
        <v>0.0006675679728199138</v>
      </c>
      <c r="D543" s="112" t="s">
        <v>3314</v>
      </c>
      <c r="E543" s="112" t="b">
        <v>0</v>
      </c>
      <c r="F543" s="112" t="b">
        <v>0</v>
      </c>
      <c r="G543" s="112" t="b">
        <v>0</v>
      </c>
    </row>
    <row r="544" spans="1:7" ht="15">
      <c r="A544" s="112" t="s">
        <v>2610</v>
      </c>
      <c r="B544" s="112">
        <v>4</v>
      </c>
      <c r="C544" s="114">
        <v>0.0006675679728199138</v>
      </c>
      <c r="D544" s="112" t="s">
        <v>3314</v>
      </c>
      <c r="E544" s="112" t="b">
        <v>0</v>
      </c>
      <c r="F544" s="112" t="b">
        <v>0</v>
      </c>
      <c r="G544" s="112" t="b">
        <v>0</v>
      </c>
    </row>
    <row r="545" spans="1:7" ht="15">
      <c r="A545" s="112" t="s">
        <v>2611</v>
      </c>
      <c r="B545" s="112">
        <v>4</v>
      </c>
      <c r="C545" s="114">
        <v>0.0006266581049062596</v>
      </c>
      <c r="D545" s="112" t="s">
        <v>3314</v>
      </c>
      <c r="E545" s="112" t="b">
        <v>0</v>
      </c>
      <c r="F545" s="112" t="b">
        <v>0</v>
      </c>
      <c r="G545" s="112" t="b">
        <v>0</v>
      </c>
    </row>
    <row r="546" spans="1:7" ht="15">
      <c r="A546" s="112" t="s">
        <v>2612</v>
      </c>
      <c r="B546" s="112">
        <v>4</v>
      </c>
      <c r="C546" s="114">
        <v>0.0007252271932048783</v>
      </c>
      <c r="D546" s="112" t="s">
        <v>3314</v>
      </c>
      <c r="E546" s="112" t="b">
        <v>0</v>
      </c>
      <c r="F546" s="112" t="b">
        <v>0</v>
      </c>
      <c r="G546" s="112" t="b">
        <v>0</v>
      </c>
    </row>
    <row r="547" spans="1:7" ht="15">
      <c r="A547" s="112" t="s">
        <v>2613</v>
      </c>
      <c r="B547" s="112">
        <v>4</v>
      </c>
      <c r="C547" s="114">
        <v>0.0007252271932048783</v>
      </c>
      <c r="D547" s="112" t="s">
        <v>3314</v>
      </c>
      <c r="E547" s="112" t="b">
        <v>0</v>
      </c>
      <c r="F547" s="112" t="b">
        <v>0</v>
      </c>
      <c r="G547" s="112" t="b">
        <v>0</v>
      </c>
    </row>
    <row r="548" spans="1:7" ht="15">
      <c r="A548" s="112" t="s">
        <v>2614</v>
      </c>
      <c r="B548" s="112">
        <v>4</v>
      </c>
      <c r="C548" s="114">
        <v>0.0007252271932048783</v>
      </c>
      <c r="D548" s="112" t="s">
        <v>3314</v>
      </c>
      <c r="E548" s="112" t="b">
        <v>0</v>
      </c>
      <c r="F548" s="112" t="b">
        <v>0</v>
      </c>
      <c r="G548" s="112" t="b">
        <v>0</v>
      </c>
    </row>
    <row r="549" spans="1:7" ht="15">
      <c r="A549" s="112" t="s">
        <v>2615</v>
      </c>
      <c r="B549" s="112">
        <v>4</v>
      </c>
      <c r="C549" s="114">
        <v>0.0006266581049062596</v>
      </c>
      <c r="D549" s="112" t="s">
        <v>3314</v>
      </c>
      <c r="E549" s="112" t="b">
        <v>0</v>
      </c>
      <c r="F549" s="112" t="b">
        <v>0</v>
      </c>
      <c r="G549" s="112" t="b">
        <v>0</v>
      </c>
    </row>
    <row r="550" spans="1:7" ht="15">
      <c r="A550" s="112" t="s">
        <v>2616</v>
      </c>
      <c r="B550" s="112">
        <v>4</v>
      </c>
      <c r="C550" s="114">
        <v>0.0007252271932048783</v>
      </c>
      <c r="D550" s="112" t="s">
        <v>3314</v>
      </c>
      <c r="E550" s="112" t="b">
        <v>0</v>
      </c>
      <c r="F550" s="112" t="b">
        <v>0</v>
      </c>
      <c r="G550" s="112" t="b">
        <v>0</v>
      </c>
    </row>
    <row r="551" spans="1:7" ht="15">
      <c r="A551" s="112" t="s">
        <v>2617</v>
      </c>
      <c r="B551" s="112">
        <v>4</v>
      </c>
      <c r="C551" s="114">
        <v>0.0008237962815034968</v>
      </c>
      <c r="D551" s="112" t="s">
        <v>3314</v>
      </c>
      <c r="E551" s="112" t="b">
        <v>0</v>
      </c>
      <c r="F551" s="112" t="b">
        <v>0</v>
      </c>
      <c r="G551" s="112" t="b">
        <v>0</v>
      </c>
    </row>
    <row r="552" spans="1:7" ht="15">
      <c r="A552" s="112" t="s">
        <v>2618</v>
      </c>
      <c r="B552" s="112">
        <v>4</v>
      </c>
      <c r="C552" s="114">
        <v>0.0006675679728199138</v>
      </c>
      <c r="D552" s="112" t="s">
        <v>3314</v>
      </c>
      <c r="E552" s="112" t="b">
        <v>1</v>
      </c>
      <c r="F552" s="112" t="b">
        <v>0</v>
      </c>
      <c r="G552" s="112" t="b">
        <v>0</v>
      </c>
    </row>
    <row r="553" spans="1:7" ht="15">
      <c r="A553" s="112" t="s">
        <v>2619</v>
      </c>
      <c r="B553" s="112">
        <v>4</v>
      </c>
      <c r="C553" s="114">
        <v>0.0008237962815034968</v>
      </c>
      <c r="D553" s="112" t="s">
        <v>3314</v>
      </c>
      <c r="E553" s="112" t="b">
        <v>0</v>
      </c>
      <c r="F553" s="112" t="b">
        <v>1</v>
      </c>
      <c r="G553" s="112" t="b">
        <v>0</v>
      </c>
    </row>
    <row r="554" spans="1:7" ht="15">
      <c r="A554" s="112" t="s">
        <v>2620</v>
      </c>
      <c r="B554" s="112">
        <v>4</v>
      </c>
      <c r="C554" s="114">
        <v>0.0006675679728199138</v>
      </c>
      <c r="D554" s="112" t="s">
        <v>3314</v>
      </c>
      <c r="E554" s="112" t="b">
        <v>0</v>
      </c>
      <c r="F554" s="112" t="b">
        <v>0</v>
      </c>
      <c r="G554" s="112" t="b">
        <v>0</v>
      </c>
    </row>
    <row r="555" spans="1:7" ht="15">
      <c r="A555" s="112" t="s">
        <v>2621</v>
      </c>
      <c r="B555" s="112">
        <v>4</v>
      </c>
      <c r="C555" s="114">
        <v>0.0008237962815034968</v>
      </c>
      <c r="D555" s="112" t="s">
        <v>3314</v>
      </c>
      <c r="E555" s="112" t="b">
        <v>0</v>
      </c>
      <c r="F555" s="112" t="b">
        <v>0</v>
      </c>
      <c r="G555" s="112" t="b">
        <v>0</v>
      </c>
    </row>
    <row r="556" spans="1:7" ht="15">
      <c r="A556" s="112" t="s">
        <v>2622</v>
      </c>
      <c r="B556" s="112">
        <v>3</v>
      </c>
      <c r="C556" s="114">
        <v>0.0005439203949036586</v>
      </c>
      <c r="D556" s="112" t="s">
        <v>3314</v>
      </c>
      <c r="E556" s="112" t="b">
        <v>0</v>
      </c>
      <c r="F556" s="112" t="b">
        <v>0</v>
      </c>
      <c r="G556" s="112" t="b">
        <v>0</v>
      </c>
    </row>
    <row r="557" spans="1:7" ht="15">
      <c r="A557" s="112" t="s">
        <v>2623</v>
      </c>
      <c r="B557" s="112">
        <v>3</v>
      </c>
      <c r="C557" s="114">
        <v>0.0005006759796149353</v>
      </c>
      <c r="D557" s="112" t="s">
        <v>3314</v>
      </c>
      <c r="E557" s="112" t="b">
        <v>0</v>
      </c>
      <c r="F557" s="112" t="b">
        <v>0</v>
      </c>
      <c r="G557" s="112" t="b">
        <v>0</v>
      </c>
    </row>
    <row r="558" spans="1:7" ht="15">
      <c r="A558" s="112" t="s">
        <v>2624</v>
      </c>
      <c r="B558" s="112">
        <v>3</v>
      </c>
      <c r="C558" s="114">
        <v>0.0005439203949036586</v>
      </c>
      <c r="D558" s="112" t="s">
        <v>3314</v>
      </c>
      <c r="E558" s="112" t="b">
        <v>0</v>
      </c>
      <c r="F558" s="112" t="b">
        <v>1</v>
      </c>
      <c r="G558" s="112" t="b">
        <v>0</v>
      </c>
    </row>
    <row r="559" spans="1:7" ht="15">
      <c r="A559" s="112" t="s">
        <v>2625</v>
      </c>
      <c r="B559" s="112">
        <v>3</v>
      </c>
      <c r="C559" s="114">
        <v>0.0005006759796149353</v>
      </c>
      <c r="D559" s="112" t="s">
        <v>3314</v>
      </c>
      <c r="E559" s="112" t="b">
        <v>0</v>
      </c>
      <c r="F559" s="112" t="b">
        <v>0</v>
      </c>
      <c r="G559" s="112" t="b">
        <v>0</v>
      </c>
    </row>
    <row r="560" spans="1:7" ht="15">
      <c r="A560" s="112" t="s">
        <v>2626</v>
      </c>
      <c r="B560" s="112">
        <v>3</v>
      </c>
      <c r="C560" s="114">
        <v>0.0006178472111276226</v>
      </c>
      <c r="D560" s="112" t="s">
        <v>3314</v>
      </c>
      <c r="E560" s="112" t="b">
        <v>0</v>
      </c>
      <c r="F560" s="112" t="b">
        <v>0</v>
      </c>
      <c r="G560" s="112" t="b">
        <v>0</v>
      </c>
    </row>
    <row r="561" spans="1:7" ht="15">
      <c r="A561" s="112" t="s">
        <v>2627</v>
      </c>
      <c r="B561" s="112">
        <v>3</v>
      </c>
      <c r="C561" s="114">
        <v>0.0005439203949036586</v>
      </c>
      <c r="D561" s="112" t="s">
        <v>3314</v>
      </c>
      <c r="E561" s="112" t="b">
        <v>0</v>
      </c>
      <c r="F561" s="112" t="b">
        <v>0</v>
      </c>
      <c r="G561" s="112" t="b">
        <v>0</v>
      </c>
    </row>
    <row r="562" spans="1:7" ht="15">
      <c r="A562" s="112" t="s">
        <v>2628</v>
      </c>
      <c r="B562" s="112">
        <v>3</v>
      </c>
      <c r="C562" s="114">
        <v>0.0005006759796149353</v>
      </c>
      <c r="D562" s="112" t="s">
        <v>3314</v>
      </c>
      <c r="E562" s="112" t="b">
        <v>0</v>
      </c>
      <c r="F562" s="112" t="b">
        <v>0</v>
      </c>
      <c r="G562" s="112" t="b">
        <v>0</v>
      </c>
    </row>
    <row r="563" spans="1:7" ht="15">
      <c r="A563" s="112" t="s">
        <v>2629</v>
      </c>
      <c r="B563" s="112">
        <v>3</v>
      </c>
      <c r="C563" s="114">
        <v>0.0005439203949036586</v>
      </c>
      <c r="D563" s="112" t="s">
        <v>3314</v>
      </c>
      <c r="E563" s="112" t="b">
        <v>0</v>
      </c>
      <c r="F563" s="112" t="b">
        <v>0</v>
      </c>
      <c r="G563" s="112" t="b">
        <v>0</v>
      </c>
    </row>
    <row r="564" spans="1:7" ht="15">
      <c r="A564" s="112" t="s">
        <v>2630</v>
      </c>
      <c r="B564" s="112">
        <v>3</v>
      </c>
      <c r="C564" s="114">
        <v>0.0005006759796149353</v>
      </c>
      <c r="D564" s="112" t="s">
        <v>3314</v>
      </c>
      <c r="E564" s="112" t="b">
        <v>0</v>
      </c>
      <c r="F564" s="112" t="b">
        <v>0</v>
      </c>
      <c r="G564" s="112" t="b">
        <v>0</v>
      </c>
    </row>
    <row r="565" spans="1:7" ht="15">
      <c r="A565" s="112" t="s">
        <v>2631</v>
      </c>
      <c r="B565" s="112">
        <v>3</v>
      </c>
      <c r="C565" s="114">
        <v>0.0005439203949036586</v>
      </c>
      <c r="D565" s="112" t="s">
        <v>3314</v>
      </c>
      <c r="E565" s="112" t="b">
        <v>0</v>
      </c>
      <c r="F565" s="112" t="b">
        <v>0</v>
      </c>
      <c r="G565" s="112" t="b">
        <v>0</v>
      </c>
    </row>
    <row r="566" spans="1:7" ht="15">
      <c r="A566" s="112" t="s">
        <v>2632</v>
      </c>
      <c r="B566" s="112">
        <v>3</v>
      </c>
      <c r="C566" s="114">
        <v>0.0005439203949036586</v>
      </c>
      <c r="D566" s="112" t="s">
        <v>3314</v>
      </c>
      <c r="E566" s="112" t="b">
        <v>0</v>
      </c>
      <c r="F566" s="112" t="b">
        <v>0</v>
      </c>
      <c r="G566" s="112" t="b">
        <v>0</v>
      </c>
    </row>
    <row r="567" spans="1:7" ht="15">
      <c r="A567" s="112" t="s">
        <v>2633</v>
      </c>
      <c r="B567" s="112">
        <v>3</v>
      </c>
      <c r="C567" s="114">
        <v>0.0005006759796149353</v>
      </c>
      <c r="D567" s="112" t="s">
        <v>3314</v>
      </c>
      <c r="E567" s="112" t="b">
        <v>0</v>
      </c>
      <c r="F567" s="112" t="b">
        <v>0</v>
      </c>
      <c r="G567" s="112" t="b">
        <v>0</v>
      </c>
    </row>
    <row r="568" spans="1:7" ht="15">
      <c r="A568" s="112" t="s">
        <v>2634</v>
      </c>
      <c r="B568" s="112">
        <v>3</v>
      </c>
      <c r="C568" s="114">
        <v>0.0005006759796149353</v>
      </c>
      <c r="D568" s="112" t="s">
        <v>3314</v>
      </c>
      <c r="E568" s="112" t="b">
        <v>0</v>
      </c>
      <c r="F568" s="112" t="b">
        <v>0</v>
      </c>
      <c r="G568" s="112" t="b">
        <v>0</v>
      </c>
    </row>
    <row r="569" spans="1:7" ht="15">
      <c r="A569" s="112" t="s">
        <v>2635</v>
      </c>
      <c r="B569" s="112">
        <v>3</v>
      </c>
      <c r="C569" s="114">
        <v>0.0005439203949036586</v>
      </c>
      <c r="D569" s="112" t="s">
        <v>3314</v>
      </c>
      <c r="E569" s="112" t="b">
        <v>0</v>
      </c>
      <c r="F569" s="112" t="b">
        <v>1</v>
      </c>
      <c r="G569" s="112" t="b">
        <v>0</v>
      </c>
    </row>
    <row r="570" spans="1:7" ht="15">
      <c r="A570" s="112" t="s">
        <v>2636</v>
      </c>
      <c r="B570" s="112">
        <v>3</v>
      </c>
      <c r="C570" s="114">
        <v>0.0005006759796149353</v>
      </c>
      <c r="D570" s="112" t="s">
        <v>3314</v>
      </c>
      <c r="E570" s="112" t="b">
        <v>0</v>
      </c>
      <c r="F570" s="112" t="b">
        <v>0</v>
      </c>
      <c r="G570" s="112" t="b">
        <v>0</v>
      </c>
    </row>
    <row r="571" spans="1:7" ht="15">
      <c r="A571" s="112" t="s">
        <v>2637</v>
      </c>
      <c r="B571" s="112">
        <v>3</v>
      </c>
      <c r="C571" s="114">
        <v>0.0005006759796149353</v>
      </c>
      <c r="D571" s="112" t="s">
        <v>3314</v>
      </c>
      <c r="E571" s="112" t="b">
        <v>0</v>
      </c>
      <c r="F571" s="112" t="b">
        <v>0</v>
      </c>
      <c r="G571" s="112" t="b">
        <v>0</v>
      </c>
    </row>
    <row r="572" spans="1:7" ht="15">
      <c r="A572" s="112" t="s">
        <v>2638</v>
      </c>
      <c r="B572" s="112">
        <v>3</v>
      </c>
      <c r="C572" s="114">
        <v>0.0005006759796149353</v>
      </c>
      <c r="D572" s="112" t="s">
        <v>3314</v>
      </c>
      <c r="E572" s="112" t="b">
        <v>0</v>
      </c>
      <c r="F572" s="112" t="b">
        <v>0</v>
      </c>
      <c r="G572" s="112" t="b">
        <v>0</v>
      </c>
    </row>
    <row r="573" spans="1:7" ht="15">
      <c r="A573" s="112" t="s">
        <v>2639</v>
      </c>
      <c r="B573" s="112">
        <v>3</v>
      </c>
      <c r="C573" s="114">
        <v>0.0005439203949036586</v>
      </c>
      <c r="D573" s="112" t="s">
        <v>3314</v>
      </c>
      <c r="E573" s="112" t="b">
        <v>0</v>
      </c>
      <c r="F573" s="112" t="b">
        <v>0</v>
      </c>
      <c r="G573" s="112" t="b">
        <v>0</v>
      </c>
    </row>
    <row r="574" spans="1:7" ht="15">
      <c r="A574" s="112" t="s">
        <v>2640</v>
      </c>
      <c r="B574" s="112">
        <v>3</v>
      </c>
      <c r="C574" s="114">
        <v>0.0005006759796149353</v>
      </c>
      <c r="D574" s="112" t="s">
        <v>3314</v>
      </c>
      <c r="E574" s="112" t="b">
        <v>0</v>
      </c>
      <c r="F574" s="112" t="b">
        <v>0</v>
      </c>
      <c r="G574" s="112" t="b">
        <v>0</v>
      </c>
    </row>
    <row r="575" spans="1:7" ht="15">
      <c r="A575" s="112" t="s">
        <v>2641</v>
      </c>
      <c r="B575" s="112">
        <v>3</v>
      </c>
      <c r="C575" s="114">
        <v>0.0005006759796149353</v>
      </c>
      <c r="D575" s="112" t="s">
        <v>3314</v>
      </c>
      <c r="E575" s="112" t="b">
        <v>1</v>
      </c>
      <c r="F575" s="112" t="b">
        <v>0</v>
      </c>
      <c r="G575" s="112" t="b">
        <v>0</v>
      </c>
    </row>
    <row r="576" spans="1:7" ht="15">
      <c r="A576" s="112" t="s">
        <v>2642</v>
      </c>
      <c r="B576" s="112">
        <v>3</v>
      </c>
      <c r="C576" s="114">
        <v>0.0005006759796149353</v>
      </c>
      <c r="D576" s="112" t="s">
        <v>3314</v>
      </c>
      <c r="E576" s="112" t="b">
        <v>0</v>
      </c>
      <c r="F576" s="112" t="b">
        <v>0</v>
      </c>
      <c r="G576" s="112" t="b">
        <v>0</v>
      </c>
    </row>
    <row r="577" spans="1:7" ht="15">
      <c r="A577" s="112" t="s">
        <v>2643</v>
      </c>
      <c r="B577" s="112">
        <v>3</v>
      </c>
      <c r="C577" s="114">
        <v>0.0005006759796149353</v>
      </c>
      <c r="D577" s="112" t="s">
        <v>3314</v>
      </c>
      <c r="E577" s="112" t="b">
        <v>0</v>
      </c>
      <c r="F577" s="112" t="b">
        <v>0</v>
      </c>
      <c r="G577" s="112" t="b">
        <v>0</v>
      </c>
    </row>
    <row r="578" spans="1:7" ht="15">
      <c r="A578" s="112" t="s">
        <v>2644</v>
      </c>
      <c r="B578" s="112">
        <v>3</v>
      </c>
      <c r="C578" s="114">
        <v>0.0005439203949036586</v>
      </c>
      <c r="D578" s="112" t="s">
        <v>3314</v>
      </c>
      <c r="E578" s="112" t="b">
        <v>0</v>
      </c>
      <c r="F578" s="112" t="b">
        <v>0</v>
      </c>
      <c r="G578" s="112" t="b">
        <v>0</v>
      </c>
    </row>
    <row r="579" spans="1:7" ht="15">
      <c r="A579" s="112" t="s">
        <v>2645</v>
      </c>
      <c r="B579" s="112">
        <v>3</v>
      </c>
      <c r="C579" s="114">
        <v>0.0005006759796149353</v>
      </c>
      <c r="D579" s="112" t="s">
        <v>3314</v>
      </c>
      <c r="E579" s="112" t="b">
        <v>0</v>
      </c>
      <c r="F579" s="112" t="b">
        <v>0</v>
      </c>
      <c r="G579" s="112" t="b">
        <v>0</v>
      </c>
    </row>
    <row r="580" spans="1:7" ht="15">
      <c r="A580" s="112" t="s">
        <v>2646</v>
      </c>
      <c r="B580" s="112">
        <v>3</v>
      </c>
      <c r="C580" s="114">
        <v>0.0005439203949036586</v>
      </c>
      <c r="D580" s="112" t="s">
        <v>3314</v>
      </c>
      <c r="E580" s="112" t="b">
        <v>0</v>
      </c>
      <c r="F580" s="112" t="b">
        <v>0</v>
      </c>
      <c r="G580" s="112" t="b">
        <v>0</v>
      </c>
    </row>
    <row r="581" spans="1:7" ht="15">
      <c r="A581" s="112" t="s">
        <v>2647</v>
      </c>
      <c r="B581" s="112">
        <v>3</v>
      </c>
      <c r="C581" s="114">
        <v>0.0006178472111276226</v>
      </c>
      <c r="D581" s="112" t="s">
        <v>3314</v>
      </c>
      <c r="E581" s="112" t="b">
        <v>0</v>
      </c>
      <c r="F581" s="112" t="b">
        <v>0</v>
      </c>
      <c r="G581" s="112" t="b">
        <v>0</v>
      </c>
    </row>
    <row r="582" spans="1:7" ht="15">
      <c r="A582" s="112" t="s">
        <v>2648</v>
      </c>
      <c r="B582" s="112">
        <v>3</v>
      </c>
      <c r="C582" s="114">
        <v>0.0005006759796149353</v>
      </c>
      <c r="D582" s="112" t="s">
        <v>3314</v>
      </c>
      <c r="E582" s="112" t="b">
        <v>0</v>
      </c>
      <c r="F582" s="112" t="b">
        <v>0</v>
      </c>
      <c r="G582" s="112" t="b">
        <v>0</v>
      </c>
    </row>
    <row r="583" spans="1:7" ht="15">
      <c r="A583" s="112" t="s">
        <v>2649</v>
      </c>
      <c r="B583" s="112">
        <v>3</v>
      </c>
      <c r="C583" s="114">
        <v>0.0005439203949036586</v>
      </c>
      <c r="D583" s="112" t="s">
        <v>3314</v>
      </c>
      <c r="E583" s="112" t="b">
        <v>0</v>
      </c>
      <c r="F583" s="112" t="b">
        <v>1</v>
      </c>
      <c r="G583" s="112" t="b">
        <v>0</v>
      </c>
    </row>
    <row r="584" spans="1:7" ht="15">
      <c r="A584" s="112" t="s">
        <v>2650</v>
      </c>
      <c r="B584" s="112">
        <v>3</v>
      </c>
      <c r="C584" s="114">
        <v>0.0005439203949036586</v>
      </c>
      <c r="D584" s="112" t="s">
        <v>3314</v>
      </c>
      <c r="E584" s="112" t="b">
        <v>0</v>
      </c>
      <c r="F584" s="112" t="b">
        <v>0</v>
      </c>
      <c r="G584" s="112" t="b">
        <v>0</v>
      </c>
    </row>
    <row r="585" spans="1:7" ht="15">
      <c r="A585" s="112" t="s">
        <v>2651</v>
      </c>
      <c r="B585" s="112">
        <v>3</v>
      </c>
      <c r="C585" s="114">
        <v>0.0005006759796149353</v>
      </c>
      <c r="D585" s="112" t="s">
        <v>3314</v>
      </c>
      <c r="E585" s="112" t="b">
        <v>0</v>
      </c>
      <c r="F585" s="112" t="b">
        <v>1</v>
      </c>
      <c r="G585" s="112" t="b">
        <v>0</v>
      </c>
    </row>
    <row r="586" spans="1:7" ht="15">
      <c r="A586" s="112" t="s">
        <v>2652</v>
      </c>
      <c r="B586" s="112">
        <v>3</v>
      </c>
      <c r="C586" s="114">
        <v>0.0006178472111276226</v>
      </c>
      <c r="D586" s="112" t="s">
        <v>3314</v>
      </c>
      <c r="E586" s="112" t="b">
        <v>0</v>
      </c>
      <c r="F586" s="112" t="b">
        <v>0</v>
      </c>
      <c r="G586" s="112" t="b">
        <v>0</v>
      </c>
    </row>
    <row r="587" spans="1:7" ht="15">
      <c r="A587" s="112" t="s">
        <v>2653</v>
      </c>
      <c r="B587" s="112">
        <v>3</v>
      </c>
      <c r="C587" s="114">
        <v>0.0005439203949036586</v>
      </c>
      <c r="D587" s="112" t="s">
        <v>3314</v>
      </c>
      <c r="E587" s="112" t="b">
        <v>0</v>
      </c>
      <c r="F587" s="112" t="b">
        <v>0</v>
      </c>
      <c r="G587" s="112" t="b">
        <v>0</v>
      </c>
    </row>
    <row r="588" spans="1:7" ht="15">
      <c r="A588" s="112" t="s">
        <v>2654</v>
      </c>
      <c r="B588" s="112">
        <v>3</v>
      </c>
      <c r="C588" s="114">
        <v>0.0005006759796149353</v>
      </c>
      <c r="D588" s="112" t="s">
        <v>3314</v>
      </c>
      <c r="E588" s="112" t="b">
        <v>0</v>
      </c>
      <c r="F588" s="112" t="b">
        <v>0</v>
      </c>
      <c r="G588" s="112" t="b">
        <v>0</v>
      </c>
    </row>
    <row r="589" spans="1:7" ht="15">
      <c r="A589" s="112" t="s">
        <v>2655</v>
      </c>
      <c r="B589" s="112">
        <v>3</v>
      </c>
      <c r="C589" s="114">
        <v>0.0005439203949036586</v>
      </c>
      <c r="D589" s="112" t="s">
        <v>3314</v>
      </c>
      <c r="E589" s="112" t="b">
        <v>0</v>
      </c>
      <c r="F589" s="112" t="b">
        <v>0</v>
      </c>
      <c r="G589" s="112" t="b">
        <v>0</v>
      </c>
    </row>
    <row r="590" spans="1:7" ht="15">
      <c r="A590" s="112" t="s">
        <v>2656</v>
      </c>
      <c r="B590" s="112">
        <v>3</v>
      </c>
      <c r="C590" s="114">
        <v>0.0006178472111276226</v>
      </c>
      <c r="D590" s="112" t="s">
        <v>3314</v>
      </c>
      <c r="E590" s="112" t="b">
        <v>1</v>
      </c>
      <c r="F590" s="112" t="b">
        <v>0</v>
      </c>
      <c r="G590" s="112" t="b">
        <v>0</v>
      </c>
    </row>
    <row r="591" spans="1:7" ht="15">
      <c r="A591" s="112" t="s">
        <v>2657</v>
      </c>
      <c r="B591" s="112">
        <v>3</v>
      </c>
      <c r="C591" s="114">
        <v>0.0005439203949036586</v>
      </c>
      <c r="D591" s="112" t="s">
        <v>3314</v>
      </c>
      <c r="E591" s="112" t="b">
        <v>0</v>
      </c>
      <c r="F591" s="112" t="b">
        <v>0</v>
      </c>
      <c r="G591" s="112" t="b">
        <v>0</v>
      </c>
    </row>
    <row r="592" spans="1:7" ht="15">
      <c r="A592" s="112" t="s">
        <v>2658</v>
      </c>
      <c r="B592" s="112">
        <v>3</v>
      </c>
      <c r="C592" s="114">
        <v>0.0006178472111276226</v>
      </c>
      <c r="D592" s="112" t="s">
        <v>3314</v>
      </c>
      <c r="E592" s="112" t="b">
        <v>0</v>
      </c>
      <c r="F592" s="112" t="b">
        <v>0</v>
      </c>
      <c r="G592" s="112" t="b">
        <v>0</v>
      </c>
    </row>
    <row r="593" spans="1:7" ht="15">
      <c r="A593" s="112" t="s">
        <v>2659</v>
      </c>
      <c r="B593" s="112">
        <v>3</v>
      </c>
      <c r="C593" s="114">
        <v>0.0006178472111276226</v>
      </c>
      <c r="D593" s="112" t="s">
        <v>3314</v>
      </c>
      <c r="E593" s="112" t="b">
        <v>0</v>
      </c>
      <c r="F593" s="112" t="b">
        <v>1</v>
      </c>
      <c r="G593" s="112" t="b">
        <v>0</v>
      </c>
    </row>
    <row r="594" spans="1:7" ht="15">
      <c r="A594" s="112" t="s">
        <v>2660</v>
      </c>
      <c r="B594" s="112">
        <v>3</v>
      </c>
      <c r="C594" s="114">
        <v>0.0006178472111276226</v>
      </c>
      <c r="D594" s="112" t="s">
        <v>3314</v>
      </c>
      <c r="E594" s="112" t="b">
        <v>0</v>
      </c>
      <c r="F594" s="112" t="b">
        <v>1</v>
      </c>
      <c r="G594" s="112" t="b">
        <v>0</v>
      </c>
    </row>
    <row r="595" spans="1:7" ht="15">
      <c r="A595" s="112" t="s">
        <v>2661</v>
      </c>
      <c r="B595" s="112">
        <v>3</v>
      </c>
      <c r="C595" s="114">
        <v>0.0005439203949036586</v>
      </c>
      <c r="D595" s="112" t="s">
        <v>3314</v>
      </c>
      <c r="E595" s="112" t="b">
        <v>0</v>
      </c>
      <c r="F595" s="112" t="b">
        <v>0</v>
      </c>
      <c r="G595" s="112" t="b">
        <v>0</v>
      </c>
    </row>
    <row r="596" spans="1:7" ht="15">
      <c r="A596" s="112" t="s">
        <v>2662</v>
      </c>
      <c r="B596" s="112">
        <v>3</v>
      </c>
      <c r="C596" s="114">
        <v>0.0006178472111276226</v>
      </c>
      <c r="D596" s="112" t="s">
        <v>3314</v>
      </c>
      <c r="E596" s="112" t="b">
        <v>0</v>
      </c>
      <c r="F596" s="112" t="b">
        <v>0</v>
      </c>
      <c r="G596" s="112" t="b">
        <v>0</v>
      </c>
    </row>
    <row r="597" spans="1:7" ht="15">
      <c r="A597" s="112" t="s">
        <v>2663</v>
      </c>
      <c r="B597" s="112">
        <v>3</v>
      </c>
      <c r="C597" s="114">
        <v>0.0005439203949036586</v>
      </c>
      <c r="D597" s="112" t="s">
        <v>3314</v>
      </c>
      <c r="E597" s="112" t="b">
        <v>0</v>
      </c>
      <c r="F597" s="112" t="b">
        <v>1</v>
      </c>
      <c r="G597" s="112" t="b">
        <v>0</v>
      </c>
    </row>
    <row r="598" spans="1:7" ht="15">
      <c r="A598" s="112" t="s">
        <v>2664</v>
      </c>
      <c r="B598" s="112">
        <v>3</v>
      </c>
      <c r="C598" s="114">
        <v>0.0005006759796149353</v>
      </c>
      <c r="D598" s="112" t="s">
        <v>3314</v>
      </c>
      <c r="E598" s="112" t="b">
        <v>0</v>
      </c>
      <c r="F598" s="112" t="b">
        <v>0</v>
      </c>
      <c r="G598" s="112" t="b">
        <v>0</v>
      </c>
    </row>
    <row r="599" spans="1:7" ht="15">
      <c r="A599" s="112" t="s">
        <v>2665</v>
      </c>
      <c r="B599" s="112">
        <v>3</v>
      </c>
      <c r="C599" s="114">
        <v>0.0005006759796149353</v>
      </c>
      <c r="D599" s="112" t="s">
        <v>3314</v>
      </c>
      <c r="E599" s="112" t="b">
        <v>0</v>
      </c>
      <c r="F599" s="112" t="b">
        <v>1</v>
      </c>
      <c r="G599" s="112" t="b">
        <v>0</v>
      </c>
    </row>
    <row r="600" spans="1:7" ht="15">
      <c r="A600" s="112" t="s">
        <v>2666</v>
      </c>
      <c r="B600" s="112">
        <v>3</v>
      </c>
      <c r="C600" s="114">
        <v>0.0005006759796149353</v>
      </c>
      <c r="D600" s="112" t="s">
        <v>3314</v>
      </c>
      <c r="E600" s="112" t="b">
        <v>0</v>
      </c>
      <c r="F600" s="112" t="b">
        <v>1</v>
      </c>
      <c r="G600" s="112" t="b">
        <v>0</v>
      </c>
    </row>
    <row r="601" spans="1:7" ht="15">
      <c r="A601" s="112" t="s">
        <v>2667</v>
      </c>
      <c r="B601" s="112">
        <v>3</v>
      </c>
      <c r="C601" s="114">
        <v>0.0005006759796149353</v>
      </c>
      <c r="D601" s="112" t="s">
        <v>3314</v>
      </c>
      <c r="E601" s="112" t="b">
        <v>0</v>
      </c>
      <c r="F601" s="112" t="b">
        <v>0</v>
      </c>
      <c r="G601" s="112" t="b">
        <v>0</v>
      </c>
    </row>
    <row r="602" spans="1:7" ht="15">
      <c r="A602" s="112" t="s">
        <v>2668</v>
      </c>
      <c r="B602" s="112">
        <v>3</v>
      </c>
      <c r="C602" s="114">
        <v>0.0005439203949036586</v>
      </c>
      <c r="D602" s="112" t="s">
        <v>3314</v>
      </c>
      <c r="E602" s="112" t="b">
        <v>0</v>
      </c>
      <c r="F602" s="112" t="b">
        <v>0</v>
      </c>
      <c r="G602" s="112" t="b">
        <v>0</v>
      </c>
    </row>
    <row r="603" spans="1:7" ht="15">
      <c r="A603" s="112" t="s">
        <v>2669</v>
      </c>
      <c r="B603" s="112">
        <v>3</v>
      </c>
      <c r="C603" s="114">
        <v>0.0005439203949036586</v>
      </c>
      <c r="D603" s="112" t="s">
        <v>3314</v>
      </c>
      <c r="E603" s="112" t="b">
        <v>0</v>
      </c>
      <c r="F603" s="112" t="b">
        <v>0</v>
      </c>
      <c r="G603" s="112" t="b">
        <v>0</v>
      </c>
    </row>
    <row r="604" spans="1:7" ht="15">
      <c r="A604" s="112" t="s">
        <v>2670</v>
      </c>
      <c r="B604" s="112">
        <v>3</v>
      </c>
      <c r="C604" s="114">
        <v>0.0005006759796149353</v>
      </c>
      <c r="D604" s="112" t="s">
        <v>3314</v>
      </c>
      <c r="E604" s="112" t="b">
        <v>0</v>
      </c>
      <c r="F604" s="112" t="b">
        <v>0</v>
      </c>
      <c r="G604" s="112" t="b">
        <v>0</v>
      </c>
    </row>
    <row r="605" spans="1:7" ht="15">
      <c r="A605" s="112" t="s">
        <v>2671</v>
      </c>
      <c r="B605" s="112">
        <v>3</v>
      </c>
      <c r="C605" s="114">
        <v>0.0005439203949036586</v>
      </c>
      <c r="D605" s="112" t="s">
        <v>3314</v>
      </c>
      <c r="E605" s="112" t="b">
        <v>0</v>
      </c>
      <c r="F605" s="112" t="b">
        <v>0</v>
      </c>
      <c r="G605" s="112" t="b">
        <v>0</v>
      </c>
    </row>
    <row r="606" spans="1:7" ht="15">
      <c r="A606" s="112" t="s">
        <v>2672</v>
      </c>
      <c r="B606" s="112">
        <v>3</v>
      </c>
      <c r="C606" s="114">
        <v>0.0005006759796149353</v>
      </c>
      <c r="D606" s="112" t="s">
        <v>3314</v>
      </c>
      <c r="E606" s="112" t="b">
        <v>0</v>
      </c>
      <c r="F606" s="112" t="b">
        <v>1</v>
      </c>
      <c r="G606" s="112" t="b">
        <v>0</v>
      </c>
    </row>
    <row r="607" spans="1:7" ht="15">
      <c r="A607" s="112" t="s">
        <v>2673</v>
      </c>
      <c r="B607" s="112">
        <v>3</v>
      </c>
      <c r="C607" s="114">
        <v>0.0005006759796149353</v>
      </c>
      <c r="D607" s="112" t="s">
        <v>3314</v>
      </c>
      <c r="E607" s="112" t="b">
        <v>0</v>
      </c>
      <c r="F607" s="112" t="b">
        <v>0</v>
      </c>
      <c r="G607" s="112" t="b">
        <v>0</v>
      </c>
    </row>
    <row r="608" spans="1:7" ht="15">
      <c r="A608" s="112" t="s">
        <v>2674</v>
      </c>
      <c r="B608" s="112">
        <v>3</v>
      </c>
      <c r="C608" s="114">
        <v>0.0005439203949036586</v>
      </c>
      <c r="D608" s="112" t="s">
        <v>3314</v>
      </c>
      <c r="E608" s="112" t="b">
        <v>0</v>
      </c>
      <c r="F608" s="112" t="b">
        <v>0</v>
      </c>
      <c r="G608" s="112" t="b">
        <v>0</v>
      </c>
    </row>
    <row r="609" spans="1:7" ht="15">
      <c r="A609" s="112" t="s">
        <v>2675</v>
      </c>
      <c r="B609" s="112">
        <v>3</v>
      </c>
      <c r="C609" s="114">
        <v>0.0005439203949036586</v>
      </c>
      <c r="D609" s="112" t="s">
        <v>3314</v>
      </c>
      <c r="E609" s="112" t="b">
        <v>0</v>
      </c>
      <c r="F609" s="112" t="b">
        <v>0</v>
      </c>
      <c r="G609" s="112" t="b">
        <v>0</v>
      </c>
    </row>
    <row r="610" spans="1:7" ht="15">
      <c r="A610" s="112" t="s">
        <v>2676</v>
      </c>
      <c r="B610" s="112">
        <v>3</v>
      </c>
      <c r="C610" s="114">
        <v>0.0005439203949036586</v>
      </c>
      <c r="D610" s="112" t="s">
        <v>3314</v>
      </c>
      <c r="E610" s="112" t="b">
        <v>0</v>
      </c>
      <c r="F610" s="112" t="b">
        <v>0</v>
      </c>
      <c r="G610" s="112" t="b">
        <v>0</v>
      </c>
    </row>
    <row r="611" spans="1:7" ht="15">
      <c r="A611" s="112" t="s">
        <v>2677</v>
      </c>
      <c r="B611" s="112">
        <v>3</v>
      </c>
      <c r="C611" s="114">
        <v>0.0005439203949036586</v>
      </c>
      <c r="D611" s="112" t="s">
        <v>3314</v>
      </c>
      <c r="E611" s="112" t="b">
        <v>1</v>
      </c>
      <c r="F611" s="112" t="b">
        <v>0</v>
      </c>
      <c r="G611" s="112" t="b">
        <v>0</v>
      </c>
    </row>
    <row r="612" spans="1:7" ht="15">
      <c r="A612" s="112" t="s">
        <v>2678</v>
      </c>
      <c r="B612" s="112">
        <v>3</v>
      </c>
      <c r="C612" s="114">
        <v>0.0006178472111276226</v>
      </c>
      <c r="D612" s="112" t="s">
        <v>3314</v>
      </c>
      <c r="E612" s="112" t="b">
        <v>1</v>
      </c>
      <c r="F612" s="112" t="b">
        <v>0</v>
      </c>
      <c r="G612" s="112" t="b">
        <v>0</v>
      </c>
    </row>
    <row r="613" spans="1:7" ht="15">
      <c r="A613" s="112" t="s">
        <v>2679</v>
      </c>
      <c r="B613" s="112">
        <v>3</v>
      </c>
      <c r="C613" s="114">
        <v>0.0005006759796149353</v>
      </c>
      <c r="D613" s="112" t="s">
        <v>3314</v>
      </c>
      <c r="E613" s="112" t="b">
        <v>0</v>
      </c>
      <c r="F613" s="112" t="b">
        <v>0</v>
      </c>
      <c r="G613" s="112" t="b">
        <v>0</v>
      </c>
    </row>
    <row r="614" spans="1:7" ht="15">
      <c r="A614" s="112" t="s">
        <v>2680</v>
      </c>
      <c r="B614" s="112">
        <v>3</v>
      </c>
      <c r="C614" s="114">
        <v>0.0005439203949036586</v>
      </c>
      <c r="D614" s="112" t="s">
        <v>3314</v>
      </c>
      <c r="E614" s="112" t="b">
        <v>1</v>
      </c>
      <c r="F614" s="112" t="b">
        <v>0</v>
      </c>
      <c r="G614" s="112" t="b">
        <v>0</v>
      </c>
    </row>
    <row r="615" spans="1:7" ht="15">
      <c r="A615" s="112" t="s">
        <v>2681</v>
      </c>
      <c r="B615" s="112">
        <v>3</v>
      </c>
      <c r="C615" s="114">
        <v>0.0006178472111276226</v>
      </c>
      <c r="D615" s="112" t="s">
        <v>3314</v>
      </c>
      <c r="E615" s="112" t="b">
        <v>0</v>
      </c>
      <c r="F615" s="112" t="b">
        <v>0</v>
      </c>
      <c r="G615" s="112" t="b">
        <v>0</v>
      </c>
    </row>
    <row r="616" spans="1:7" ht="15">
      <c r="A616" s="112" t="s">
        <v>2682</v>
      </c>
      <c r="B616" s="112">
        <v>3</v>
      </c>
      <c r="C616" s="114">
        <v>0.0005006759796149353</v>
      </c>
      <c r="D616" s="112" t="s">
        <v>3314</v>
      </c>
      <c r="E616" s="112" t="b">
        <v>0</v>
      </c>
      <c r="F616" s="112" t="b">
        <v>0</v>
      </c>
      <c r="G616" s="112" t="b">
        <v>0</v>
      </c>
    </row>
    <row r="617" spans="1:7" ht="15">
      <c r="A617" s="112" t="s">
        <v>2683</v>
      </c>
      <c r="B617" s="112">
        <v>3</v>
      </c>
      <c r="C617" s="114">
        <v>0.0006178472111276226</v>
      </c>
      <c r="D617" s="112" t="s">
        <v>3314</v>
      </c>
      <c r="E617" s="112" t="b">
        <v>0</v>
      </c>
      <c r="F617" s="112" t="b">
        <v>0</v>
      </c>
      <c r="G617" s="112" t="b">
        <v>0</v>
      </c>
    </row>
    <row r="618" spans="1:7" ht="15">
      <c r="A618" s="112" t="s">
        <v>2684</v>
      </c>
      <c r="B618" s="112">
        <v>3</v>
      </c>
      <c r="C618" s="114">
        <v>0.0005006759796149353</v>
      </c>
      <c r="D618" s="112" t="s">
        <v>3314</v>
      </c>
      <c r="E618" s="112" t="b">
        <v>0</v>
      </c>
      <c r="F618" s="112" t="b">
        <v>0</v>
      </c>
      <c r="G618" s="112" t="b">
        <v>0</v>
      </c>
    </row>
    <row r="619" spans="1:7" ht="15">
      <c r="A619" s="112" t="s">
        <v>2685</v>
      </c>
      <c r="B619" s="112">
        <v>3</v>
      </c>
      <c r="C619" s="114">
        <v>0.0005006759796149353</v>
      </c>
      <c r="D619" s="112" t="s">
        <v>3314</v>
      </c>
      <c r="E619" s="112" t="b">
        <v>0</v>
      </c>
      <c r="F619" s="112" t="b">
        <v>0</v>
      </c>
      <c r="G619" s="112" t="b">
        <v>0</v>
      </c>
    </row>
    <row r="620" spans="1:7" ht="15">
      <c r="A620" s="112" t="s">
        <v>2686</v>
      </c>
      <c r="B620" s="112">
        <v>3</v>
      </c>
      <c r="C620" s="114">
        <v>0.0005439203949036586</v>
      </c>
      <c r="D620" s="112" t="s">
        <v>3314</v>
      </c>
      <c r="E620" s="112" t="b">
        <v>0</v>
      </c>
      <c r="F620" s="112" t="b">
        <v>0</v>
      </c>
      <c r="G620" s="112" t="b">
        <v>0</v>
      </c>
    </row>
    <row r="621" spans="1:7" ht="15">
      <c r="A621" s="112" t="s">
        <v>2687</v>
      </c>
      <c r="B621" s="112">
        <v>3</v>
      </c>
      <c r="C621" s="114">
        <v>0.0005439203949036586</v>
      </c>
      <c r="D621" s="112" t="s">
        <v>3314</v>
      </c>
      <c r="E621" s="112" t="b">
        <v>0</v>
      </c>
      <c r="F621" s="112" t="b">
        <v>0</v>
      </c>
      <c r="G621" s="112" t="b">
        <v>0</v>
      </c>
    </row>
    <row r="622" spans="1:7" ht="15">
      <c r="A622" s="112" t="s">
        <v>2688</v>
      </c>
      <c r="B622" s="112">
        <v>3</v>
      </c>
      <c r="C622" s="114">
        <v>0.0005439203949036586</v>
      </c>
      <c r="D622" s="112" t="s">
        <v>3314</v>
      </c>
      <c r="E622" s="112" t="b">
        <v>0</v>
      </c>
      <c r="F622" s="112" t="b">
        <v>0</v>
      </c>
      <c r="G622" s="112" t="b">
        <v>0</v>
      </c>
    </row>
    <row r="623" spans="1:7" ht="15">
      <c r="A623" s="112" t="s">
        <v>2689</v>
      </c>
      <c r="B623" s="112">
        <v>3</v>
      </c>
      <c r="C623" s="114">
        <v>0.0005439203949036586</v>
      </c>
      <c r="D623" s="112" t="s">
        <v>3314</v>
      </c>
      <c r="E623" s="112" t="b">
        <v>0</v>
      </c>
      <c r="F623" s="112" t="b">
        <v>0</v>
      </c>
      <c r="G623" s="112" t="b">
        <v>0</v>
      </c>
    </row>
    <row r="624" spans="1:7" ht="15">
      <c r="A624" s="112" t="s">
        <v>2690</v>
      </c>
      <c r="B624" s="112">
        <v>3</v>
      </c>
      <c r="C624" s="114">
        <v>0.0005006759796149353</v>
      </c>
      <c r="D624" s="112" t="s">
        <v>3314</v>
      </c>
      <c r="E624" s="112" t="b">
        <v>0</v>
      </c>
      <c r="F624" s="112" t="b">
        <v>1</v>
      </c>
      <c r="G624" s="112" t="b">
        <v>0</v>
      </c>
    </row>
    <row r="625" spans="1:7" ht="15">
      <c r="A625" s="112" t="s">
        <v>2691</v>
      </c>
      <c r="B625" s="112">
        <v>3</v>
      </c>
      <c r="C625" s="114">
        <v>0.0005006759796149353</v>
      </c>
      <c r="D625" s="112" t="s">
        <v>3314</v>
      </c>
      <c r="E625" s="112" t="b">
        <v>0</v>
      </c>
      <c r="F625" s="112" t="b">
        <v>0</v>
      </c>
      <c r="G625" s="112" t="b">
        <v>0</v>
      </c>
    </row>
    <row r="626" spans="1:7" ht="15">
      <c r="A626" s="112" t="s">
        <v>2692</v>
      </c>
      <c r="B626" s="112">
        <v>3</v>
      </c>
      <c r="C626" s="114">
        <v>0.0005006759796149353</v>
      </c>
      <c r="D626" s="112" t="s">
        <v>3314</v>
      </c>
      <c r="E626" s="112" t="b">
        <v>0</v>
      </c>
      <c r="F626" s="112" t="b">
        <v>0</v>
      </c>
      <c r="G626" s="112" t="b">
        <v>0</v>
      </c>
    </row>
    <row r="627" spans="1:7" ht="15">
      <c r="A627" s="112" t="s">
        <v>2693</v>
      </c>
      <c r="B627" s="112">
        <v>3</v>
      </c>
      <c r="C627" s="114">
        <v>0.0005439203949036586</v>
      </c>
      <c r="D627" s="112" t="s">
        <v>3314</v>
      </c>
      <c r="E627" s="112" t="b">
        <v>0</v>
      </c>
      <c r="F627" s="112" t="b">
        <v>0</v>
      </c>
      <c r="G627" s="112" t="b">
        <v>0</v>
      </c>
    </row>
    <row r="628" spans="1:7" ht="15">
      <c r="A628" s="112" t="s">
        <v>2694</v>
      </c>
      <c r="B628" s="112">
        <v>3</v>
      </c>
      <c r="C628" s="114">
        <v>0.0006178472111276226</v>
      </c>
      <c r="D628" s="112" t="s">
        <v>3314</v>
      </c>
      <c r="E628" s="112" t="b">
        <v>0</v>
      </c>
      <c r="F628" s="112" t="b">
        <v>0</v>
      </c>
      <c r="G628" s="112" t="b">
        <v>0</v>
      </c>
    </row>
    <row r="629" spans="1:7" ht="15">
      <c r="A629" s="112" t="s">
        <v>2695</v>
      </c>
      <c r="B629" s="112">
        <v>3</v>
      </c>
      <c r="C629" s="114">
        <v>0.0006178472111276226</v>
      </c>
      <c r="D629" s="112" t="s">
        <v>3314</v>
      </c>
      <c r="E629" s="112" t="b">
        <v>0</v>
      </c>
      <c r="F629" s="112" t="b">
        <v>0</v>
      </c>
      <c r="G629" s="112" t="b">
        <v>0</v>
      </c>
    </row>
    <row r="630" spans="1:7" ht="15">
      <c r="A630" s="112" t="s">
        <v>2696</v>
      </c>
      <c r="B630" s="112">
        <v>3</v>
      </c>
      <c r="C630" s="114">
        <v>0.0005006759796149353</v>
      </c>
      <c r="D630" s="112" t="s">
        <v>3314</v>
      </c>
      <c r="E630" s="112" t="b">
        <v>0</v>
      </c>
      <c r="F630" s="112" t="b">
        <v>0</v>
      </c>
      <c r="G630" s="112" t="b">
        <v>0</v>
      </c>
    </row>
    <row r="631" spans="1:7" ht="15">
      <c r="A631" s="112" t="s">
        <v>2697</v>
      </c>
      <c r="B631" s="112">
        <v>3</v>
      </c>
      <c r="C631" s="114">
        <v>0.0005006759796149353</v>
      </c>
      <c r="D631" s="112" t="s">
        <v>3314</v>
      </c>
      <c r="E631" s="112" t="b">
        <v>0</v>
      </c>
      <c r="F631" s="112" t="b">
        <v>0</v>
      </c>
      <c r="G631" s="112" t="b">
        <v>0</v>
      </c>
    </row>
    <row r="632" spans="1:7" ht="15">
      <c r="A632" s="112" t="s">
        <v>2698</v>
      </c>
      <c r="B632" s="112">
        <v>3</v>
      </c>
      <c r="C632" s="114">
        <v>0.0005006759796149353</v>
      </c>
      <c r="D632" s="112" t="s">
        <v>3314</v>
      </c>
      <c r="E632" s="112" t="b">
        <v>0</v>
      </c>
      <c r="F632" s="112" t="b">
        <v>1</v>
      </c>
      <c r="G632" s="112" t="b">
        <v>0</v>
      </c>
    </row>
    <row r="633" spans="1:7" ht="15">
      <c r="A633" s="112" t="s">
        <v>2699</v>
      </c>
      <c r="B633" s="112">
        <v>3</v>
      </c>
      <c r="C633" s="114">
        <v>0.0005006759796149353</v>
      </c>
      <c r="D633" s="112" t="s">
        <v>3314</v>
      </c>
      <c r="E633" s="112" t="b">
        <v>0</v>
      </c>
      <c r="F633" s="112" t="b">
        <v>1</v>
      </c>
      <c r="G633" s="112" t="b">
        <v>0</v>
      </c>
    </row>
    <row r="634" spans="1:7" ht="15">
      <c r="A634" s="112" t="s">
        <v>2700</v>
      </c>
      <c r="B634" s="112">
        <v>3</v>
      </c>
      <c r="C634" s="114">
        <v>0.0005006759796149353</v>
      </c>
      <c r="D634" s="112" t="s">
        <v>3314</v>
      </c>
      <c r="E634" s="112" t="b">
        <v>0</v>
      </c>
      <c r="F634" s="112" t="b">
        <v>0</v>
      </c>
      <c r="G634" s="112" t="b">
        <v>0</v>
      </c>
    </row>
    <row r="635" spans="1:7" ht="15">
      <c r="A635" s="112" t="s">
        <v>2701</v>
      </c>
      <c r="B635" s="112">
        <v>3</v>
      </c>
      <c r="C635" s="114">
        <v>0.0005006759796149353</v>
      </c>
      <c r="D635" s="112" t="s">
        <v>3314</v>
      </c>
      <c r="E635" s="112" t="b">
        <v>0</v>
      </c>
      <c r="F635" s="112" t="b">
        <v>0</v>
      </c>
      <c r="G635" s="112" t="b">
        <v>0</v>
      </c>
    </row>
    <row r="636" spans="1:7" ht="15">
      <c r="A636" s="112" t="s">
        <v>2702</v>
      </c>
      <c r="B636" s="112">
        <v>3</v>
      </c>
      <c r="C636" s="114">
        <v>0.0005439203949036586</v>
      </c>
      <c r="D636" s="112" t="s">
        <v>3314</v>
      </c>
      <c r="E636" s="112" t="b">
        <v>0</v>
      </c>
      <c r="F636" s="112" t="b">
        <v>0</v>
      </c>
      <c r="G636" s="112" t="b">
        <v>0</v>
      </c>
    </row>
    <row r="637" spans="1:7" ht="15">
      <c r="A637" s="112" t="s">
        <v>2703</v>
      </c>
      <c r="B637" s="112">
        <v>3</v>
      </c>
      <c r="C637" s="114">
        <v>0.0005439203949036586</v>
      </c>
      <c r="D637" s="112" t="s">
        <v>3314</v>
      </c>
      <c r="E637" s="112" t="b">
        <v>0</v>
      </c>
      <c r="F637" s="112" t="b">
        <v>0</v>
      </c>
      <c r="G637" s="112" t="b">
        <v>0</v>
      </c>
    </row>
    <row r="638" spans="1:7" ht="15">
      <c r="A638" s="112" t="s">
        <v>2704</v>
      </c>
      <c r="B638" s="112">
        <v>3</v>
      </c>
      <c r="C638" s="114">
        <v>0.0006178472111276226</v>
      </c>
      <c r="D638" s="112" t="s">
        <v>3314</v>
      </c>
      <c r="E638" s="112" t="b">
        <v>0</v>
      </c>
      <c r="F638" s="112" t="b">
        <v>0</v>
      </c>
      <c r="G638" s="112" t="b">
        <v>0</v>
      </c>
    </row>
    <row r="639" spans="1:7" ht="15">
      <c r="A639" s="112" t="s">
        <v>2705</v>
      </c>
      <c r="B639" s="112">
        <v>3</v>
      </c>
      <c r="C639" s="114">
        <v>0.0005439203949036586</v>
      </c>
      <c r="D639" s="112" t="s">
        <v>3314</v>
      </c>
      <c r="E639" s="112" t="b">
        <v>0</v>
      </c>
      <c r="F639" s="112" t="b">
        <v>0</v>
      </c>
      <c r="G639" s="112" t="b">
        <v>0</v>
      </c>
    </row>
    <row r="640" spans="1:7" ht="15">
      <c r="A640" s="112" t="s">
        <v>2706</v>
      </c>
      <c r="B640" s="112">
        <v>3</v>
      </c>
      <c r="C640" s="114">
        <v>0.0006178472111276226</v>
      </c>
      <c r="D640" s="112" t="s">
        <v>3314</v>
      </c>
      <c r="E640" s="112" t="b">
        <v>0</v>
      </c>
      <c r="F640" s="112" t="b">
        <v>0</v>
      </c>
      <c r="G640" s="112" t="b">
        <v>0</v>
      </c>
    </row>
    <row r="641" spans="1:7" ht="15">
      <c r="A641" s="112" t="s">
        <v>2707</v>
      </c>
      <c r="B641" s="112">
        <v>3</v>
      </c>
      <c r="C641" s="114">
        <v>0.0005439203949036586</v>
      </c>
      <c r="D641" s="112" t="s">
        <v>3314</v>
      </c>
      <c r="E641" s="112" t="b">
        <v>0</v>
      </c>
      <c r="F641" s="112" t="b">
        <v>0</v>
      </c>
      <c r="G641" s="112" t="b">
        <v>0</v>
      </c>
    </row>
    <row r="642" spans="1:7" ht="15">
      <c r="A642" s="112" t="s">
        <v>2708</v>
      </c>
      <c r="B642" s="112">
        <v>3</v>
      </c>
      <c r="C642" s="114">
        <v>0.0005006759796149353</v>
      </c>
      <c r="D642" s="112" t="s">
        <v>3314</v>
      </c>
      <c r="E642" s="112" t="b">
        <v>0</v>
      </c>
      <c r="F642" s="112" t="b">
        <v>0</v>
      </c>
      <c r="G642" s="112" t="b">
        <v>0</v>
      </c>
    </row>
    <row r="643" spans="1:7" ht="15">
      <c r="A643" s="112" t="s">
        <v>2709</v>
      </c>
      <c r="B643" s="112">
        <v>3</v>
      </c>
      <c r="C643" s="114">
        <v>0.0005439203949036586</v>
      </c>
      <c r="D643" s="112" t="s">
        <v>3314</v>
      </c>
      <c r="E643" s="112" t="b">
        <v>1</v>
      </c>
      <c r="F643" s="112" t="b">
        <v>0</v>
      </c>
      <c r="G643" s="112" t="b">
        <v>0</v>
      </c>
    </row>
    <row r="644" spans="1:7" ht="15">
      <c r="A644" s="112" t="s">
        <v>2710</v>
      </c>
      <c r="B644" s="112">
        <v>3</v>
      </c>
      <c r="C644" s="114">
        <v>0.0005006759796149353</v>
      </c>
      <c r="D644" s="112" t="s">
        <v>3314</v>
      </c>
      <c r="E644" s="112" t="b">
        <v>0</v>
      </c>
      <c r="F644" s="112" t="b">
        <v>0</v>
      </c>
      <c r="G644" s="112" t="b">
        <v>0</v>
      </c>
    </row>
    <row r="645" spans="1:7" ht="15">
      <c r="A645" s="112" t="s">
        <v>2711</v>
      </c>
      <c r="B645" s="112">
        <v>3</v>
      </c>
      <c r="C645" s="114">
        <v>0.0005006759796149353</v>
      </c>
      <c r="D645" s="112" t="s">
        <v>3314</v>
      </c>
      <c r="E645" s="112" t="b">
        <v>0</v>
      </c>
      <c r="F645" s="112" t="b">
        <v>0</v>
      </c>
      <c r="G645" s="112" t="b">
        <v>0</v>
      </c>
    </row>
    <row r="646" spans="1:7" ht="15">
      <c r="A646" s="112" t="s">
        <v>2712</v>
      </c>
      <c r="B646" s="112">
        <v>3</v>
      </c>
      <c r="C646" s="114">
        <v>0.0005006759796149353</v>
      </c>
      <c r="D646" s="112" t="s">
        <v>3314</v>
      </c>
      <c r="E646" s="112" t="b">
        <v>0</v>
      </c>
      <c r="F646" s="112" t="b">
        <v>0</v>
      </c>
      <c r="G646" s="112" t="b">
        <v>0</v>
      </c>
    </row>
    <row r="647" spans="1:7" ht="15">
      <c r="A647" s="112" t="s">
        <v>2713</v>
      </c>
      <c r="B647" s="112">
        <v>3</v>
      </c>
      <c r="C647" s="114">
        <v>0.0005439203949036586</v>
      </c>
      <c r="D647" s="112" t="s">
        <v>3314</v>
      </c>
      <c r="E647" s="112" t="b">
        <v>0</v>
      </c>
      <c r="F647" s="112" t="b">
        <v>0</v>
      </c>
      <c r="G647" s="112" t="b">
        <v>0</v>
      </c>
    </row>
    <row r="648" spans="1:7" ht="15">
      <c r="A648" s="112" t="s">
        <v>2714</v>
      </c>
      <c r="B648" s="112">
        <v>3</v>
      </c>
      <c r="C648" s="114">
        <v>0.0005006759796149353</v>
      </c>
      <c r="D648" s="112" t="s">
        <v>3314</v>
      </c>
      <c r="E648" s="112" t="b">
        <v>0</v>
      </c>
      <c r="F648" s="112" t="b">
        <v>0</v>
      </c>
      <c r="G648" s="112" t="b">
        <v>0</v>
      </c>
    </row>
    <row r="649" spans="1:7" ht="15">
      <c r="A649" s="112" t="s">
        <v>2715</v>
      </c>
      <c r="B649" s="112">
        <v>3</v>
      </c>
      <c r="C649" s="114">
        <v>0.0006178472111276226</v>
      </c>
      <c r="D649" s="112" t="s">
        <v>3314</v>
      </c>
      <c r="E649" s="112" t="b">
        <v>0</v>
      </c>
      <c r="F649" s="112" t="b">
        <v>1</v>
      </c>
      <c r="G649" s="112" t="b">
        <v>0</v>
      </c>
    </row>
    <row r="650" spans="1:7" ht="15">
      <c r="A650" s="112" t="s">
        <v>2716</v>
      </c>
      <c r="B650" s="112">
        <v>3</v>
      </c>
      <c r="C650" s="114">
        <v>0.0006178472111276226</v>
      </c>
      <c r="D650" s="112" t="s">
        <v>3314</v>
      </c>
      <c r="E650" s="112" t="b">
        <v>0</v>
      </c>
      <c r="F650" s="112" t="b">
        <v>0</v>
      </c>
      <c r="G650" s="112" t="b">
        <v>0</v>
      </c>
    </row>
    <row r="651" spans="1:7" ht="15">
      <c r="A651" s="112" t="s">
        <v>2717</v>
      </c>
      <c r="B651" s="112">
        <v>3</v>
      </c>
      <c r="C651" s="114">
        <v>0.0005006759796149353</v>
      </c>
      <c r="D651" s="112" t="s">
        <v>3314</v>
      </c>
      <c r="E651" s="112" t="b">
        <v>0</v>
      </c>
      <c r="F651" s="112" t="b">
        <v>0</v>
      </c>
      <c r="G651" s="112" t="b">
        <v>0</v>
      </c>
    </row>
    <row r="652" spans="1:7" ht="15">
      <c r="A652" s="112" t="s">
        <v>2718</v>
      </c>
      <c r="B652" s="112">
        <v>3</v>
      </c>
      <c r="C652" s="114">
        <v>0.0005006759796149353</v>
      </c>
      <c r="D652" s="112" t="s">
        <v>3314</v>
      </c>
      <c r="E652" s="112" t="b">
        <v>0</v>
      </c>
      <c r="F652" s="112" t="b">
        <v>0</v>
      </c>
      <c r="G652" s="112" t="b">
        <v>0</v>
      </c>
    </row>
    <row r="653" spans="1:7" ht="15">
      <c r="A653" s="112" t="s">
        <v>2719</v>
      </c>
      <c r="B653" s="112">
        <v>3</v>
      </c>
      <c r="C653" s="114">
        <v>0.0005006759796149353</v>
      </c>
      <c r="D653" s="112" t="s">
        <v>3314</v>
      </c>
      <c r="E653" s="112" t="b">
        <v>0</v>
      </c>
      <c r="F653" s="112" t="b">
        <v>0</v>
      </c>
      <c r="G653" s="112" t="b">
        <v>0</v>
      </c>
    </row>
    <row r="654" spans="1:7" ht="15">
      <c r="A654" s="112" t="s">
        <v>2720</v>
      </c>
      <c r="B654" s="112">
        <v>3</v>
      </c>
      <c r="C654" s="114">
        <v>0.0005006759796149353</v>
      </c>
      <c r="D654" s="112" t="s">
        <v>3314</v>
      </c>
      <c r="E654" s="112" t="b">
        <v>0</v>
      </c>
      <c r="F654" s="112" t="b">
        <v>0</v>
      </c>
      <c r="G654" s="112" t="b">
        <v>0</v>
      </c>
    </row>
    <row r="655" spans="1:7" ht="15">
      <c r="A655" s="112" t="s">
        <v>2721</v>
      </c>
      <c r="B655" s="112">
        <v>3</v>
      </c>
      <c r="C655" s="114">
        <v>0.0005006759796149353</v>
      </c>
      <c r="D655" s="112" t="s">
        <v>3314</v>
      </c>
      <c r="E655" s="112" t="b">
        <v>0</v>
      </c>
      <c r="F655" s="112" t="b">
        <v>0</v>
      </c>
      <c r="G655" s="112" t="b">
        <v>0</v>
      </c>
    </row>
    <row r="656" spans="1:7" ht="15">
      <c r="A656" s="112" t="s">
        <v>2722</v>
      </c>
      <c r="B656" s="112">
        <v>3</v>
      </c>
      <c r="C656" s="114">
        <v>0.0005439203949036586</v>
      </c>
      <c r="D656" s="112" t="s">
        <v>3314</v>
      </c>
      <c r="E656" s="112" t="b">
        <v>0</v>
      </c>
      <c r="F656" s="112" t="b">
        <v>0</v>
      </c>
      <c r="G656" s="112" t="b">
        <v>0</v>
      </c>
    </row>
    <row r="657" spans="1:7" ht="15">
      <c r="A657" s="112" t="s">
        <v>2723</v>
      </c>
      <c r="B657" s="112">
        <v>3</v>
      </c>
      <c r="C657" s="114">
        <v>0.0005006759796149353</v>
      </c>
      <c r="D657" s="112" t="s">
        <v>3314</v>
      </c>
      <c r="E657" s="112" t="b">
        <v>0</v>
      </c>
      <c r="F657" s="112" t="b">
        <v>0</v>
      </c>
      <c r="G657" s="112" t="b">
        <v>0</v>
      </c>
    </row>
    <row r="658" spans="1:7" ht="15">
      <c r="A658" s="112" t="s">
        <v>2724</v>
      </c>
      <c r="B658" s="112">
        <v>3</v>
      </c>
      <c r="C658" s="114">
        <v>0.0005439203949036586</v>
      </c>
      <c r="D658" s="112" t="s">
        <v>3314</v>
      </c>
      <c r="E658" s="112" t="b">
        <v>0</v>
      </c>
      <c r="F658" s="112" t="b">
        <v>0</v>
      </c>
      <c r="G658" s="112" t="b">
        <v>0</v>
      </c>
    </row>
    <row r="659" spans="1:7" ht="15">
      <c r="A659" s="112" t="s">
        <v>2725</v>
      </c>
      <c r="B659" s="112">
        <v>3</v>
      </c>
      <c r="C659" s="114">
        <v>0.0005006759796149353</v>
      </c>
      <c r="D659" s="112" t="s">
        <v>3314</v>
      </c>
      <c r="E659" s="112" t="b">
        <v>0</v>
      </c>
      <c r="F659" s="112" t="b">
        <v>0</v>
      </c>
      <c r="G659" s="112" t="b">
        <v>0</v>
      </c>
    </row>
    <row r="660" spans="1:7" ht="15">
      <c r="A660" s="112" t="s">
        <v>2726</v>
      </c>
      <c r="B660" s="112">
        <v>3</v>
      </c>
      <c r="C660" s="114">
        <v>0.0005006759796149353</v>
      </c>
      <c r="D660" s="112" t="s">
        <v>3314</v>
      </c>
      <c r="E660" s="112" t="b">
        <v>0</v>
      </c>
      <c r="F660" s="112" t="b">
        <v>0</v>
      </c>
      <c r="G660" s="112" t="b">
        <v>0</v>
      </c>
    </row>
    <row r="661" spans="1:7" ht="15">
      <c r="A661" s="112" t="s">
        <v>2727</v>
      </c>
      <c r="B661" s="112">
        <v>3</v>
      </c>
      <c r="C661" s="114">
        <v>0.0005006759796149353</v>
      </c>
      <c r="D661" s="112" t="s">
        <v>3314</v>
      </c>
      <c r="E661" s="112" t="b">
        <v>0</v>
      </c>
      <c r="F661" s="112" t="b">
        <v>0</v>
      </c>
      <c r="G661" s="112" t="b">
        <v>0</v>
      </c>
    </row>
    <row r="662" spans="1:7" ht="15">
      <c r="A662" s="112" t="s">
        <v>2728</v>
      </c>
      <c r="B662" s="112">
        <v>3</v>
      </c>
      <c r="C662" s="114">
        <v>0.0005006759796149353</v>
      </c>
      <c r="D662" s="112" t="s">
        <v>3314</v>
      </c>
      <c r="E662" s="112" t="b">
        <v>1</v>
      </c>
      <c r="F662" s="112" t="b">
        <v>0</v>
      </c>
      <c r="G662" s="112" t="b">
        <v>0</v>
      </c>
    </row>
    <row r="663" spans="1:7" ht="15">
      <c r="A663" s="112" t="s">
        <v>2729</v>
      </c>
      <c r="B663" s="112">
        <v>3</v>
      </c>
      <c r="C663" s="114">
        <v>0.0005006759796149353</v>
      </c>
      <c r="D663" s="112" t="s">
        <v>3314</v>
      </c>
      <c r="E663" s="112" t="b">
        <v>0</v>
      </c>
      <c r="F663" s="112" t="b">
        <v>0</v>
      </c>
      <c r="G663" s="112" t="b">
        <v>0</v>
      </c>
    </row>
    <row r="664" spans="1:7" ht="15">
      <c r="A664" s="112" t="s">
        <v>2730</v>
      </c>
      <c r="B664" s="112">
        <v>3</v>
      </c>
      <c r="C664" s="114">
        <v>0.0005006759796149353</v>
      </c>
      <c r="D664" s="112" t="s">
        <v>3314</v>
      </c>
      <c r="E664" s="112" t="b">
        <v>0</v>
      </c>
      <c r="F664" s="112" t="b">
        <v>0</v>
      </c>
      <c r="G664" s="112" t="b">
        <v>0</v>
      </c>
    </row>
    <row r="665" spans="1:7" ht="15">
      <c r="A665" s="112" t="s">
        <v>2731</v>
      </c>
      <c r="B665" s="112">
        <v>3</v>
      </c>
      <c r="C665" s="114">
        <v>0.0005006759796149353</v>
      </c>
      <c r="D665" s="112" t="s">
        <v>3314</v>
      </c>
      <c r="E665" s="112" t="b">
        <v>0</v>
      </c>
      <c r="F665" s="112" t="b">
        <v>0</v>
      </c>
      <c r="G665" s="112" t="b">
        <v>0</v>
      </c>
    </row>
    <row r="666" spans="1:7" ht="15">
      <c r="A666" s="112" t="s">
        <v>2732</v>
      </c>
      <c r="B666" s="112">
        <v>3</v>
      </c>
      <c r="C666" s="114">
        <v>0.0005006759796149353</v>
      </c>
      <c r="D666" s="112" t="s">
        <v>3314</v>
      </c>
      <c r="E666" s="112" t="b">
        <v>0</v>
      </c>
      <c r="F666" s="112" t="b">
        <v>0</v>
      </c>
      <c r="G666" s="112" t="b">
        <v>0</v>
      </c>
    </row>
    <row r="667" spans="1:7" ht="15">
      <c r="A667" s="112" t="s">
        <v>2733</v>
      </c>
      <c r="B667" s="112">
        <v>3</v>
      </c>
      <c r="C667" s="114">
        <v>0.0005006759796149353</v>
      </c>
      <c r="D667" s="112" t="s">
        <v>3314</v>
      </c>
      <c r="E667" s="112" t="b">
        <v>0</v>
      </c>
      <c r="F667" s="112" t="b">
        <v>0</v>
      </c>
      <c r="G667" s="112" t="b">
        <v>0</v>
      </c>
    </row>
    <row r="668" spans="1:7" ht="15">
      <c r="A668" s="112" t="s">
        <v>2734</v>
      </c>
      <c r="B668" s="112">
        <v>3</v>
      </c>
      <c r="C668" s="114">
        <v>0.0005439203949036586</v>
      </c>
      <c r="D668" s="112" t="s">
        <v>3314</v>
      </c>
      <c r="E668" s="112" t="b">
        <v>0</v>
      </c>
      <c r="F668" s="112" t="b">
        <v>0</v>
      </c>
      <c r="G668" s="112" t="b">
        <v>0</v>
      </c>
    </row>
    <row r="669" spans="1:7" ht="15">
      <c r="A669" s="112" t="s">
        <v>2735</v>
      </c>
      <c r="B669" s="112">
        <v>3</v>
      </c>
      <c r="C669" s="114">
        <v>0.0006178472111276226</v>
      </c>
      <c r="D669" s="112" t="s">
        <v>3314</v>
      </c>
      <c r="E669" s="112" t="b">
        <v>0</v>
      </c>
      <c r="F669" s="112" t="b">
        <v>0</v>
      </c>
      <c r="G669" s="112" t="b">
        <v>0</v>
      </c>
    </row>
    <row r="670" spans="1:7" ht="15">
      <c r="A670" s="112" t="s">
        <v>2736</v>
      </c>
      <c r="B670" s="112">
        <v>3</v>
      </c>
      <c r="C670" s="114">
        <v>0.0006178472111276226</v>
      </c>
      <c r="D670" s="112" t="s">
        <v>3314</v>
      </c>
      <c r="E670" s="112" t="b">
        <v>0</v>
      </c>
      <c r="F670" s="112" t="b">
        <v>0</v>
      </c>
      <c r="G670" s="112" t="b">
        <v>0</v>
      </c>
    </row>
    <row r="671" spans="1:7" ht="15">
      <c r="A671" s="112" t="s">
        <v>2737</v>
      </c>
      <c r="B671" s="112">
        <v>3</v>
      </c>
      <c r="C671" s="114">
        <v>0.0005006759796149353</v>
      </c>
      <c r="D671" s="112" t="s">
        <v>3314</v>
      </c>
      <c r="E671" s="112" t="b">
        <v>0</v>
      </c>
      <c r="F671" s="112" t="b">
        <v>0</v>
      </c>
      <c r="G671" s="112" t="b">
        <v>0</v>
      </c>
    </row>
    <row r="672" spans="1:7" ht="15">
      <c r="A672" s="112" t="s">
        <v>2738</v>
      </c>
      <c r="B672" s="112">
        <v>3</v>
      </c>
      <c r="C672" s="114">
        <v>0.0005439203949036586</v>
      </c>
      <c r="D672" s="112" t="s">
        <v>3314</v>
      </c>
      <c r="E672" s="112" t="b">
        <v>0</v>
      </c>
      <c r="F672" s="112" t="b">
        <v>0</v>
      </c>
      <c r="G672" s="112" t="b">
        <v>0</v>
      </c>
    </row>
    <row r="673" spans="1:7" ht="15">
      <c r="A673" s="112" t="s">
        <v>2739</v>
      </c>
      <c r="B673" s="112">
        <v>3</v>
      </c>
      <c r="C673" s="114">
        <v>0.0005006759796149353</v>
      </c>
      <c r="D673" s="112" t="s">
        <v>3314</v>
      </c>
      <c r="E673" s="112" t="b">
        <v>0</v>
      </c>
      <c r="F673" s="112" t="b">
        <v>0</v>
      </c>
      <c r="G673" s="112" t="b">
        <v>0</v>
      </c>
    </row>
    <row r="674" spans="1:7" ht="15">
      <c r="A674" s="112" t="s">
        <v>2740</v>
      </c>
      <c r="B674" s="112">
        <v>3</v>
      </c>
      <c r="C674" s="114">
        <v>0.0005439203949036586</v>
      </c>
      <c r="D674" s="112" t="s">
        <v>3314</v>
      </c>
      <c r="E674" s="112" t="b">
        <v>0</v>
      </c>
      <c r="F674" s="112" t="b">
        <v>0</v>
      </c>
      <c r="G674" s="112" t="b">
        <v>0</v>
      </c>
    </row>
    <row r="675" spans="1:7" ht="15">
      <c r="A675" s="112" t="s">
        <v>2741</v>
      </c>
      <c r="B675" s="112">
        <v>3</v>
      </c>
      <c r="C675" s="114">
        <v>0.0006178472111276226</v>
      </c>
      <c r="D675" s="112" t="s">
        <v>3314</v>
      </c>
      <c r="E675" s="112" t="b">
        <v>0</v>
      </c>
      <c r="F675" s="112" t="b">
        <v>0</v>
      </c>
      <c r="G675" s="112" t="b">
        <v>0</v>
      </c>
    </row>
    <row r="676" spans="1:7" ht="15">
      <c r="A676" s="112" t="s">
        <v>2742</v>
      </c>
      <c r="B676" s="112">
        <v>3</v>
      </c>
      <c r="C676" s="114">
        <v>0.0005006759796149353</v>
      </c>
      <c r="D676" s="112" t="s">
        <v>3314</v>
      </c>
      <c r="E676" s="112" t="b">
        <v>0</v>
      </c>
      <c r="F676" s="112" t="b">
        <v>0</v>
      </c>
      <c r="G676" s="112" t="b">
        <v>0</v>
      </c>
    </row>
    <row r="677" spans="1:7" ht="15">
      <c r="A677" s="112" t="s">
        <v>2743</v>
      </c>
      <c r="B677" s="112">
        <v>3</v>
      </c>
      <c r="C677" s="114">
        <v>0.0005006759796149353</v>
      </c>
      <c r="D677" s="112" t="s">
        <v>3314</v>
      </c>
      <c r="E677" s="112" t="b">
        <v>0</v>
      </c>
      <c r="F677" s="112" t="b">
        <v>0</v>
      </c>
      <c r="G677" s="112" t="b">
        <v>0</v>
      </c>
    </row>
    <row r="678" spans="1:7" ht="15">
      <c r="A678" s="112" t="s">
        <v>2744</v>
      </c>
      <c r="B678" s="112">
        <v>3</v>
      </c>
      <c r="C678" s="114">
        <v>0.0005006759796149353</v>
      </c>
      <c r="D678" s="112" t="s">
        <v>3314</v>
      </c>
      <c r="E678" s="112" t="b">
        <v>0</v>
      </c>
      <c r="F678" s="112" t="b">
        <v>0</v>
      </c>
      <c r="G678" s="112" t="b">
        <v>0</v>
      </c>
    </row>
    <row r="679" spans="1:7" ht="15">
      <c r="A679" s="112" t="s">
        <v>2745</v>
      </c>
      <c r="B679" s="112">
        <v>3</v>
      </c>
      <c r="C679" s="114">
        <v>0.0005006759796149353</v>
      </c>
      <c r="D679" s="112" t="s">
        <v>3314</v>
      </c>
      <c r="E679" s="112" t="b">
        <v>0</v>
      </c>
      <c r="F679" s="112" t="b">
        <v>0</v>
      </c>
      <c r="G679" s="112" t="b">
        <v>0</v>
      </c>
    </row>
    <row r="680" spans="1:7" ht="15">
      <c r="A680" s="112" t="s">
        <v>2746</v>
      </c>
      <c r="B680" s="112">
        <v>3</v>
      </c>
      <c r="C680" s="114">
        <v>0.0005006759796149353</v>
      </c>
      <c r="D680" s="112" t="s">
        <v>3314</v>
      </c>
      <c r="E680" s="112" t="b">
        <v>0</v>
      </c>
      <c r="F680" s="112" t="b">
        <v>0</v>
      </c>
      <c r="G680" s="112" t="b">
        <v>0</v>
      </c>
    </row>
    <row r="681" spans="1:7" ht="15">
      <c r="A681" s="112" t="s">
        <v>2747</v>
      </c>
      <c r="B681" s="112">
        <v>3</v>
      </c>
      <c r="C681" s="114">
        <v>0.0005439203949036586</v>
      </c>
      <c r="D681" s="112" t="s">
        <v>3314</v>
      </c>
      <c r="E681" s="112" t="b">
        <v>0</v>
      </c>
      <c r="F681" s="112" t="b">
        <v>0</v>
      </c>
      <c r="G681" s="112" t="b">
        <v>0</v>
      </c>
    </row>
    <row r="682" spans="1:7" ht="15">
      <c r="A682" s="112" t="s">
        <v>2748</v>
      </c>
      <c r="B682" s="112">
        <v>3</v>
      </c>
      <c r="C682" s="114">
        <v>0.0005006759796149353</v>
      </c>
      <c r="D682" s="112" t="s">
        <v>3314</v>
      </c>
      <c r="E682" s="112" t="b">
        <v>0</v>
      </c>
      <c r="F682" s="112" t="b">
        <v>0</v>
      </c>
      <c r="G682" s="112" t="b">
        <v>0</v>
      </c>
    </row>
    <row r="683" spans="1:7" ht="15">
      <c r="A683" s="112" t="s">
        <v>2749</v>
      </c>
      <c r="B683" s="112">
        <v>3</v>
      </c>
      <c r="C683" s="114">
        <v>0.0005439203949036586</v>
      </c>
      <c r="D683" s="112" t="s">
        <v>3314</v>
      </c>
      <c r="E683" s="112" t="b">
        <v>0</v>
      </c>
      <c r="F683" s="112" t="b">
        <v>0</v>
      </c>
      <c r="G683" s="112" t="b">
        <v>0</v>
      </c>
    </row>
    <row r="684" spans="1:7" ht="15">
      <c r="A684" s="112" t="s">
        <v>2750</v>
      </c>
      <c r="B684" s="112">
        <v>3</v>
      </c>
      <c r="C684" s="114">
        <v>0.0005006759796149353</v>
      </c>
      <c r="D684" s="112" t="s">
        <v>3314</v>
      </c>
      <c r="E684" s="112" t="b">
        <v>0</v>
      </c>
      <c r="F684" s="112" t="b">
        <v>0</v>
      </c>
      <c r="G684" s="112" t="b">
        <v>0</v>
      </c>
    </row>
    <row r="685" spans="1:7" ht="15">
      <c r="A685" s="112" t="s">
        <v>2751</v>
      </c>
      <c r="B685" s="112">
        <v>3</v>
      </c>
      <c r="C685" s="114">
        <v>0.0006178472111276226</v>
      </c>
      <c r="D685" s="112" t="s">
        <v>3314</v>
      </c>
      <c r="E685" s="112" t="b">
        <v>0</v>
      </c>
      <c r="F685" s="112" t="b">
        <v>0</v>
      </c>
      <c r="G685" s="112" t="b">
        <v>0</v>
      </c>
    </row>
    <row r="686" spans="1:7" ht="15">
      <c r="A686" s="112" t="s">
        <v>2752</v>
      </c>
      <c r="B686" s="112">
        <v>3</v>
      </c>
      <c r="C686" s="114">
        <v>0.0006178472111276226</v>
      </c>
      <c r="D686" s="112" t="s">
        <v>3314</v>
      </c>
      <c r="E686" s="112" t="b">
        <v>0</v>
      </c>
      <c r="F686" s="112" t="b">
        <v>0</v>
      </c>
      <c r="G686" s="112" t="b">
        <v>0</v>
      </c>
    </row>
    <row r="687" spans="1:7" ht="15">
      <c r="A687" s="112" t="s">
        <v>2753</v>
      </c>
      <c r="B687" s="112">
        <v>3</v>
      </c>
      <c r="C687" s="114">
        <v>0.0005439203949036586</v>
      </c>
      <c r="D687" s="112" t="s">
        <v>3314</v>
      </c>
      <c r="E687" s="112" t="b">
        <v>0</v>
      </c>
      <c r="F687" s="112" t="b">
        <v>0</v>
      </c>
      <c r="G687" s="112" t="b">
        <v>0</v>
      </c>
    </row>
    <row r="688" spans="1:7" ht="15">
      <c r="A688" s="112" t="s">
        <v>2754</v>
      </c>
      <c r="B688" s="112">
        <v>3</v>
      </c>
      <c r="C688" s="114">
        <v>0.0006178472111276226</v>
      </c>
      <c r="D688" s="112" t="s">
        <v>3314</v>
      </c>
      <c r="E688" s="112" t="b">
        <v>0</v>
      </c>
      <c r="F688" s="112" t="b">
        <v>0</v>
      </c>
      <c r="G688" s="112" t="b">
        <v>0</v>
      </c>
    </row>
    <row r="689" spans="1:7" ht="15">
      <c r="A689" s="112" t="s">
        <v>2755</v>
      </c>
      <c r="B689" s="112">
        <v>3</v>
      </c>
      <c r="C689" s="114">
        <v>0.0005006759796149353</v>
      </c>
      <c r="D689" s="112" t="s">
        <v>3314</v>
      </c>
      <c r="E689" s="112" t="b">
        <v>0</v>
      </c>
      <c r="F689" s="112" t="b">
        <v>0</v>
      </c>
      <c r="G689" s="112" t="b">
        <v>0</v>
      </c>
    </row>
    <row r="690" spans="1:7" ht="15">
      <c r="A690" s="112" t="s">
        <v>2756</v>
      </c>
      <c r="B690" s="112">
        <v>3</v>
      </c>
      <c r="C690" s="114">
        <v>0.0005006759796149353</v>
      </c>
      <c r="D690" s="112" t="s">
        <v>3314</v>
      </c>
      <c r="E690" s="112" t="b">
        <v>0</v>
      </c>
      <c r="F690" s="112" t="b">
        <v>0</v>
      </c>
      <c r="G690" s="112" t="b">
        <v>0</v>
      </c>
    </row>
    <row r="691" spans="1:7" ht="15">
      <c r="A691" s="112" t="s">
        <v>2757</v>
      </c>
      <c r="B691" s="112">
        <v>3</v>
      </c>
      <c r="C691" s="114">
        <v>0.0005439203949036586</v>
      </c>
      <c r="D691" s="112" t="s">
        <v>3314</v>
      </c>
      <c r="E691" s="112" t="b">
        <v>0</v>
      </c>
      <c r="F691" s="112" t="b">
        <v>0</v>
      </c>
      <c r="G691" s="112" t="b">
        <v>0</v>
      </c>
    </row>
    <row r="692" spans="1:7" ht="15">
      <c r="A692" s="112" t="s">
        <v>2758</v>
      </c>
      <c r="B692" s="112">
        <v>3</v>
      </c>
      <c r="C692" s="114">
        <v>0.0005439203949036586</v>
      </c>
      <c r="D692" s="112" t="s">
        <v>3314</v>
      </c>
      <c r="E692" s="112" t="b">
        <v>0</v>
      </c>
      <c r="F692" s="112" t="b">
        <v>0</v>
      </c>
      <c r="G692" s="112" t="b">
        <v>0</v>
      </c>
    </row>
    <row r="693" spans="1:7" ht="15">
      <c r="A693" s="112" t="s">
        <v>2759</v>
      </c>
      <c r="B693" s="112">
        <v>3</v>
      </c>
      <c r="C693" s="114">
        <v>0.0005006759796149353</v>
      </c>
      <c r="D693" s="112" t="s">
        <v>3314</v>
      </c>
      <c r="E693" s="112" t="b">
        <v>0</v>
      </c>
      <c r="F693" s="112" t="b">
        <v>0</v>
      </c>
      <c r="G693" s="112" t="b">
        <v>0</v>
      </c>
    </row>
    <row r="694" spans="1:7" ht="15">
      <c r="A694" s="112" t="s">
        <v>2760</v>
      </c>
      <c r="B694" s="112">
        <v>3</v>
      </c>
      <c r="C694" s="114">
        <v>0.0005006759796149353</v>
      </c>
      <c r="D694" s="112" t="s">
        <v>3314</v>
      </c>
      <c r="E694" s="112" t="b">
        <v>0</v>
      </c>
      <c r="F694" s="112" t="b">
        <v>0</v>
      </c>
      <c r="G694" s="112" t="b">
        <v>0</v>
      </c>
    </row>
    <row r="695" spans="1:7" ht="15">
      <c r="A695" s="112" t="s">
        <v>2761</v>
      </c>
      <c r="B695" s="112">
        <v>3</v>
      </c>
      <c r="C695" s="114">
        <v>0.0005006759796149353</v>
      </c>
      <c r="D695" s="112" t="s">
        <v>3314</v>
      </c>
      <c r="E695" s="112" t="b">
        <v>0</v>
      </c>
      <c r="F695" s="112" t="b">
        <v>0</v>
      </c>
      <c r="G695" s="112" t="b">
        <v>0</v>
      </c>
    </row>
    <row r="696" spans="1:7" ht="15">
      <c r="A696" s="112" t="s">
        <v>2762</v>
      </c>
      <c r="B696" s="112">
        <v>3</v>
      </c>
      <c r="C696" s="114">
        <v>0.0005006759796149353</v>
      </c>
      <c r="D696" s="112" t="s">
        <v>3314</v>
      </c>
      <c r="E696" s="112" t="b">
        <v>0</v>
      </c>
      <c r="F696" s="112" t="b">
        <v>0</v>
      </c>
      <c r="G696" s="112" t="b">
        <v>0</v>
      </c>
    </row>
    <row r="697" spans="1:7" ht="15">
      <c r="A697" s="112" t="s">
        <v>2763</v>
      </c>
      <c r="B697" s="112">
        <v>3</v>
      </c>
      <c r="C697" s="114">
        <v>0.0005006759796149353</v>
      </c>
      <c r="D697" s="112" t="s">
        <v>3314</v>
      </c>
      <c r="E697" s="112" t="b">
        <v>0</v>
      </c>
      <c r="F697" s="112" t="b">
        <v>0</v>
      </c>
      <c r="G697" s="112" t="b">
        <v>0</v>
      </c>
    </row>
    <row r="698" spans="1:7" ht="15">
      <c r="A698" s="112" t="s">
        <v>2764</v>
      </c>
      <c r="B698" s="112">
        <v>3</v>
      </c>
      <c r="C698" s="114">
        <v>0.0006178472111276226</v>
      </c>
      <c r="D698" s="112" t="s">
        <v>3314</v>
      </c>
      <c r="E698" s="112" t="b">
        <v>0</v>
      </c>
      <c r="F698" s="112" t="b">
        <v>0</v>
      </c>
      <c r="G698" s="112" t="b">
        <v>0</v>
      </c>
    </row>
    <row r="699" spans="1:7" ht="15">
      <c r="A699" s="112" t="s">
        <v>2765</v>
      </c>
      <c r="B699" s="112">
        <v>3</v>
      </c>
      <c r="C699" s="114">
        <v>0.0006178472111276226</v>
      </c>
      <c r="D699" s="112" t="s">
        <v>3314</v>
      </c>
      <c r="E699" s="112" t="b">
        <v>0</v>
      </c>
      <c r="F699" s="112" t="b">
        <v>0</v>
      </c>
      <c r="G699" s="112" t="b">
        <v>0</v>
      </c>
    </row>
    <row r="700" spans="1:7" ht="15">
      <c r="A700" s="112" t="s">
        <v>2766</v>
      </c>
      <c r="B700" s="112">
        <v>3</v>
      </c>
      <c r="C700" s="114">
        <v>0.0006178472111276226</v>
      </c>
      <c r="D700" s="112" t="s">
        <v>3314</v>
      </c>
      <c r="E700" s="112" t="b">
        <v>0</v>
      </c>
      <c r="F700" s="112" t="b">
        <v>0</v>
      </c>
      <c r="G700" s="112" t="b">
        <v>0</v>
      </c>
    </row>
    <row r="701" spans="1:7" ht="15">
      <c r="A701" s="112" t="s">
        <v>2767</v>
      </c>
      <c r="B701" s="112">
        <v>3</v>
      </c>
      <c r="C701" s="114">
        <v>0.0005006759796149353</v>
      </c>
      <c r="D701" s="112" t="s">
        <v>3314</v>
      </c>
      <c r="E701" s="112" t="b">
        <v>0</v>
      </c>
      <c r="F701" s="112" t="b">
        <v>0</v>
      </c>
      <c r="G701" s="112" t="b">
        <v>0</v>
      </c>
    </row>
    <row r="702" spans="1:7" ht="15">
      <c r="A702" s="112" t="s">
        <v>2768</v>
      </c>
      <c r="B702" s="112">
        <v>3</v>
      </c>
      <c r="C702" s="114">
        <v>0.0005439203949036586</v>
      </c>
      <c r="D702" s="112" t="s">
        <v>3314</v>
      </c>
      <c r="E702" s="112" t="b">
        <v>0</v>
      </c>
      <c r="F702" s="112" t="b">
        <v>0</v>
      </c>
      <c r="G702" s="112" t="b">
        <v>0</v>
      </c>
    </row>
    <row r="703" spans="1:7" ht="15">
      <c r="A703" s="112" t="s">
        <v>2769</v>
      </c>
      <c r="B703" s="112">
        <v>3</v>
      </c>
      <c r="C703" s="114">
        <v>0.0006178472111276226</v>
      </c>
      <c r="D703" s="112" t="s">
        <v>3314</v>
      </c>
      <c r="E703" s="112" t="b">
        <v>0</v>
      </c>
      <c r="F703" s="112" t="b">
        <v>0</v>
      </c>
      <c r="G703" s="112" t="b">
        <v>0</v>
      </c>
    </row>
    <row r="704" spans="1:7" ht="15">
      <c r="A704" s="112" t="s">
        <v>2770</v>
      </c>
      <c r="B704" s="112">
        <v>3</v>
      </c>
      <c r="C704" s="114">
        <v>0.0005006759796149353</v>
      </c>
      <c r="D704" s="112" t="s">
        <v>3314</v>
      </c>
      <c r="E704" s="112" t="b">
        <v>0</v>
      </c>
      <c r="F704" s="112" t="b">
        <v>1</v>
      </c>
      <c r="G704" s="112" t="b">
        <v>0</v>
      </c>
    </row>
    <row r="705" spans="1:7" ht="15">
      <c r="A705" s="112" t="s">
        <v>2771</v>
      </c>
      <c r="B705" s="112">
        <v>3</v>
      </c>
      <c r="C705" s="114">
        <v>0.0005006759796149353</v>
      </c>
      <c r="D705" s="112" t="s">
        <v>3314</v>
      </c>
      <c r="E705" s="112" t="b">
        <v>0</v>
      </c>
      <c r="F705" s="112" t="b">
        <v>0</v>
      </c>
      <c r="G705" s="112" t="b">
        <v>0</v>
      </c>
    </row>
    <row r="706" spans="1:7" ht="15">
      <c r="A706" s="112" t="s">
        <v>2772</v>
      </c>
      <c r="B706" s="112">
        <v>3</v>
      </c>
      <c r="C706" s="114">
        <v>0.0005006759796149353</v>
      </c>
      <c r="D706" s="112" t="s">
        <v>3314</v>
      </c>
      <c r="E706" s="112" t="b">
        <v>0</v>
      </c>
      <c r="F706" s="112" t="b">
        <v>0</v>
      </c>
      <c r="G706" s="112" t="b">
        <v>0</v>
      </c>
    </row>
    <row r="707" spans="1:7" ht="15">
      <c r="A707" s="112" t="s">
        <v>2773</v>
      </c>
      <c r="B707" s="112">
        <v>3</v>
      </c>
      <c r="C707" s="114">
        <v>0.0005006759796149353</v>
      </c>
      <c r="D707" s="112" t="s">
        <v>3314</v>
      </c>
      <c r="E707" s="112" t="b">
        <v>0</v>
      </c>
      <c r="F707" s="112" t="b">
        <v>0</v>
      </c>
      <c r="G707" s="112" t="b">
        <v>0</v>
      </c>
    </row>
    <row r="708" spans="1:7" ht="15">
      <c r="A708" s="112" t="s">
        <v>2774</v>
      </c>
      <c r="B708" s="112">
        <v>3</v>
      </c>
      <c r="C708" s="114">
        <v>0.0005006759796149353</v>
      </c>
      <c r="D708" s="112" t="s">
        <v>3314</v>
      </c>
      <c r="E708" s="112" t="b">
        <v>0</v>
      </c>
      <c r="F708" s="112" t="b">
        <v>0</v>
      </c>
      <c r="G708" s="112" t="b">
        <v>0</v>
      </c>
    </row>
    <row r="709" spans="1:7" ht="15">
      <c r="A709" s="112" t="s">
        <v>2775</v>
      </c>
      <c r="B709" s="112">
        <v>3</v>
      </c>
      <c r="C709" s="114">
        <v>0.0005439203949036586</v>
      </c>
      <c r="D709" s="112" t="s">
        <v>3314</v>
      </c>
      <c r="E709" s="112" t="b">
        <v>0</v>
      </c>
      <c r="F709" s="112" t="b">
        <v>0</v>
      </c>
      <c r="G709" s="112" t="b">
        <v>0</v>
      </c>
    </row>
    <row r="710" spans="1:7" ht="15">
      <c r="A710" s="112" t="s">
        <v>2776</v>
      </c>
      <c r="B710" s="112">
        <v>3</v>
      </c>
      <c r="C710" s="114">
        <v>0.0005006759796149353</v>
      </c>
      <c r="D710" s="112" t="s">
        <v>3314</v>
      </c>
      <c r="E710" s="112" t="b">
        <v>0</v>
      </c>
      <c r="F710" s="112" t="b">
        <v>0</v>
      </c>
      <c r="G710" s="112" t="b">
        <v>0</v>
      </c>
    </row>
    <row r="711" spans="1:7" ht="15">
      <c r="A711" s="112" t="s">
        <v>2777</v>
      </c>
      <c r="B711" s="112">
        <v>3</v>
      </c>
      <c r="C711" s="114">
        <v>0.0006178472111276226</v>
      </c>
      <c r="D711" s="112" t="s">
        <v>3314</v>
      </c>
      <c r="E711" s="112" t="b">
        <v>0</v>
      </c>
      <c r="F711" s="112" t="b">
        <v>0</v>
      </c>
      <c r="G711" s="112" t="b">
        <v>0</v>
      </c>
    </row>
    <row r="712" spans="1:7" ht="15">
      <c r="A712" s="112" t="s">
        <v>2778</v>
      </c>
      <c r="B712" s="112">
        <v>3</v>
      </c>
      <c r="C712" s="114">
        <v>0.0005439203949036586</v>
      </c>
      <c r="D712" s="112" t="s">
        <v>3314</v>
      </c>
      <c r="E712" s="112" t="b">
        <v>0</v>
      </c>
      <c r="F712" s="112" t="b">
        <v>0</v>
      </c>
      <c r="G712" s="112" t="b">
        <v>0</v>
      </c>
    </row>
    <row r="713" spans="1:7" ht="15">
      <c r="A713" s="112" t="s">
        <v>2779</v>
      </c>
      <c r="B713" s="112">
        <v>3</v>
      </c>
      <c r="C713" s="114">
        <v>0.0006178472111276226</v>
      </c>
      <c r="D713" s="112" t="s">
        <v>3314</v>
      </c>
      <c r="E713" s="112" t="b">
        <v>0</v>
      </c>
      <c r="F713" s="112" t="b">
        <v>0</v>
      </c>
      <c r="G713" s="112" t="b">
        <v>0</v>
      </c>
    </row>
    <row r="714" spans="1:7" ht="15">
      <c r="A714" s="112" t="s">
        <v>2780</v>
      </c>
      <c r="B714" s="112">
        <v>3</v>
      </c>
      <c r="C714" s="114">
        <v>0.0005439203949036586</v>
      </c>
      <c r="D714" s="112" t="s">
        <v>3314</v>
      </c>
      <c r="E714" s="112" t="b">
        <v>0</v>
      </c>
      <c r="F714" s="112" t="b">
        <v>1</v>
      </c>
      <c r="G714" s="112" t="b">
        <v>0</v>
      </c>
    </row>
    <row r="715" spans="1:7" ht="15">
      <c r="A715" s="112" t="s">
        <v>2781</v>
      </c>
      <c r="B715" s="112">
        <v>3</v>
      </c>
      <c r="C715" s="114">
        <v>0.0005006759796149353</v>
      </c>
      <c r="D715" s="112" t="s">
        <v>3314</v>
      </c>
      <c r="E715" s="112" t="b">
        <v>0</v>
      </c>
      <c r="F715" s="112" t="b">
        <v>0</v>
      </c>
      <c r="G715" s="112" t="b">
        <v>0</v>
      </c>
    </row>
    <row r="716" spans="1:7" ht="15">
      <c r="A716" s="112" t="s">
        <v>2782</v>
      </c>
      <c r="B716" s="112">
        <v>3</v>
      </c>
      <c r="C716" s="114">
        <v>0.0006178472111276226</v>
      </c>
      <c r="D716" s="112" t="s">
        <v>3314</v>
      </c>
      <c r="E716" s="112" t="b">
        <v>0</v>
      </c>
      <c r="F716" s="112" t="b">
        <v>0</v>
      </c>
      <c r="G716" s="112" t="b">
        <v>0</v>
      </c>
    </row>
    <row r="717" spans="1:7" ht="15">
      <c r="A717" s="112" t="s">
        <v>2783</v>
      </c>
      <c r="B717" s="112">
        <v>3</v>
      </c>
      <c r="C717" s="114">
        <v>0.0005439203949036586</v>
      </c>
      <c r="D717" s="112" t="s">
        <v>3314</v>
      </c>
      <c r="E717" s="112" t="b">
        <v>0</v>
      </c>
      <c r="F717" s="112" t="b">
        <v>0</v>
      </c>
      <c r="G717" s="112" t="b">
        <v>0</v>
      </c>
    </row>
    <row r="718" spans="1:7" ht="15">
      <c r="A718" s="112" t="s">
        <v>2784</v>
      </c>
      <c r="B718" s="112">
        <v>3</v>
      </c>
      <c r="C718" s="114">
        <v>0.0005006759796149353</v>
      </c>
      <c r="D718" s="112" t="s">
        <v>3314</v>
      </c>
      <c r="E718" s="112" t="b">
        <v>0</v>
      </c>
      <c r="F718" s="112" t="b">
        <v>0</v>
      </c>
      <c r="G718" s="112" t="b">
        <v>0</v>
      </c>
    </row>
    <row r="719" spans="1:7" ht="15">
      <c r="A719" s="112" t="s">
        <v>2785</v>
      </c>
      <c r="B719" s="112">
        <v>3</v>
      </c>
      <c r="C719" s="114">
        <v>0.0005006759796149353</v>
      </c>
      <c r="D719" s="112" t="s">
        <v>3314</v>
      </c>
      <c r="E719" s="112" t="b">
        <v>0</v>
      </c>
      <c r="F719" s="112" t="b">
        <v>0</v>
      </c>
      <c r="G719" s="112" t="b">
        <v>0</v>
      </c>
    </row>
    <row r="720" spans="1:7" ht="15">
      <c r="A720" s="112" t="s">
        <v>2786</v>
      </c>
      <c r="B720" s="112">
        <v>3</v>
      </c>
      <c r="C720" s="114">
        <v>0.0005439203949036586</v>
      </c>
      <c r="D720" s="112" t="s">
        <v>3314</v>
      </c>
      <c r="E720" s="112" t="b">
        <v>0</v>
      </c>
      <c r="F720" s="112" t="b">
        <v>1</v>
      </c>
      <c r="G720" s="112" t="b">
        <v>0</v>
      </c>
    </row>
    <row r="721" spans="1:7" ht="15">
      <c r="A721" s="112" t="s">
        <v>2787</v>
      </c>
      <c r="B721" s="112">
        <v>3</v>
      </c>
      <c r="C721" s="114">
        <v>0.0005439203949036586</v>
      </c>
      <c r="D721" s="112" t="s">
        <v>3314</v>
      </c>
      <c r="E721" s="112" t="b">
        <v>0</v>
      </c>
      <c r="F721" s="112" t="b">
        <v>0</v>
      </c>
      <c r="G721" s="112" t="b">
        <v>0</v>
      </c>
    </row>
    <row r="722" spans="1:7" ht="15">
      <c r="A722" s="112" t="s">
        <v>2788</v>
      </c>
      <c r="B722" s="112">
        <v>3</v>
      </c>
      <c r="C722" s="114">
        <v>0.0005439203949036586</v>
      </c>
      <c r="D722" s="112" t="s">
        <v>3314</v>
      </c>
      <c r="E722" s="112" t="b">
        <v>0</v>
      </c>
      <c r="F722" s="112" t="b">
        <v>0</v>
      </c>
      <c r="G722" s="112" t="b">
        <v>0</v>
      </c>
    </row>
    <row r="723" spans="1:7" ht="15">
      <c r="A723" s="112" t="s">
        <v>2789</v>
      </c>
      <c r="B723" s="112">
        <v>3</v>
      </c>
      <c r="C723" s="114">
        <v>0.0005006759796149353</v>
      </c>
      <c r="D723" s="112" t="s">
        <v>3314</v>
      </c>
      <c r="E723" s="112" t="b">
        <v>0</v>
      </c>
      <c r="F723" s="112" t="b">
        <v>0</v>
      </c>
      <c r="G723" s="112" t="b">
        <v>0</v>
      </c>
    </row>
    <row r="724" spans="1:7" ht="15">
      <c r="A724" s="112" t="s">
        <v>2790</v>
      </c>
      <c r="B724" s="112">
        <v>3</v>
      </c>
      <c r="C724" s="114">
        <v>0.0005006759796149353</v>
      </c>
      <c r="D724" s="112" t="s">
        <v>3314</v>
      </c>
      <c r="E724" s="112" t="b">
        <v>0</v>
      </c>
      <c r="F724" s="112" t="b">
        <v>0</v>
      </c>
      <c r="G724" s="112" t="b">
        <v>0</v>
      </c>
    </row>
    <row r="725" spans="1:7" ht="15">
      <c r="A725" s="112" t="s">
        <v>2791</v>
      </c>
      <c r="B725" s="112">
        <v>3</v>
      </c>
      <c r="C725" s="114">
        <v>0.0006178472111276226</v>
      </c>
      <c r="D725" s="112" t="s">
        <v>3314</v>
      </c>
      <c r="E725" s="112" t="b">
        <v>0</v>
      </c>
      <c r="F725" s="112" t="b">
        <v>0</v>
      </c>
      <c r="G725" s="112" t="b">
        <v>0</v>
      </c>
    </row>
    <row r="726" spans="1:7" ht="15">
      <c r="A726" s="112" t="s">
        <v>2792</v>
      </c>
      <c r="B726" s="112">
        <v>3</v>
      </c>
      <c r="C726" s="114">
        <v>0.0005439203949036586</v>
      </c>
      <c r="D726" s="112" t="s">
        <v>3314</v>
      </c>
      <c r="E726" s="112" t="b">
        <v>0</v>
      </c>
      <c r="F726" s="112" t="b">
        <v>0</v>
      </c>
      <c r="G726" s="112" t="b">
        <v>0</v>
      </c>
    </row>
    <row r="727" spans="1:7" ht="15">
      <c r="A727" s="112" t="s">
        <v>2793</v>
      </c>
      <c r="B727" s="112">
        <v>3</v>
      </c>
      <c r="C727" s="114">
        <v>0.0005006759796149353</v>
      </c>
      <c r="D727" s="112" t="s">
        <v>3314</v>
      </c>
      <c r="E727" s="112" t="b">
        <v>0</v>
      </c>
      <c r="F727" s="112" t="b">
        <v>0</v>
      </c>
      <c r="G727" s="112" t="b">
        <v>0</v>
      </c>
    </row>
    <row r="728" spans="1:7" ht="15">
      <c r="A728" s="112" t="s">
        <v>2794</v>
      </c>
      <c r="B728" s="112">
        <v>3</v>
      </c>
      <c r="C728" s="114">
        <v>0.0005439203949036586</v>
      </c>
      <c r="D728" s="112" t="s">
        <v>3314</v>
      </c>
      <c r="E728" s="112" t="b">
        <v>0</v>
      </c>
      <c r="F728" s="112" t="b">
        <v>0</v>
      </c>
      <c r="G728" s="112" t="b">
        <v>0</v>
      </c>
    </row>
    <row r="729" spans="1:7" ht="15">
      <c r="A729" s="112" t="s">
        <v>2795</v>
      </c>
      <c r="B729" s="112">
        <v>3</v>
      </c>
      <c r="C729" s="114">
        <v>0.0006178472111276226</v>
      </c>
      <c r="D729" s="112" t="s">
        <v>3314</v>
      </c>
      <c r="E729" s="112" t="b">
        <v>0</v>
      </c>
      <c r="F729" s="112" t="b">
        <v>0</v>
      </c>
      <c r="G729" s="112" t="b">
        <v>0</v>
      </c>
    </row>
    <row r="730" spans="1:7" ht="15">
      <c r="A730" s="112" t="s">
        <v>2796</v>
      </c>
      <c r="B730" s="112">
        <v>3</v>
      </c>
      <c r="C730" s="114">
        <v>0.0006178472111276226</v>
      </c>
      <c r="D730" s="112" t="s">
        <v>3314</v>
      </c>
      <c r="E730" s="112" t="b">
        <v>0</v>
      </c>
      <c r="F730" s="112" t="b">
        <v>0</v>
      </c>
      <c r="G730" s="112" t="b">
        <v>0</v>
      </c>
    </row>
    <row r="731" spans="1:7" ht="15">
      <c r="A731" s="112" t="s">
        <v>2797</v>
      </c>
      <c r="B731" s="112">
        <v>3</v>
      </c>
      <c r="C731" s="114">
        <v>0.0005006759796149353</v>
      </c>
      <c r="D731" s="112" t="s">
        <v>3314</v>
      </c>
      <c r="E731" s="112" t="b">
        <v>0</v>
      </c>
      <c r="F731" s="112" t="b">
        <v>0</v>
      </c>
      <c r="G731" s="112" t="b">
        <v>0</v>
      </c>
    </row>
    <row r="732" spans="1:7" ht="15">
      <c r="A732" s="112" t="s">
        <v>2798</v>
      </c>
      <c r="B732" s="112">
        <v>3</v>
      </c>
      <c r="C732" s="114">
        <v>0.0005006759796149353</v>
      </c>
      <c r="D732" s="112" t="s">
        <v>3314</v>
      </c>
      <c r="E732" s="112" t="b">
        <v>0</v>
      </c>
      <c r="F732" s="112" t="b">
        <v>0</v>
      </c>
      <c r="G732" s="112" t="b">
        <v>0</v>
      </c>
    </row>
    <row r="733" spans="1:7" ht="15">
      <c r="A733" s="112" t="s">
        <v>2799</v>
      </c>
      <c r="B733" s="112">
        <v>3</v>
      </c>
      <c r="C733" s="114">
        <v>0.0005006759796149353</v>
      </c>
      <c r="D733" s="112" t="s">
        <v>3314</v>
      </c>
      <c r="E733" s="112" t="b">
        <v>0</v>
      </c>
      <c r="F733" s="112" t="b">
        <v>0</v>
      </c>
      <c r="G733" s="112" t="b">
        <v>0</v>
      </c>
    </row>
    <row r="734" spans="1:7" ht="15">
      <c r="A734" s="112" t="s">
        <v>2800</v>
      </c>
      <c r="B734" s="112">
        <v>3</v>
      </c>
      <c r="C734" s="114">
        <v>0.0006178472111276226</v>
      </c>
      <c r="D734" s="112" t="s">
        <v>3314</v>
      </c>
      <c r="E734" s="112" t="b">
        <v>0</v>
      </c>
      <c r="F734" s="112" t="b">
        <v>0</v>
      </c>
      <c r="G734" s="112" t="b">
        <v>0</v>
      </c>
    </row>
    <row r="735" spans="1:7" ht="15">
      <c r="A735" s="112" t="s">
        <v>2801</v>
      </c>
      <c r="B735" s="112">
        <v>3</v>
      </c>
      <c r="C735" s="114">
        <v>0.0005439203949036586</v>
      </c>
      <c r="D735" s="112" t="s">
        <v>3314</v>
      </c>
      <c r="E735" s="112" t="b">
        <v>0</v>
      </c>
      <c r="F735" s="112" t="b">
        <v>0</v>
      </c>
      <c r="G735" s="112" t="b">
        <v>0</v>
      </c>
    </row>
    <row r="736" spans="1:7" ht="15">
      <c r="A736" s="112" t="s">
        <v>2802</v>
      </c>
      <c r="B736" s="112">
        <v>3</v>
      </c>
      <c r="C736" s="114">
        <v>0.0006178472111276226</v>
      </c>
      <c r="D736" s="112" t="s">
        <v>3314</v>
      </c>
      <c r="E736" s="112" t="b">
        <v>0</v>
      </c>
      <c r="F736" s="112" t="b">
        <v>0</v>
      </c>
      <c r="G736" s="112" t="b">
        <v>0</v>
      </c>
    </row>
    <row r="737" spans="1:7" ht="15">
      <c r="A737" s="112" t="s">
        <v>2803</v>
      </c>
      <c r="B737" s="112">
        <v>3</v>
      </c>
      <c r="C737" s="114">
        <v>0.0005439203949036586</v>
      </c>
      <c r="D737" s="112" t="s">
        <v>3314</v>
      </c>
      <c r="E737" s="112" t="b">
        <v>0</v>
      </c>
      <c r="F737" s="112" t="b">
        <v>0</v>
      </c>
      <c r="G737" s="112" t="b">
        <v>0</v>
      </c>
    </row>
    <row r="738" spans="1:7" ht="15">
      <c r="A738" s="112" t="s">
        <v>2804</v>
      </c>
      <c r="B738" s="112">
        <v>3</v>
      </c>
      <c r="C738" s="114">
        <v>0.0006178472111276226</v>
      </c>
      <c r="D738" s="112" t="s">
        <v>3314</v>
      </c>
      <c r="E738" s="112" t="b">
        <v>0</v>
      </c>
      <c r="F738" s="112" t="b">
        <v>0</v>
      </c>
      <c r="G738" s="112" t="b">
        <v>0</v>
      </c>
    </row>
    <row r="739" spans="1:7" ht="15">
      <c r="A739" s="112" t="s">
        <v>2805</v>
      </c>
      <c r="B739" s="112">
        <v>3</v>
      </c>
      <c r="C739" s="114">
        <v>0.0005006759796149353</v>
      </c>
      <c r="D739" s="112" t="s">
        <v>3314</v>
      </c>
      <c r="E739" s="112" t="b">
        <v>0</v>
      </c>
      <c r="F739" s="112" t="b">
        <v>0</v>
      </c>
      <c r="G739" s="112" t="b">
        <v>0</v>
      </c>
    </row>
    <row r="740" spans="1:7" ht="15">
      <c r="A740" s="112" t="s">
        <v>2806</v>
      </c>
      <c r="B740" s="112">
        <v>3</v>
      </c>
      <c r="C740" s="114">
        <v>0.0005439203949036586</v>
      </c>
      <c r="D740" s="112" t="s">
        <v>3314</v>
      </c>
      <c r="E740" s="112" t="b">
        <v>0</v>
      </c>
      <c r="F740" s="112" t="b">
        <v>0</v>
      </c>
      <c r="G740" s="112" t="b">
        <v>0</v>
      </c>
    </row>
    <row r="741" spans="1:7" ht="15">
      <c r="A741" s="112" t="s">
        <v>2807</v>
      </c>
      <c r="B741" s="112">
        <v>3</v>
      </c>
      <c r="C741" s="114">
        <v>0.0005006759796149353</v>
      </c>
      <c r="D741" s="112" t="s">
        <v>3314</v>
      </c>
      <c r="E741" s="112" t="b">
        <v>0</v>
      </c>
      <c r="F741" s="112" t="b">
        <v>1</v>
      </c>
      <c r="G741" s="112" t="b">
        <v>0</v>
      </c>
    </row>
    <row r="742" spans="1:7" ht="15">
      <c r="A742" s="112" t="s">
        <v>2808</v>
      </c>
      <c r="B742" s="112">
        <v>3</v>
      </c>
      <c r="C742" s="114">
        <v>0.0005006759796149353</v>
      </c>
      <c r="D742" s="112" t="s">
        <v>3314</v>
      </c>
      <c r="E742" s="112" t="b">
        <v>0</v>
      </c>
      <c r="F742" s="112" t="b">
        <v>0</v>
      </c>
      <c r="G742" s="112" t="b">
        <v>0</v>
      </c>
    </row>
    <row r="743" spans="1:7" ht="15">
      <c r="A743" s="112" t="s">
        <v>2809</v>
      </c>
      <c r="B743" s="112">
        <v>3</v>
      </c>
      <c r="C743" s="114">
        <v>0.0005006759796149353</v>
      </c>
      <c r="D743" s="112" t="s">
        <v>3314</v>
      </c>
      <c r="E743" s="112" t="b">
        <v>0</v>
      </c>
      <c r="F743" s="112" t="b">
        <v>0</v>
      </c>
      <c r="G743" s="112" t="b">
        <v>0</v>
      </c>
    </row>
    <row r="744" spans="1:7" ht="15">
      <c r="A744" s="112" t="s">
        <v>2810</v>
      </c>
      <c r="B744" s="112">
        <v>3</v>
      </c>
      <c r="C744" s="114">
        <v>0.0005439203949036586</v>
      </c>
      <c r="D744" s="112" t="s">
        <v>3314</v>
      </c>
      <c r="E744" s="112" t="b">
        <v>1</v>
      </c>
      <c r="F744" s="112" t="b">
        <v>0</v>
      </c>
      <c r="G744" s="112" t="b">
        <v>0</v>
      </c>
    </row>
    <row r="745" spans="1:7" ht="15">
      <c r="A745" s="112" t="s">
        <v>2811</v>
      </c>
      <c r="B745" s="112">
        <v>3</v>
      </c>
      <c r="C745" s="114">
        <v>0.0006178472111276226</v>
      </c>
      <c r="D745" s="112" t="s">
        <v>3314</v>
      </c>
      <c r="E745" s="112" t="b">
        <v>0</v>
      </c>
      <c r="F745" s="112" t="b">
        <v>0</v>
      </c>
      <c r="G745" s="112" t="b">
        <v>0</v>
      </c>
    </row>
    <row r="746" spans="1:7" ht="15">
      <c r="A746" s="112" t="s">
        <v>2812</v>
      </c>
      <c r="B746" s="112">
        <v>3</v>
      </c>
      <c r="C746" s="114">
        <v>0.0005439203949036586</v>
      </c>
      <c r="D746" s="112" t="s">
        <v>3314</v>
      </c>
      <c r="E746" s="112" t="b">
        <v>0</v>
      </c>
      <c r="F746" s="112" t="b">
        <v>0</v>
      </c>
      <c r="G746" s="112" t="b">
        <v>0</v>
      </c>
    </row>
    <row r="747" spans="1:7" ht="15">
      <c r="A747" s="112" t="s">
        <v>2813</v>
      </c>
      <c r="B747" s="112">
        <v>3</v>
      </c>
      <c r="C747" s="114">
        <v>0.0005439203949036586</v>
      </c>
      <c r="D747" s="112" t="s">
        <v>3314</v>
      </c>
      <c r="E747" s="112" t="b">
        <v>0</v>
      </c>
      <c r="F747" s="112" t="b">
        <v>0</v>
      </c>
      <c r="G747" s="112" t="b">
        <v>0</v>
      </c>
    </row>
    <row r="748" spans="1:7" ht="15">
      <c r="A748" s="112" t="s">
        <v>2814</v>
      </c>
      <c r="B748" s="112">
        <v>3</v>
      </c>
      <c r="C748" s="114">
        <v>0.0006178472111276226</v>
      </c>
      <c r="D748" s="112" t="s">
        <v>3314</v>
      </c>
      <c r="E748" s="112" t="b">
        <v>0</v>
      </c>
      <c r="F748" s="112" t="b">
        <v>0</v>
      </c>
      <c r="G748" s="112" t="b">
        <v>0</v>
      </c>
    </row>
    <row r="749" spans="1:7" ht="15">
      <c r="A749" s="112" t="s">
        <v>2815</v>
      </c>
      <c r="B749" s="112">
        <v>3</v>
      </c>
      <c r="C749" s="114">
        <v>0.0006178472111276226</v>
      </c>
      <c r="D749" s="112" t="s">
        <v>3314</v>
      </c>
      <c r="E749" s="112" t="b">
        <v>0</v>
      </c>
      <c r="F749" s="112" t="b">
        <v>0</v>
      </c>
      <c r="G749" s="112" t="b">
        <v>0</v>
      </c>
    </row>
    <row r="750" spans="1:7" ht="15">
      <c r="A750" s="112" t="s">
        <v>2816</v>
      </c>
      <c r="B750" s="112">
        <v>3</v>
      </c>
      <c r="C750" s="114">
        <v>0.0006178472111276226</v>
      </c>
      <c r="D750" s="112" t="s">
        <v>3314</v>
      </c>
      <c r="E750" s="112" t="b">
        <v>0</v>
      </c>
      <c r="F750" s="112" t="b">
        <v>0</v>
      </c>
      <c r="G750" s="112" t="b">
        <v>0</v>
      </c>
    </row>
    <row r="751" spans="1:7" ht="15">
      <c r="A751" s="112" t="s">
        <v>2817</v>
      </c>
      <c r="B751" s="112">
        <v>3</v>
      </c>
      <c r="C751" s="114">
        <v>0.0006178472111276226</v>
      </c>
      <c r="D751" s="112" t="s">
        <v>3314</v>
      </c>
      <c r="E751" s="112" t="b">
        <v>0</v>
      </c>
      <c r="F751" s="112" t="b">
        <v>0</v>
      </c>
      <c r="G751" s="112" t="b">
        <v>0</v>
      </c>
    </row>
    <row r="752" spans="1:7" ht="15">
      <c r="A752" s="112" t="s">
        <v>2818</v>
      </c>
      <c r="B752" s="112">
        <v>3</v>
      </c>
      <c r="C752" s="114">
        <v>0.0006178472111276226</v>
      </c>
      <c r="D752" s="112" t="s">
        <v>3314</v>
      </c>
      <c r="E752" s="112" t="b">
        <v>0</v>
      </c>
      <c r="F752" s="112" t="b">
        <v>0</v>
      </c>
      <c r="G752" s="112" t="b">
        <v>0</v>
      </c>
    </row>
    <row r="753" spans="1:7" ht="15">
      <c r="A753" s="112" t="s">
        <v>2819</v>
      </c>
      <c r="B753" s="112">
        <v>3</v>
      </c>
      <c r="C753" s="114">
        <v>0.0005439203949036586</v>
      </c>
      <c r="D753" s="112" t="s">
        <v>3314</v>
      </c>
      <c r="E753" s="112" t="b">
        <v>0</v>
      </c>
      <c r="F753" s="112" t="b">
        <v>0</v>
      </c>
      <c r="G753" s="112" t="b">
        <v>0</v>
      </c>
    </row>
    <row r="754" spans="1:7" ht="15">
      <c r="A754" s="112" t="s">
        <v>2820</v>
      </c>
      <c r="B754" s="112">
        <v>3</v>
      </c>
      <c r="C754" s="114">
        <v>0.0005006759796149353</v>
      </c>
      <c r="D754" s="112" t="s">
        <v>3314</v>
      </c>
      <c r="E754" s="112" t="b">
        <v>0</v>
      </c>
      <c r="F754" s="112" t="b">
        <v>0</v>
      </c>
      <c r="G754" s="112" t="b">
        <v>0</v>
      </c>
    </row>
    <row r="755" spans="1:7" ht="15">
      <c r="A755" s="112" t="s">
        <v>2821</v>
      </c>
      <c r="B755" s="112">
        <v>3</v>
      </c>
      <c r="C755" s="114">
        <v>0.0006178472111276226</v>
      </c>
      <c r="D755" s="112" t="s">
        <v>3314</v>
      </c>
      <c r="E755" s="112" t="b">
        <v>0</v>
      </c>
      <c r="F755" s="112" t="b">
        <v>0</v>
      </c>
      <c r="G755" s="112" t="b">
        <v>0</v>
      </c>
    </row>
    <row r="756" spans="1:7" ht="15">
      <c r="A756" s="112" t="s">
        <v>2822</v>
      </c>
      <c r="B756" s="112">
        <v>3</v>
      </c>
      <c r="C756" s="114">
        <v>0.0005006759796149353</v>
      </c>
      <c r="D756" s="112" t="s">
        <v>3314</v>
      </c>
      <c r="E756" s="112" t="b">
        <v>0</v>
      </c>
      <c r="F756" s="112" t="b">
        <v>0</v>
      </c>
      <c r="G756" s="112" t="b">
        <v>0</v>
      </c>
    </row>
    <row r="757" spans="1:7" ht="15">
      <c r="A757" s="112" t="s">
        <v>2823</v>
      </c>
      <c r="B757" s="112">
        <v>2</v>
      </c>
      <c r="C757" s="114">
        <v>0.00036261359660243913</v>
      </c>
      <c r="D757" s="112" t="s">
        <v>3314</v>
      </c>
      <c r="E757" s="112" t="b">
        <v>0</v>
      </c>
      <c r="F757" s="112" t="b">
        <v>1</v>
      </c>
      <c r="G757" s="112" t="b">
        <v>0</v>
      </c>
    </row>
    <row r="758" spans="1:7" ht="15">
      <c r="A758" s="112" t="s">
        <v>2824</v>
      </c>
      <c r="B758" s="112">
        <v>2</v>
      </c>
      <c r="C758" s="114">
        <v>0.00036261359660243913</v>
      </c>
      <c r="D758" s="112" t="s">
        <v>3314</v>
      </c>
      <c r="E758" s="112" t="b">
        <v>0</v>
      </c>
      <c r="F758" s="112" t="b">
        <v>0</v>
      </c>
      <c r="G758" s="112" t="b">
        <v>0</v>
      </c>
    </row>
    <row r="759" spans="1:7" ht="15">
      <c r="A759" s="112" t="s">
        <v>2825</v>
      </c>
      <c r="B759" s="112">
        <v>2</v>
      </c>
      <c r="C759" s="114">
        <v>0.0004118981407517484</v>
      </c>
      <c r="D759" s="112" t="s">
        <v>3314</v>
      </c>
      <c r="E759" s="112" t="b">
        <v>0</v>
      </c>
      <c r="F759" s="112" t="b">
        <v>0</v>
      </c>
      <c r="G759" s="112" t="b">
        <v>0</v>
      </c>
    </row>
    <row r="760" spans="1:7" ht="15">
      <c r="A760" s="112" t="s">
        <v>2826</v>
      </c>
      <c r="B760" s="112">
        <v>2</v>
      </c>
      <c r="C760" s="114">
        <v>0.0004118981407517484</v>
      </c>
      <c r="D760" s="112" t="s">
        <v>3314</v>
      </c>
      <c r="E760" s="112" t="b">
        <v>0</v>
      </c>
      <c r="F760" s="112" t="b">
        <v>1</v>
      </c>
      <c r="G760" s="112" t="b">
        <v>0</v>
      </c>
    </row>
    <row r="761" spans="1:7" ht="15">
      <c r="A761" s="112" t="s">
        <v>2827</v>
      </c>
      <c r="B761" s="112">
        <v>2</v>
      </c>
      <c r="C761" s="114">
        <v>0.0004118981407517484</v>
      </c>
      <c r="D761" s="112" t="s">
        <v>3314</v>
      </c>
      <c r="E761" s="112" t="b">
        <v>0</v>
      </c>
      <c r="F761" s="112" t="b">
        <v>0</v>
      </c>
      <c r="G761" s="112" t="b">
        <v>0</v>
      </c>
    </row>
    <row r="762" spans="1:7" ht="15">
      <c r="A762" s="112" t="s">
        <v>2828</v>
      </c>
      <c r="B762" s="112">
        <v>2</v>
      </c>
      <c r="C762" s="114">
        <v>0.00036261359660243913</v>
      </c>
      <c r="D762" s="112" t="s">
        <v>3314</v>
      </c>
      <c r="E762" s="112" t="b">
        <v>0</v>
      </c>
      <c r="F762" s="112" t="b">
        <v>0</v>
      </c>
      <c r="G762" s="112" t="b">
        <v>0</v>
      </c>
    </row>
    <row r="763" spans="1:7" ht="15">
      <c r="A763" s="112" t="s">
        <v>2829</v>
      </c>
      <c r="B763" s="112">
        <v>2</v>
      </c>
      <c r="C763" s="114">
        <v>0.00036261359660243913</v>
      </c>
      <c r="D763" s="112" t="s">
        <v>3314</v>
      </c>
      <c r="E763" s="112" t="b">
        <v>0</v>
      </c>
      <c r="F763" s="112" t="b">
        <v>1</v>
      </c>
      <c r="G763" s="112" t="b">
        <v>0</v>
      </c>
    </row>
    <row r="764" spans="1:7" ht="15">
      <c r="A764" s="112" t="s">
        <v>2830</v>
      </c>
      <c r="B764" s="112">
        <v>2</v>
      </c>
      <c r="C764" s="114">
        <v>0.0004118981407517484</v>
      </c>
      <c r="D764" s="112" t="s">
        <v>3314</v>
      </c>
      <c r="E764" s="112" t="b">
        <v>0</v>
      </c>
      <c r="F764" s="112" t="b">
        <v>0</v>
      </c>
      <c r="G764" s="112" t="b">
        <v>0</v>
      </c>
    </row>
    <row r="765" spans="1:7" ht="15">
      <c r="A765" s="112" t="s">
        <v>2831</v>
      </c>
      <c r="B765" s="112">
        <v>2</v>
      </c>
      <c r="C765" s="114">
        <v>0.00036261359660243913</v>
      </c>
      <c r="D765" s="112" t="s">
        <v>3314</v>
      </c>
      <c r="E765" s="112" t="b">
        <v>0</v>
      </c>
      <c r="F765" s="112" t="b">
        <v>0</v>
      </c>
      <c r="G765" s="112" t="b">
        <v>0</v>
      </c>
    </row>
    <row r="766" spans="1:7" ht="15">
      <c r="A766" s="112" t="s">
        <v>2832</v>
      </c>
      <c r="B766" s="112">
        <v>2</v>
      </c>
      <c r="C766" s="114">
        <v>0.0004118981407517484</v>
      </c>
      <c r="D766" s="112" t="s">
        <v>3314</v>
      </c>
      <c r="E766" s="112" t="b">
        <v>0</v>
      </c>
      <c r="F766" s="112" t="b">
        <v>0</v>
      </c>
      <c r="G766" s="112" t="b">
        <v>0</v>
      </c>
    </row>
    <row r="767" spans="1:7" ht="15">
      <c r="A767" s="112" t="s">
        <v>2833</v>
      </c>
      <c r="B767" s="112">
        <v>2</v>
      </c>
      <c r="C767" s="114">
        <v>0.00036261359660243913</v>
      </c>
      <c r="D767" s="112" t="s">
        <v>3314</v>
      </c>
      <c r="E767" s="112" t="b">
        <v>0</v>
      </c>
      <c r="F767" s="112" t="b">
        <v>1</v>
      </c>
      <c r="G767" s="112" t="b">
        <v>0</v>
      </c>
    </row>
    <row r="768" spans="1:7" ht="15">
      <c r="A768" s="112" t="s">
        <v>2834</v>
      </c>
      <c r="B768" s="112">
        <v>2</v>
      </c>
      <c r="C768" s="114">
        <v>0.00036261359660243913</v>
      </c>
      <c r="D768" s="112" t="s">
        <v>3314</v>
      </c>
      <c r="E768" s="112" t="b">
        <v>0</v>
      </c>
      <c r="F768" s="112" t="b">
        <v>1</v>
      </c>
      <c r="G768" s="112" t="b">
        <v>0</v>
      </c>
    </row>
    <row r="769" spans="1:7" ht="15">
      <c r="A769" s="112" t="s">
        <v>2835</v>
      </c>
      <c r="B769" s="112">
        <v>2</v>
      </c>
      <c r="C769" s="114">
        <v>0.00036261359660243913</v>
      </c>
      <c r="D769" s="112" t="s">
        <v>3314</v>
      </c>
      <c r="E769" s="112" t="b">
        <v>0</v>
      </c>
      <c r="F769" s="112" t="b">
        <v>0</v>
      </c>
      <c r="G769" s="112" t="b">
        <v>0</v>
      </c>
    </row>
    <row r="770" spans="1:7" ht="15">
      <c r="A770" s="112" t="s">
        <v>2836</v>
      </c>
      <c r="B770" s="112">
        <v>2</v>
      </c>
      <c r="C770" s="114">
        <v>0.00036261359660243913</v>
      </c>
      <c r="D770" s="112" t="s">
        <v>3314</v>
      </c>
      <c r="E770" s="112" t="b">
        <v>0</v>
      </c>
      <c r="F770" s="112" t="b">
        <v>0</v>
      </c>
      <c r="G770" s="112" t="b">
        <v>0</v>
      </c>
    </row>
    <row r="771" spans="1:7" ht="15">
      <c r="A771" s="112" t="s">
        <v>2837</v>
      </c>
      <c r="B771" s="112">
        <v>2</v>
      </c>
      <c r="C771" s="114">
        <v>0.0004118981407517484</v>
      </c>
      <c r="D771" s="112" t="s">
        <v>3314</v>
      </c>
      <c r="E771" s="112" t="b">
        <v>0</v>
      </c>
      <c r="F771" s="112" t="b">
        <v>0</v>
      </c>
      <c r="G771" s="112" t="b">
        <v>0</v>
      </c>
    </row>
    <row r="772" spans="1:7" ht="15">
      <c r="A772" s="112" t="s">
        <v>2838</v>
      </c>
      <c r="B772" s="112">
        <v>2</v>
      </c>
      <c r="C772" s="114">
        <v>0.00036261359660243913</v>
      </c>
      <c r="D772" s="112" t="s">
        <v>3314</v>
      </c>
      <c r="E772" s="112" t="b">
        <v>0</v>
      </c>
      <c r="F772" s="112" t="b">
        <v>1</v>
      </c>
      <c r="G772" s="112" t="b">
        <v>0</v>
      </c>
    </row>
    <row r="773" spans="1:7" ht="15">
      <c r="A773" s="112" t="s">
        <v>2839</v>
      </c>
      <c r="B773" s="112">
        <v>2</v>
      </c>
      <c r="C773" s="114">
        <v>0.00036261359660243913</v>
      </c>
      <c r="D773" s="112" t="s">
        <v>3314</v>
      </c>
      <c r="E773" s="112" t="b">
        <v>0</v>
      </c>
      <c r="F773" s="112" t="b">
        <v>0</v>
      </c>
      <c r="G773" s="112" t="b">
        <v>0</v>
      </c>
    </row>
    <row r="774" spans="1:7" ht="15">
      <c r="A774" s="112" t="s">
        <v>2840</v>
      </c>
      <c r="B774" s="112">
        <v>2</v>
      </c>
      <c r="C774" s="114">
        <v>0.0004118981407517484</v>
      </c>
      <c r="D774" s="112" t="s">
        <v>3314</v>
      </c>
      <c r="E774" s="112" t="b">
        <v>0</v>
      </c>
      <c r="F774" s="112" t="b">
        <v>0</v>
      </c>
      <c r="G774" s="112" t="b">
        <v>0</v>
      </c>
    </row>
    <row r="775" spans="1:7" ht="15">
      <c r="A775" s="112" t="s">
        <v>2841</v>
      </c>
      <c r="B775" s="112">
        <v>2</v>
      </c>
      <c r="C775" s="114">
        <v>0.0004118981407517484</v>
      </c>
      <c r="D775" s="112" t="s">
        <v>3314</v>
      </c>
      <c r="E775" s="112" t="b">
        <v>0</v>
      </c>
      <c r="F775" s="112" t="b">
        <v>0</v>
      </c>
      <c r="G775" s="112" t="b">
        <v>0</v>
      </c>
    </row>
    <row r="776" spans="1:7" ht="15">
      <c r="A776" s="112" t="s">
        <v>2842</v>
      </c>
      <c r="B776" s="112">
        <v>2</v>
      </c>
      <c r="C776" s="114">
        <v>0.0004118981407517484</v>
      </c>
      <c r="D776" s="112" t="s">
        <v>3314</v>
      </c>
      <c r="E776" s="112" t="b">
        <v>0</v>
      </c>
      <c r="F776" s="112" t="b">
        <v>1</v>
      </c>
      <c r="G776" s="112" t="b">
        <v>0</v>
      </c>
    </row>
    <row r="777" spans="1:7" ht="15">
      <c r="A777" s="112" t="s">
        <v>2843</v>
      </c>
      <c r="B777" s="112">
        <v>2</v>
      </c>
      <c r="C777" s="114">
        <v>0.00036261359660243913</v>
      </c>
      <c r="D777" s="112" t="s">
        <v>3314</v>
      </c>
      <c r="E777" s="112" t="b">
        <v>0</v>
      </c>
      <c r="F777" s="112" t="b">
        <v>0</v>
      </c>
      <c r="G777" s="112" t="b">
        <v>0</v>
      </c>
    </row>
    <row r="778" spans="1:7" ht="15">
      <c r="A778" s="112" t="s">
        <v>2844</v>
      </c>
      <c r="B778" s="112">
        <v>2</v>
      </c>
      <c r="C778" s="114">
        <v>0.00036261359660243913</v>
      </c>
      <c r="D778" s="112" t="s">
        <v>3314</v>
      </c>
      <c r="E778" s="112" t="b">
        <v>0</v>
      </c>
      <c r="F778" s="112" t="b">
        <v>0</v>
      </c>
      <c r="G778" s="112" t="b">
        <v>0</v>
      </c>
    </row>
    <row r="779" spans="1:7" ht="15">
      <c r="A779" s="112" t="s">
        <v>2845</v>
      </c>
      <c r="B779" s="112">
        <v>2</v>
      </c>
      <c r="C779" s="114">
        <v>0.00036261359660243913</v>
      </c>
      <c r="D779" s="112" t="s">
        <v>3314</v>
      </c>
      <c r="E779" s="112" t="b">
        <v>0</v>
      </c>
      <c r="F779" s="112" t="b">
        <v>0</v>
      </c>
      <c r="G779" s="112" t="b">
        <v>0</v>
      </c>
    </row>
    <row r="780" spans="1:7" ht="15">
      <c r="A780" s="112" t="s">
        <v>2846</v>
      </c>
      <c r="B780" s="112">
        <v>2</v>
      </c>
      <c r="C780" s="114">
        <v>0.00036261359660243913</v>
      </c>
      <c r="D780" s="112" t="s">
        <v>3314</v>
      </c>
      <c r="E780" s="112" t="b">
        <v>0</v>
      </c>
      <c r="F780" s="112" t="b">
        <v>0</v>
      </c>
      <c r="G780" s="112" t="b">
        <v>0</v>
      </c>
    </row>
    <row r="781" spans="1:7" ht="15">
      <c r="A781" s="112" t="s">
        <v>2847</v>
      </c>
      <c r="B781" s="112">
        <v>2</v>
      </c>
      <c r="C781" s="114">
        <v>0.00036261359660243913</v>
      </c>
      <c r="D781" s="112" t="s">
        <v>3314</v>
      </c>
      <c r="E781" s="112" t="b">
        <v>0</v>
      </c>
      <c r="F781" s="112" t="b">
        <v>0</v>
      </c>
      <c r="G781" s="112" t="b">
        <v>0</v>
      </c>
    </row>
    <row r="782" spans="1:7" ht="15">
      <c r="A782" s="112" t="s">
        <v>2848</v>
      </c>
      <c r="B782" s="112">
        <v>2</v>
      </c>
      <c r="C782" s="114">
        <v>0.00036261359660243913</v>
      </c>
      <c r="D782" s="112" t="s">
        <v>3314</v>
      </c>
      <c r="E782" s="112" t="b">
        <v>0</v>
      </c>
      <c r="F782" s="112" t="b">
        <v>0</v>
      </c>
      <c r="G782" s="112" t="b">
        <v>0</v>
      </c>
    </row>
    <row r="783" spans="1:7" ht="15">
      <c r="A783" s="112" t="s">
        <v>2849</v>
      </c>
      <c r="B783" s="112">
        <v>2</v>
      </c>
      <c r="C783" s="114">
        <v>0.00036261359660243913</v>
      </c>
      <c r="D783" s="112" t="s">
        <v>3314</v>
      </c>
      <c r="E783" s="112" t="b">
        <v>0</v>
      </c>
      <c r="F783" s="112" t="b">
        <v>0</v>
      </c>
      <c r="G783" s="112" t="b">
        <v>0</v>
      </c>
    </row>
    <row r="784" spans="1:7" ht="15">
      <c r="A784" s="112" t="s">
        <v>2850</v>
      </c>
      <c r="B784" s="112">
        <v>2</v>
      </c>
      <c r="C784" s="114">
        <v>0.0004118981407517484</v>
      </c>
      <c r="D784" s="112" t="s">
        <v>3314</v>
      </c>
      <c r="E784" s="112" t="b">
        <v>0</v>
      </c>
      <c r="F784" s="112" t="b">
        <v>0</v>
      </c>
      <c r="G784" s="112" t="b">
        <v>0</v>
      </c>
    </row>
    <row r="785" spans="1:7" ht="15">
      <c r="A785" s="112" t="s">
        <v>2851</v>
      </c>
      <c r="B785" s="112">
        <v>2</v>
      </c>
      <c r="C785" s="114">
        <v>0.00036261359660243913</v>
      </c>
      <c r="D785" s="112" t="s">
        <v>3314</v>
      </c>
      <c r="E785" s="112" t="b">
        <v>0</v>
      </c>
      <c r="F785" s="112" t="b">
        <v>0</v>
      </c>
      <c r="G785" s="112" t="b">
        <v>0</v>
      </c>
    </row>
    <row r="786" spans="1:7" ht="15">
      <c r="A786" s="112" t="s">
        <v>2852</v>
      </c>
      <c r="B786" s="112">
        <v>2</v>
      </c>
      <c r="C786" s="114">
        <v>0.00036261359660243913</v>
      </c>
      <c r="D786" s="112" t="s">
        <v>3314</v>
      </c>
      <c r="E786" s="112" t="b">
        <v>0</v>
      </c>
      <c r="F786" s="112" t="b">
        <v>0</v>
      </c>
      <c r="G786" s="112" t="b">
        <v>0</v>
      </c>
    </row>
    <row r="787" spans="1:7" ht="15">
      <c r="A787" s="112" t="s">
        <v>2853</v>
      </c>
      <c r="B787" s="112">
        <v>2</v>
      </c>
      <c r="C787" s="114">
        <v>0.00036261359660243913</v>
      </c>
      <c r="D787" s="112" t="s">
        <v>3314</v>
      </c>
      <c r="E787" s="112" t="b">
        <v>0</v>
      </c>
      <c r="F787" s="112" t="b">
        <v>0</v>
      </c>
      <c r="G787" s="112" t="b">
        <v>0</v>
      </c>
    </row>
    <row r="788" spans="1:7" ht="15">
      <c r="A788" s="112" t="s">
        <v>2854</v>
      </c>
      <c r="B788" s="112">
        <v>2</v>
      </c>
      <c r="C788" s="114">
        <v>0.00036261359660243913</v>
      </c>
      <c r="D788" s="112" t="s">
        <v>3314</v>
      </c>
      <c r="E788" s="112" t="b">
        <v>0</v>
      </c>
      <c r="F788" s="112" t="b">
        <v>0</v>
      </c>
      <c r="G788" s="112" t="b">
        <v>0</v>
      </c>
    </row>
    <row r="789" spans="1:7" ht="15">
      <c r="A789" s="112" t="s">
        <v>2855</v>
      </c>
      <c r="B789" s="112">
        <v>2</v>
      </c>
      <c r="C789" s="114">
        <v>0.0004118981407517484</v>
      </c>
      <c r="D789" s="112" t="s">
        <v>3314</v>
      </c>
      <c r="E789" s="112" t="b">
        <v>0</v>
      </c>
      <c r="F789" s="112" t="b">
        <v>0</v>
      </c>
      <c r="G789" s="112" t="b">
        <v>0</v>
      </c>
    </row>
    <row r="790" spans="1:7" ht="15">
      <c r="A790" s="112" t="s">
        <v>2856</v>
      </c>
      <c r="B790" s="112">
        <v>2</v>
      </c>
      <c r="C790" s="114">
        <v>0.0004118981407517484</v>
      </c>
      <c r="D790" s="112" t="s">
        <v>3314</v>
      </c>
      <c r="E790" s="112" t="b">
        <v>0</v>
      </c>
      <c r="F790" s="112" t="b">
        <v>1</v>
      </c>
      <c r="G790" s="112" t="b">
        <v>0</v>
      </c>
    </row>
    <row r="791" spans="1:7" ht="15">
      <c r="A791" s="112" t="s">
        <v>2857</v>
      </c>
      <c r="B791" s="112">
        <v>2</v>
      </c>
      <c r="C791" s="114">
        <v>0.00036261359660243913</v>
      </c>
      <c r="D791" s="112" t="s">
        <v>3314</v>
      </c>
      <c r="E791" s="112" t="b">
        <v>0</v>
      </c>
      <c r="F791" s="112" t="b">
        <v>0</v>
      </c>
      <c r="G791" s="112" t="b">
        <v>0</v>
      </c>
    </row>
    <row r="792" spans="1:7" ht="15">
      <c r="A792" s="112" t="s">
        <v>2858</v>
      </c>
      <c r="B792" s="112">
        <v>2</v>
      </c>
      <c r="C792" s="114">
        <v>0.0004118981407517484</v>
      </c>
      <c r="D792" s="112" t="s">
        <v>3314</v>
      </c>
      <c r="E792" s="112" t="b">
        <v>0</v>
      </c>
      <c r="F792" s="112" t="b">
        <v>0</v>
      </c>
      <c r="G792" s="112" t="b">
        <v>0</v>
      </c>
    </row>
    <row r="793" spans="1:7" ht="15">
      <c r="A793" s="112" t="s">
        <v>2859</v>
      </c>
      <c r="B793" s="112">
        <v>2</v>
      </c>
      <c r="C793" s="114">
        <v>0.00036261359660243913</v>
      </c>
      <c r="D793" s="112" t="s">
        <v>3314</v>
      </c>
      <c r="E793" s="112" t="b">
        <v>0</v>
      </c>
      <c r="F793" s="112" t="b">
        <v>0</v>
      </c>
      <c r="G793" s="112" t="b">
        <v>0</v>
      </c>
    </row>
    <row r="794" spans="1:7" ht="15">
      <c r="A794" s="112" t="s">
        <v>2860</v>
      </c>
      <c r="B794" s="112">
        <v>2</v>
      </c>
      <c r="C794" s="114">
        <v>0.00036261359660243913</v>
      </c>
      <c r="D794" s="112" t="s">
        <v>3314</v>
      </c>
      <c r="E794" s="112" t="b">
        <v>0</v>
      </c>
      <c r="F794" s="112" t="b">
        <v>0</v>
      </c>
      <c r="G794" s="112" t="b">
        <v>0</v>
      </c>
    </row>
    <row r="795" spans="1:7" ht="15">
      <c r="A795" s="112" t="s">
        <v>2861</v>
      </c>
      <c r="B795" s="112">
        <v>2</v>
      </c>
      <c r="C795" s="114">
        <v>0.00036261359660243913</v>
      </c>
      <c r="D795" s="112" t="s">
        <v>3314</v>
      </c>
      <c r="E795" s="112" t="b">
        <v>0</v>
      </c>
      <c r="F795" s="112" t="b">
        <v>0</v>
      </c>
      <c r="G795" s="112" t="b">
        <v>0</v>
      </c>
    </row>
    <row r="796" spans="1:7" ht="15">
      <c r="A796" s="112" t="s">
        <v>2862</v>
      </c>
      <c r="B796" s="112">
        <v>2</v>
      </c>
      <c r="C796" s="114">
        <v>0.00036261359660243913</v>
      </c>
      <c r="D796" s="112" t="s">
        <v>3314</v>
      </c>
      <c r="E796" s="112" t="b">
        <v>0</v>
      </c>
      <c r="F796" s="112" t="b">
        <v>1</v>
      </c>
      <c r="G796" s="112" t="b">
        <v>0</v>
      </c>
    </row>
    <row r="797" spans="1:7" ht="15">
      <c r="A797" s="112" t="s">
        <v>2863</v>
      </c>
      <c r="B797" s="112">
        <v>2</v>
      </c>
      <c r="C797" s="114">
        <v>0.00036261359660243913</v>
      </c>
      <c r="D797" s="112" t="s">
        <v>3314</v>
      </c>
      <c r="E797" s="112" t="b">
        <v>0</v>
      </c>
      <c r="F797" s="112" t="b">
        <v>0</v>
      </c>
      <c r="G797" s="112" t="b">
        <v>0</v>
      </c>
    </row>
    <row r="798" spans="1:7" ht="15">
      <c r="A798" s="112" t="s">
        <v>2864</v>
      </c>
      <c r="B798" s="112">
        <v>2</v>
      </c>
      <c r="C798" s="114">
        <v>0.00036261359660243913</v>
      </c>
      <c r="D798" s="112" t="s">
        <v>3314</v>
      </c>
      <c r="E798" s="112" t="b">
        <v>0</v>
      </c>
      <c r="F798" s="112" t="b">
        <v>0</v>
      </c>
      <c r="G798" s="112" t="b">
        <v>0</v>
      </c>
    </row>
    <row r="799" spans="1:7" ht="15">
      <c r="A799" s="112" t="s">
        <v>2865</v>
      </c>
      <c r="B799" s="112">
        <v>2</v>
      </c>
      <c r="C799" s="114">
        <v>0.00036261359660243913</v>
      </c>
      <c r="D799" s="112" t="s">
        <v>3314</v>
      </c>
      <c r="E799" s="112" t="b">
        <v>0</v>
      </c>
      <c r="F799" s="112" t="b">
        <v>0</v>
      </c>
      <c r="G799" s="112" t="b">
        <v>0</v>
      </c>
    </row>
    <row r="800" spans="1:7" ht="15">
      <c r="A800" s="112" t="s">
        <v>2866</v>
      </c>
      <c r="B800" s="112">
        <v>2</v>
      </c>
      <c r="C800" s="114">
        <v>0.0004118981407517484</v>
      </c>
      <c r="D800" s="112" t="s">
        <v>3314</v>
      </c>
      <c r="E800" s="112" t="b">
        <v>0</v>
      </c>
      <c r="F800" s="112" t="b">
        <v>0</v>
      </c>
      <c r="G800" s="112" t="b">
        <v>0</v>
      </c>
    </row>
    <row r="801" spans="1:7" ht="15">
      <c r="A801" s="112" t="s">
        <v>2867</v>
      </c>
      <c r="B801" s="112">
        <v>2</v>
      </c>
      <c r="C801" s="114">
        <v>0.00036261359660243913</v>
      </c>
      <c r="D801" s="112" t="s">
        <v>3314</v>
      </c>
      <c r="E801" s="112" t="b">
        <v>0</v>
      </c>
      <c r="F801" s="112" t="b">
        <v>1</v>
      </c>
      <c r="G801" s="112" t="b">
        <v>0</v>
      </c>
    </row>
    <row r="802" spans="1:7" ht="15">
      <c r="A802" s="112" t="s">
        <v>2868</v>
      </c>
      <c r="B802" s="112">
        <v>2</v>
      </c>
      <c r="C802" s="114">
        <v>0.00036261359660243913</v>
      </c>
      <c r="D802" s="112" t="s">
        <v>3314</v>
      </c>
      <c r="E802" s="112" t="b">
        <v>0</v>
      </c>
      <c r="F802" s="112" t="b">
        <v>0</v>
      </c>
      <c r="G802" s="112" t="b">
        <v>0</v>
      </c>
    </row>
    <row r="803" spans="1:7" ht="15">
      <c r="A803" s="112" t="s">
        <v>2869</v>
      </c>
      <c r="B803" s="112">
        <v>2</v>
      </c>
      <c r="C803" s="114">
        <v>0.0004118981407517484</v>
      </c>
      <c r="D803" s="112" t="s">
        <v>3314</v>
      </c>
      <c r="E803" s="112" t="b">
        <v>0</v>
      </c>
      <c r="F803" s="112" t="b">
        <v>0</v>
      </c>
      <c r="G803" s="112" t="b">
        <v>0</v>
      </c>
    </row>
    <row r="804" spans="1:7" ht="15">
      <c r="A804" s="112" t="s">
        <v>2870</v>
      </c>
      <c r="B804" s="112">
        <v>2</v>
      </c>
      <c r="C804" s="114">
        <v>0.00036261359660243913</v>
      </c>
      <c r="D804" s="112" t="s">
        <v>3314</v>
      </c>
      <c r="E804" s="112" t="b">
        <v>0</v>
      </c>
      <c r="F804" s="112" t="b">
        <v>1</v>
      </c>
      <c r="G804" s="112" t="b">
        <v>0</v>
      </c>
    </row>
    <row r="805" spans="1:7" ht="15">
      <c r="A805" s="112" t="s">
        <v>2871</v>
      </c>
      <c r="B805" s="112">
        <v>2</v>
      </c>
      <c r="C805" s="114">
        <v>0.00036261359660243913</v>
      </c>
      <c r="D805" s="112" t="s">
        <v>3314</v>
      </c>
      <c r="E805" s="112" t="b">
        <v>0</v>
      </c>
      <c r="F805" s="112" t="b">
        <v>0</v>
      </c>
      <c r="G805" s="112" t="b">
        <v>0</v>
      </c>
    </row>
    <row r="806" spans="1:7" ht="15">
      <c r="A806" s="112" t="s">
        <v>2872</v>
      </c>
      <c r="B806" s="112">
        <v>2</v>
      </c>
      <c r="C806" s="114">
        <v>0.00036261359660243913</v>
      </c>
      <c r="D806" s="112" t="s">
        <v>3314</v>
      </c>
      <c r="E806" s="112" t="b">
        <v>0</v>
      </c>
      <c r="F806" s="112" t="b">
        <v>0</v>
      </c>
      <c r="G806" s="112" t="b">
        <v>0</v>
      </c>
    </row>
    <row r="807" spans="1:7" ht="15">
      <c r="A807" s="112" t="s">
        <v>2873</v>
      </c>
      <c r="B807" s="112">
        <v>2</v>
      </c>
      <c r="C807" s="114">
        <v>0.00036261359660243913</v>
      </c>
      <c r="D807" s="112" t="s">
        <v>3314</v>
      </c>
      <c r="E807" s="112" t="b">
        <v>0</v>
      </c>
      <c r="F807" s="112" t="b">
        <v>0</v>
      </c>
      <c r="G807" s="112" t="b">
        <v>0</v>
      </c>
    </row>
    <row r="808" spans="1:7" ht="15">
      <c r="A808" s="112" t="s">
        <v>2874</v>
      </c>
      <c r="B808" s="112">
        <v>2</v>
      </c>
      <c r="C808" s="114">
        <v>0.00036261359660243913</v>
      </c>
      <c r="D808" s="112" t="s">
        <v>3314</v>
      </c>
      <c r="E808" s="112" t="b">
        <v>0</v>
      </c>
      <c r="F808" s="112" t="b">
        <v>0</v>
      </c>
      <c r="G808" s="112" t="b">
        <v>0</v>
      </c>
    </row>
    <row r="809" spans="1:7" ht="15">
      <c r="A809" s="112" t="s">
        <v>2875</v>
      </c>
      <c r="B809" s="112">
        <v>2</v>
      </c>
      <c r="C809" s="114">
        <v>0.0004118981407517484</v>
      </c>
      <c r="D809" s="112" t="s">
        <v>3314</v>
      </c>
      <c r="E809" s="112" t="b">
        <v>0</v>
      </c>
      <c r="F809" s="112" t="b">
        <v>0</v>
      </c>
      <c r="G809" s="112" t="b">
        <v>0</v>
      </c>
    </row>
    <row r="810" spans="1:7" ht="15">
      <c r="A810" s="112" t="s">
        <v>2876</v>
      </c>
      <c r="B810" s="112">
        <v>2</v>
      </c>
      <c r="C810" s="114">
        <v>0.00036261359660243913</v>
      </c>
      <c r="D810" s="112" t="s">
        <v>3314</v>
      </c>
      <c r="E810" s="112" t="b">
        <v>0</v>
      </c>
      <c r="F810" s="112" t="b">
        <v>0</v>
      </c>
      <c r="G810" s="112" t="b">
        <v>0</v>
      </c>
    </row>
    <row r="811" spans="1:7" ht="15">
      <c r="A811" s="112" t="s">
        <v>2877</v>
      </c>
      <c r="B811" s="112">
        <v>2</v>
      </c>
      <c r="C811" s="114">
        <v>0.00036261359660243913</v>
      </c>
      <c r="D811" s="112" t="s">
        <v>3314</v>
      </c>
      <c r="E811" s="112" t="b">
        <v>0</v>
      </c>
      <c r="F811" s="112" t="b">
        <v>0</v>
      </c>
      <c r="G811" s="112" t="b">
        <v>0</v>
      </c>
    </row>
    <row r="812" spans="1:7" ht="15">
      <c r="A812" s="112" t="s">
        <v>2878</v>
      </c>
      <c r="B812" s="112">
        <v>2</v>
      </c>
      <c r="C812" s="114">
        <v>0.0004118981407517484</v>
      </c>
      <c r="D812" s="112" t="s">
        <v>3314</v>
      </c>
      <c r="E812" s="112" t="b">
        <v>0</v>
      </c>
      <c r="F812" s="112" t="b">
        <v>0</v>
      </c>
      <c r="G812" s="112" t="b">
        <v>0</v>
      </c>
    </row>
    <row r="813" spans="1:7" ht="15">
      <c r="A813" s="112" t="s">
        <v>2879</v>
      </c>
      <c r="B813" s="112">
        <v>2</v>
      </c>
      <c r="C813" s="114">
        <v>0.00036261359660243913</v>
      </c>
      <c r="D813" s="112" t="s">
        <v>3314</v>
      </c>
      <c r="E813" s="112" t="b">
        <v>0</v>
      </c>
      <c r="F813" s="112" t="b">
        <v>0</v>
      </c>
      <c r="G813" s="112" t="b">
        <v>0</v>
      </c>
    </row>
    <row r="814" spans="1:7" ht="15">
      <c r="A814" s="112" t="s">
        <v>2880</v>
      </c>
      <c r="B814" s="112">
        <v>2</v>
      </c>
      <c r="C814" s="114">
        <v>0.00036261359660243913</v>
      </c>
      <c r="D814" s="112" t="s">
        <v>3314</v>
      </c>
      <c r="E814" s="112" t="b">
        <v>0</v>
      </c>
      <c r="F814" s="112" t="b">
        <v>0</v>
      </c>
      <c r="G814" s="112" t="b">
        <v>0</v>
      </c>
    </row>
    <row r="815" spans="1:7" ht="15">
      <c r="A815" s="112" t="s">
        <v>2881</v>
      </c>
      <c r="B815" s="112">
        <v>2</v>
      </c>
      <c r="C815" s="114">
        <v>0.00036261359660243913</v>
      </c>
      <c r="D815" s="112" t="s">
        <v>3314</v>
      </c>
      <c r="E815" s="112" t="b">
        <v>0</v>
      </c>
      <c r="F815" s="112" t="b">
        <v>0</v>
      </c>
      <c r="G815" s="112" t="b">
        <v>0</v>
      </c>
    </row>
    <row r="816" spans="1:7" ht="15">
      <c r="A816" s="112" t="s">
        <v>2882</v>
      </c>
      <c r="B816" s="112">
        <v>2</v>
      </c>
      <c r="C816" s="114">
        <v>0.0004118981407517484</v>
      </c>
      <c r="D816" s="112" t="s">
        <v>3314</v>
      </c>
      <c r="E816" s="112" t="b">
        <v>0</v>
      </c>
      <c r="F816" s="112" t="b">
        <v>0</v>
      </c>
      <c r="G816" s="112" t="b">
        <v>0</v>
      </c>
    </row>
    <row r="817" spans="1:7" ht="15">
      <c r="A817" s="112" t="s">
        <v>2883</v>
      </c>
      <c r="B817" s="112">
        <v>2</v>
      </c>
      <c r="C817" s="114">
        <v>0.0004118981407517484</v>
      </c>
      <c r="D817" s="112" t="s">
        <v>3314</v>
      </c>
      <c r="E817" s="112" t="b">
        <v>0</v>
      </c>
      <c r="F817" s="112" t="b">
        <v>0</v>
      </c>
      <c r="G817" s="112" t="b">
        <v>0</v>
      </c>
    </row>
    <row r="818" spans="1:7" ht="15">
      <c r="A818" s="112" t="s">
        <v>2884</v>
      </c>
      <c r="B818" s="112">
        <v>2</v>
      </c>
      <c r="C818" s="114">
        <v>0.00036261359660243913</v>
      </c>
      <c r="D818" s="112" t="s">
        <v>3314</v>
      </c>
      <c r="E818" s="112" t="b">
        <v>0</v>
      </c>
      <c r="F818" s="112" t="b">
        <v>0</v>
      </c>
      <c r="G818" s="112" t="b">
        <v>0</v>
      </c>
    </row>
    <row r="819" spans="1:7" ht="15">
      <c r="A819" s="112" t="s">
        <v>2885</v>
      </c>
      <c r="B819" s="112">
        <v>2</v>
      </c>
      <c r="C819" s="114">
        <v>0.00036261359660243913</v>
      </c>
      <c r="D819" s="112" t="s">
        <v>3314</v>
      </c>
      <c r="E819" s="112" t="b">
        <v>0</v>
      </c>
      <c r="F819" s="112" t="b">
        <v>0</v>
      </c>
      <c r="G819" s="112" t="b">
        <v>0</v>
      </c>
    </row>
    <row r="820" spans="1:7" ht="15">
      <c r="A820" s="112" t="s">
        <v>2886</v>
      </c>
      <c r="B820" s="112">
        <v>2</v>
      </c>
      <c r="C820" s="114">
        <v>0.0004118981407517484</v>
      </c>
      <c r="D820" s="112" t="s">
        <v>3314</v>
      </c>
      <c r="E820" s="112" t="b">
        <v>0</v>
      </c>
      <c r="F820" s="112" t="b">
        <v>0</v>
      </c>
      <c r="G820" s="112" t="b">
        <v>0</v>
      </c>
    </row>
    <row r="821" spans="1:7" ht="15">
      <c r="A821" s="112" t="s">
        <v>2887</v>
      </c>
      <c r="B821" s="112">
        <v>2</v>
      </c>
      <c r="C821" s="114">
        <v>0.00036261359660243913</v>
      </c>
      <c r="D821" s="112" t="s">
        <v>3314</v>
      </c>
      <c r="E821" s="112" t="b">
        <v>1</v>
      </c>
      <c r="F821" s="112" t="b">
        <v>0</v>
      </c>
      <c r="G821" s="112" t="b">
        <v>0</v>
      </c>
    </row>
    <row r="822" spans="1:7" ht="15">
      <c r="A822" s="112" t="s">
        <v>2888</v>
      </c>
      <c r="B822" s="112">
        <v>2</v>
      </c>
      <c r="C822" s="114">
        <v>0.00036261359660243913</v>
      </c>
      <c r="D822" s="112" t="s">
        <v>3314</v>
      </c>
      <c r="E822" s="112" t="b">
        <v>0</v>
      </c>
      <c r="F822" s="112" t="b">
        <v>0</v>
      </c>
      <c r="G822" s="112" t="b">
        <v>0</v>
      </c>
    </row>
    <row r="823" spans="1:7" ht="15">
      <c r="A823" s="112" t="s">
        <v>2889</v>
      </c>
      <c r="B823" s="112">
        <v>2</v>
      </c>
      <c r="C823" s="114">
        <v>0.00036261359660243913</v>
      </c>
      <c r="D823" s="112" t="s">
        <v>3314</v>
      </c>
      <c r="E823" s="112" t="b">
        <v>0</v>
      </c>
      <c r="F823" s="112" t="b">
        <v>0</v>
      </c>
      <c r="G823" s="112" t="b">
        <v>0</v>
      </c>
    </row>
    <row r="824" spans="1:7" ht="15">
      <c r="A824" s="112" t="s">
        <v>2890</v>
      </c>
      <c r="B824" s="112">
        <v>2</v>
      </c>
      <c r="C824" s="114">
        <v>0.00036261359660243913</v>
      </c>
      <c r="D824" s="112" t="s">
        <v>3314</v>
      </c>
      <c r="E824" s="112" t="b">
        <v>0</v>
      </c>
      <c r="F824" s="112" t="b">
        <v>0</v>
      </c>
      <c r="G824" s="112" t="b">
        <v>0</v>
      </c>
    </row>
    <row r="825" spans="1:7" ht="15">
      <c r="A825" s="112" t="s">
        <v>2891</v>
      </c>
      <c r="B825" s="112">
        <v>2</v>
      </c>
      <c r="C825" s="114">
        <v>0.00036261359660243913</v>
      </c>
      <c r="D825" s="112" t="s">
        <v>3314</v>
      </c>
      <c r="E825" s="112" t="b">
        <v>0</v>
      </c>
      <c r="F825" s="112" t="b">
        <v>0</v>
      </c>
      <c r="G825" s="112" t="b">
        <v>0</v>
      </c>
    </row>
    <row r="826" spans="1:7" ht="15">
      <c r="A826" s="112" t="s">
        <v>2892</v>
      </c>
      <c r="B826" s="112">
        <v>2</v>
      </c>
      <c r="C826" s="114">
        <v>0.00036261359660243913</v>
      </c>
      <c r="D826" s="112" t="s">
        <v>3314</v>
      </c>
      <c r="E826" s="112" t="b">
        <v>0</v>
      </c>
      <c r="F826" s="112" t="b">
        <v>0</v>
      </c>
      <c r="G826" s="112" t="b">
        <v>0</v>
      </c>
    </row>
    <row r="827" spans="1:7" ht="15">
      <c r="A827" s="112" t="s">
        <v>2893</v>
      </c>
      <c r="B827" s="112">
        <v>2</v>
      </c>
      <c r="C827" s="114">
        <v>0.00036261359660243913</v>
      </c>
      <c r="D827" s="112" t="s">
        <v>3314</v>
      </c>
      <c r="E827" s="112" t="b">
        <v>0</v>
      </c>
      <c r="F827" s="112" t="b">
        <v>1</v>
      </c>
      <c r="G827" s="112" t="b">
        <v>0</v>
      </c>
    </row>
    <row r="828" spans="1:7" ht="15">
      <c r="A828" s="112" t="s">
        <v>2894</v>
      </c>
      <c r="B828" s="112">
        <v>2</v>
      </c>
      <c r="C828" s="114">
        <v>0.00036261359660243913</v>
      </c>
      <c r="D828" s="112" t="s">
        <v>3314</v>
      </c>
      <c r="E828" s="112" t="b">
        <v>0</v>
      </c>
      <c r="F828" s="112" t="b">
        <v>1</v>
      </c>
      <c r="G828" s="112" t="b">
        <v>0</v>
      </c>
    </row>
    <row r="829" spans="1:7" ht="15">
      <c r="A829" s="112" t="s">
        <v>2895</v>
      </c>
      <c r="B829" s="112">
        <v>2</v>
      </c>
      <c r="C829" s="114">
        <v>0.0004118981407517484</v>
      </c>
      <c r="D829" s="112" t="s">
        <v>3314</v>
      </c>
      <c r="E829" s="112" t="b">
        <v>0</v>
      </c>
      <c r="F829" s="112" t="b">
        <v>0</v>
      </c>
      <c r="G829" s="112" t="b">
        <v>0</v>
      </c>
    </row>
    <row r="830" spans="1:7" ht="15">
      <c r="A830" s="112" t="s">
        <v>2896</v>
      </c>
      <c r="B830" s="112">
        <v>2</v>
      </c>
      <c r="C830" s="114">
        <v>0.00036261359660243913</v>
      </c>
      <c r="D830" s="112" t="s">
        <v>3314</v>
      </c>
      <c r="E830" s="112" t="b">
        <v>0</v>
      </c>
      <c r="F830" s="112" t="b">
        <v>1</v>
      </c>
      <c r="G830" s="112" t="b">
        <v>0</v>
      </c>
    </row>
    <row r="831" spans="1:7" ht="15">
      <c r="A831" s="112" t="s">
        <v>2897</v>
      </c>
      <c r="B831" s="112">
        <v>2</v>
      </c>
      <c r="C831" s="114">
        <v>0.00036261359660243913</v>
      </c>
      <c r="D831" s="112" t="s">
        <v>3314</v>
      </c>
      <c r="E831" s="112" t="b">
        <v>0</v>
      </c>
      <c r="F831" s="112" t="b">
        <v>0</v>
      </c>
      <c r="G831" s="112" t="b">
        <v>0</v>
      </c>
    </row>
    <row r="832" spans="1:7" ht="15">
      <c r="A832" s="112" t="s">
        <v>2898</v>
      </c>
      <c r="B832" s="112">
        <v>2</v>
      </c>
      <c r="C832" s="114">
        <v>0.00036261359660243913</v>
      </c>
      <c r="D832" s="112" t="s">
        <v>3314</v>
      </c>
      <c r="E832" s="112" t="b">
        <v>0</v>
      </c>
      <c r="F832" s="112" t="b">
        <v>0</v>
      </c>
      <c r="G832" s="112" t="b">
        <v>0</v>
      </c>
    </row>
    <row r="833" spans="1:7" ht="15">
      <c r="A833" s="112" t="s">
        <v>2899</v>
      </c>
      <c r="B833" s="112">
        <v>2</v>
      </c>
      <c r="C833" s="114">
        <v>0.00036261359660243913</v>
      </c>
      <c r="D833" s="112" t="s">
        <v>3314</v>
      </c>
      <c r="E833" s="112" t="b">
        <v>0</v>
      </c>
      <c r="F833" s="112" t="b">
        <v>1</v>
      </c>
      <c r="G833" s="112" t="b">
        <v>0</v>
      </c>
    </row>
    <row r="834" spans="1:7" ht="15">
      <c r="A834" s="112" t="s">
        <v>2900</v>
      </c>
      <c r="B834" s="112">
        <v>2</v>
      </c>
      <c r="C834" s="114">
        <v>0.00036261359660243913</v>
      </c>
      <c r="D834" s="112" t="s">
        <v>3314</v>
      </c>
      <c r="E834" s="112" t="b">
        <v>0</v>
      </c>
      <c r="F834" s="112" t="b">
        <v>0</v>
      </c>
      <c r="G834" s="112" t="b">
        <v>0</v>
      </c>
    </row>
    <row r="835" spans="1:7" ht="15">
      <c r="A835" s="112" t="s">
        <v>2901</v>
      </c>
      <c r="B835" s="112">
        <v>2</v>
      </c>
      <c r="C835" s="114">
        <v>0.00036261359660243913</v>
      </c>
      <c r="D835" s="112" t="s">
        <v>3314</v>
      </c>
      <c r="E835" s="112" t="b">
        <v>0</v>
      </c>
      <c r="F835" s="112" t="b">
        <v>1</v>
      </c>
      <c r="G835" s="112" t="b">
        <v>0</v>
      </c>
    </row>
    <row r="836" spans="1:7" ht="15">
      <c r="A836" s="112" t="s">
        <v>2902</v>
      </c>
      <c r="B836" s="112">
        <v>2</v>
      </c>
      <c r="C836" s="114">
        <v>0.00036261359660243913</v>
      </c>
      <c r="D836" s="112" t="s">
        <v>3314</v>
      </c>
      <c r="E836" s="112" t="b">
        <v>0</v>
      </c>
      <c r="F836" s="112" t="b">
        <v>0</v>
      </c>
      <c r="G836" s="112" t="b">
        <v>0</v>
      </c>
    </row>
    <row r="837" spans="1:7" ht="15">
      <c r="A837" s="112" t="s">
        <v>2903</v>
      </c>
      <c r="B837" s="112">
        <v>2</v>
      </c>
      <c r="C837" s="114">
        <v>0.00036261359660243913</v>
      </c>
      <c r="D837" s="112" t="s">
        <v>3314</v>
      </c>
      <c r="E837" s="112" t="b">
        <v>0</v>
      </c>
      <c r="F837" s="112" t="b">
        <v>0</v>
      </c>
      <c r="G837" s="112" t="b">
        <v>0</v>
      </c>
    </row>
    <row r="838" spans="1:7" ht="15">
      <c r="A838" s="112" t="s">
        <v>2904</v>
      </c>
      <c r="B838" s="112">
        <v>2</v>
      </c>
      <c r="C838" s="114">
        <v>0.00036261359660243913</v>
      </c>
      <c r="D838" s="112" t="s">
        <v>3314</v>
      </c>
      <c r="E838" s="112" t="b">
        <v>0</v>
      </c>
      <c r="F838" s="112" t="b">
        <v>0</v>
      </c>
      <c r="G838" s="112" t="b">
        <v>0</v>
      </c>
    </row>
    <row r="839" spans="1:7" ht="15">
      <c r="A839" s="112" t="s">
        <v>2905</v>
      </c>
      <c r="B839" s="112">
        <v>2</v>
      </c>
      <c r="C839" s="114">
        <v>0.00036261359660243913</v>
      </c>
      <c r="D839" s="112" t="s">
        <v>3314</v>
      </c>
      <c r="E839" s="112" t="b">
        <v>0</v>
      </c>
      <c r="F839" s="112" t="b">
        <v>0</v>
      </c>
      <c r="G839" s="112" t="b">
        <v>0</v>
      </c>
    </row>
    <row r="840" spans="1:7" ht="15">
      <c r="A840" s="112" t="s">
        <v>2906</v>
      </c>
      <c r="B840" s="112">
        <v>2</v>
      </c>
      <c r="C840" s="114">
        <v>0.00036261359660243913</v>
      </c>
      <c r="D840" s="112" t="s">
        <v>3314</v>
      </c>
      <c r="E840" s="112" t="b">
        <v>0</v>
      </c>
      <c r="F840" s="112" t="b">
        <v>1</v>
      </c>
      <c r="G840" s="112" t="b">
        <v>0</v>
      </c>
    </row>
    <row r="841" spans="1:7" ht="15">
      <c r="A841" s="112" t="s">
        <v>2907</v>
      </c>
      <c r="B841" s="112">
        <v>2</v>
      </c>
      <c r="C841" s="114">
        <v>0.00036261359660243913</v>
      </c>
      <c r="D841" s="112" t="s">
        <v>3314</v>
      </c>
      <c r="E841" s="112" t="b">
        <v>0</v>
      </c>
      <c r="F841" s="112" t="b">
        <v>0</v>
      </c>
      <c r="G841" s="112" t="b">
        <v>0</v>
      </c>
    </row>
    <row r="842" spans="1:7" ht="15">
      <c r="A842" s="112" t="s">
        <v>2908</v>
      </c>
      <c r="B842" s="112">
        <v>2</v>
      </c>
      <c r="C842" s="114">
        <v>0.00036261359660243913</v>
      </c>
      <c r="D842" s="112" t="s">
        <v>3314</v>
      </c>
      <c r="E842" s="112" t="b">
        <v>0</v>
      </c>
      <c r="F842" s="112" t="b">
        <v>0</v>
      </c>
      <c r="G842" s="112" t="b">
        <v>0</v>
      </c>
    </row>
    <row r="843" spans="1:7" ht="15">
      <c r="A843" s="112" t="s">
        <v>2909</v>
      </c>
      <c r="B843" s="112">
        <v>2</v>
      </c>
      <c r="C843" s="114">
        <v>0.00036261359660243913</v>
      </c>
      <c r="D843" s="112" t="s">
        <v>3314</v>
      </c>
      <c r="E843" s="112" t="b">
        <v>1</v>
      </c>
      <c r="F843" s="112" t="b">
        <v>0</v>
      </c>
      <c r="G843" s="112" t="b">
        <v>0</v>
      </c>
    </row>
    <row r="844" spans="1:7" ht="15">
      <c r="A844" s="112" t="s">
        <v>2910</v>
      </c>
      <c r="B844" s="112">
        <v>2</v>
      </c>
      <c r="C844" s="114">
        <v>0.00036261359660243913</v>
      </c>
      <c r="D844" s="112" t="s">
        <v>3314</v>
      </c>
      <c r="E844" s="112" t="b">
        <v>1</v>
      </c>
      <c r="F844" s="112" t="b">
        <v>0</v>
      </c>
      <c r="G844" s="112" t="b">
        <v>0</v>
      </c>
    </row>
    <row r="845" spans="1:7" ht="15">
      <c r="A845" s="112" t="s">
        <v>2911</v>
      </c>
      <c r="B845" s="112">
        <v>2</v>
      </c>
      <c r="C845" s="114">
        <v>0.00036261359660243913</v>
      </c>
      <c r="D845" s="112" t="s">
        <v>3314</v>
      </c>
      <c r="E845" s="112" t="b">
        <v>0</v>
      </c>
      <c r="F845" s="112" t="b">
        <v>0</v>
      </c>
      <c r="G845" s="112" t="b">
        <v>0</v>
      </c>
    </row>
    <row r="846" spans="1:7" ht="15">
      <c r="A846" s="112" t="s">
        <v>2912</v>
      </c>
      <c r="B846" s="112">
        <v>2</v>
      </c>
      <c r="C846" s="114">
        <v>0.00036261359660243913</v>
      </c>
      <c r="D846" s="112" t="s">
        <v>3314</v>
      </c>
      <c r="E846" s="112" t="b">
        <v>0</v>
      </c>
      <c r="F846" s="112" t="b">
        <v>0</v>
      </c>
      <c r="G846" s="112" t="b">
        <v>0</v>
      </c>
    </row>
    <row r="847" spans="1:7" ht="15">
      <c r="A847" s="112" t="s">
        <v>2913</v>
      </c>
      <c r="B847" s="112">
        <v>2</v>
      </c>
      <c r="C847" s="114">
        <v>0.00036261359660243913</v>
      </c>
      <c r="D847" s="112" t="s">
        <v>3314</v>
      </c>
      <c r="E847" s="112" t="b">
        <v>0</v>
      </c>
      <c r="F847" s="112" t="b">
        <v>1</v>
      </c>
      <c r="G847" s="112" t="b">
        <v>0</v>
      </c>
    </row>
    <row r="848" spans="1:7" ht="15">
      <c r="A848" s="112" t="s">
        <v>2914</v>
      </c>
      <c r="B848" s="112">
        <v>2</v>
      </c>
      <c r="C848" s="114">
        <v>0.00036261359660243913</v>
      </c>
      <c r="D848" s="112" t="s">
        <v>3314</v>
      </c>
      <c r="E848" s="112" t="b">
        <v>0</v>
      </c>
      <c r="F848" s="112" t="b">
        <v>0</v>
      </c>
      <c r="G848" s="112" t="b">
        <v>0</v>
      </c>
    </row>
    <row r="849" spans="1:7" ht="15">
      <c r="A849" s="112" t="s">
        <v>2915</v>
      </c>
      <c r="B849" s="112">
        <v>2</v>
      </c>
      <c r="C849" s="114">
        <v>0.00036261359660243913</v>
      </c>
      <c r="D849" s="112" t="s">
        <v>3314</v>
      </c>
      <c r="E849" s="112" t="b">
        <v>0</v>
      </c>
      <c r="F849" s="112" t="b">
        <v>0</v>
      </c>
      <c r="G849" s="112" t="b">
        <v>0</v>
      </c>
    </row>
    <row r="850" spans="1:7" ht="15">
      <c r="A850" s="112" t="s">
        <v>2916</v>
      </c>
      <c r="B850" s="112">
        <v>2</v>
      </c>
      <c r="C850" s="114">
        <v>0.00036261359660243913</v>
      </c>
      <c r="D850" s="112" t="s">
        <v>3314</v>
      </c>
      <c r="E850" s="112" t="b">
        <v>0</v>
      </c>
      <c r="F850" s="112" t="b">
        <v>0</v>
      </c>
      <c r="G850" s="112" t="b">
        <v>0</v>
      </c>
    </row>
    <row r="851" spans="1:7" ht="15">
      <c r="A851" s="112" t="s">
        <v>2917</v>
      </c>
      <c r="B851" s="112">
        <v>2</v>
      </c>
      <c r="C851" s="114">
        <v>0.00036261359660243913</v>
      </c>
      <c r="D851" s="112" t="s">
        <v>3314</v>
      </c>
      <c r="E851" s="112" t="b">
        <v>0</v>
      </c>
      <c r="F851" s="112" t="b">
        <v>0</v>
      </c>
      <c r="G851" s="112" t="b">
        <v>0</v>
      </c>
    </row>
    <row r="852" spans="1:7" ht="15">
      <c r="A852" s="112" t="s">
        <v>2918</v>
      </c>
      <c r="B852" s="112">
        <v>2</v>
      </c>
      <c r="C852" s="114">
        <v>0.00036261359660243913</v>
      </c>
      <c r="D852" s="112" t="s">
        <v>3314</v>
      </c>
      <c r="E852" s="112" t="b">
        <v>0</v>
      </c>
      <c r="F852" s="112" t="b">
        <v>0</v>
      </c>
      <c r="G852" s="112" t="b">
        <v>0</v>
      </c>
    </row>
    <row r="853" spans="1:7" ht="15">
      <c r="A853" s="112" t="s">
        <v>2919</v>
      </c>
      <c r="B853" s="112">
        <v>2</v>
      </c>
      <c r="C853" s="114">
        <v>0.00036261359660243913</v>
      </c>
      <c r="D853" s="112" t="s">
        <v>3314</v>
      </c>
      <c r="E853" s="112" t="b">
        <v>0</v>
      </c>
      <c r="F853" s="112" t="b">
        <v>0</v>
      </c>
      <c r="G853" s="112" t="b">
        <v>0</v>
      </c>
    </row>
    <row r="854" spans="1:7" ht="15">
      <c r="A854" s="112" t="s">
        <v>2920</v>
      </c>
      <c r="B854" s="112">
        <v>2</v>
      </c>
      <c r="C854" s="114">
        <v>0.00036261359660243913</v>
      </c>
      <c r="D854" s="112" t="s">
        <v>3314</v>
      </c>
      <c r="E854" s="112" t="b">
        <v>0</v>
      </c>
      <c r="F854" s="112" t="b">
        <v>0</v>
      </c>
      <c r="G854" s="112" t="b">
        <v>0</v>
      </c>
    </row>
    <row r="855" spans="1:7" ht="15">
      <c r="A855" s="112" t="s">
        <v>2921</v>
      </c>
      <c r="B855" s="112">
        <v>2</v>
      </c>
      <c r="C855" s="114">
        <v>0.00036261359660243913</v>
      </c>
      <c r="D855" s="112" t="s">
        <v>3314</v>
      </c>
      <c r="E855" s="112" t="b">
        <v>1</v>
      </c>
      <c r="F855" s="112" t="b">
        <v>0</v>
      </c>
      <c r="G855" s="112" t="b">
        <v>0</v>
      </c>
    </row>
    <row r="856" spans="1:7" ht="15">
      <c r="A856" s="112" t="s">
        <v>2922</v>
      </c>
      <c r="B856" s="112">
        <v>2</v>
      </c>
      <c r="C856" s="114">
        <v>0.00036261359660243913</v>
      </c>
      <c r="D856" s="112" t="s">
        <v>3314</v>
      </c>
      <c r="E856" s="112" t="b">
        <v>0</v>
      </c>
      <c r="F856" s="112" t="b">
        <v>0</v>
      </c>
      <c r="G856" s="112" t="b">
        <v>0</v>
      </c>
    </row>
    <row r="857" spans="1:7" ht="15">
      <c r="A857" s="112" t="s">
        <v>2923</v>
      </c>
      <c r="B857" s="112">
        <v>2</v>
      </c>
      <c r="C857" s="114">
        <v>0.00036261359660243913</v>
      </c>
      <c r="D857" s="112" t="s">
        <v>3314</v>
      </c>
      <c r="E857" s="112" t="b">
        <v>0</v>
      </c>
      <c r="F857" s="112" t="b">
        <v>0</v>
      </c>
      <c r="G857" s="112" t="b">
        <v>0</v>
      </c>
    </row>
    <row r="858" spans="1:7" ht="15">
      <c r="A858" s="112" t="s">
        <v>2924</v>
      </c>
      <c r="B858" s="112">
        <v>2</v>
      </c>
      <c r="C858" s="114">
        <v>0.00036261359660243913</v>
      </c>
      <c r="D858" s="112" t="s">
        <v>3314</v>
      </c>
      <c r="E858" s="112" t="b">
        <v>0</v>
      </c>
      <c r="F858" s="112" t="b">
        <v>0</v>
      </c>
      <c r="G858" s="112" t="b">
        <v>0</v>
      </c>
    </row>
    <row r="859" spans="1:7" ht="15">
      <c r="A859" s="112" t="s">
        <v>2925</v>
      </c>
      <c r="B859" s="112">
        <v>2</v>
      </c>
      <c r="C859" s="114">
        <v>0.00036261359660243913</v>
      </c>
      <c r="D859" s="112" t="s">
        <v>3314</v>
      </c>
      <c r="E859" s="112" t="b">
        <v>0</v>
      </c>
      <c r="F859" s="112" t="b">
        <v>0</v>
      </c>
      <c r="G859" s="112" t="b">
        <v>0</v>
      </c>
    </row>
    <row r="860" spans="1:7" ht="15">
      <c r="A860" s="112" t="s">
        <v>2926</v>
      </c>
      <c r="B860" s="112">
        <v>2</v>
      </c>
      <c r="C860" s="114">
        <v>0.00036261359660243913</v>
      </c>
      <c r="D860" s="112" t="s">
        <v>3314</v>
      </c>
      <c r="E860" s="112" t="b">
        <v>1</v>
      </c>
      <c r="F860" s="112" t="b">
        <v>0</v>
      </c>
      <c r="G860" s="112" t="b">
        <v>0</v>
      </c>
    </row>
    <row r="861" spans="1:7" ht="15">
      <c r="A861" s="112" t="s">
        <v>2927</v>
      </c>
      <c r="B861" s="112">
        <v>2</v>
      </c>
      <c r="C861" s="114">
        <v>0.00036261359660243913</v>
      </c>
      <c r="D861" s="112" t="s">
        <v>3314</v>
      </c>
      <c r="E861" s="112" t="b">
        <v>0</v>
      </c>
      <c r="F861" s="112" t="b">
        <v>0</v>
      </c>
      <c r="G861" s="112" t="b">
        <v>0</v>
      </c>
    </row>
    <row r="862" spans="1:7" ht="15">
      <c r="A862" s="112" t="s">
        <v>2928</v>
      </c>
      <c r="B862" s="112">
        <v>2</v>
      </c>
      <c r="C862" s="114">
        <v>0.00036261359660243913</v>
      </c>
      <c r="D862" s="112" t="s">
        <v>3314</v>
      </c>
      <c r="E862" s="112" t="b">
        <v>0</v>
      </c>
      <c r="F862" s="112" t="b">
        <v>0</v>
      </c>
      <c r="G862" s="112" t="b">
        <v>0</v>
      </c>
    </row>
    <row r="863" spans="1:7" ht="15">
      <c r="A863" s="112" t="s">
        <v>2929</v>
      </c>
      <c r="B863" s="112">
        <v>2</v>
      </c>
      <c r="C863" s="114">
        <v>0.0004118981407517484</v>
      </c>
      <c r="D863" s="112" t="s">
        <v>3314</v>
      </c>
      <c r="E863" s="112" t="b">
        <v>0</v>
      </c>
      <c r="F863" s="112" t="b">
        <v>0</v>
      </c>
      <c r="G863" s="112" t="b">
        <v>0</v>
      </c>
    </row>
    <row r="864" spans="1:7" ht="15">
      <c r="A864" s="112" t="s">
        <v>2930</v>
      </c>
      <c r="B864" s="112">
        <v>2</v>
      </c>
      <c r="C864" s="114">
        <v>0.0004118981407517484</v>
      </c>
      <c r="D864" s="112" t="s">
        <v>3314</v>
      </c>
      <c r="E864" s="112" t="b">
        <v>0</v>
      </c>
      <c r="F864" s="112" t="b">
        <v>0</v>
      </c>
      <c r="G864" s="112" t="b">
        <v>0</v>
      </c>
    </row>
    <row r="865" spans="1:7" ht="15">
      <c r="A865" s="112" t="s">
        <v>2931</v>
      </c>
      <c r="B865" s="112">
        <v>2</v>
      </c>
      <c r="C865" s="114">
        <v>0.00036261359660243913</v>
      </c>
      <c r="D865" s="112" t="s">
        <v>3314</v>
      </c>
      <c r="E865" s="112" t="b">
        <v>0</v>
      </c>
      <c r="F865" s="112" t="b">
        <v>0</v>
      </c>
      <c r="G865" s="112" t="b">
        <v>0</v>
      </c>
    </row>
    <row r="866" spans="1:7" ht="15">
      <c r="A866" s="112" t="s">
        <v>2932</v>
      </c>
      <c r="B866" s="112">
        <v>2</v>
      </c>
      <c r="C866" s="114">
        <v>0.0004118981407517484</v>
      </c>
      <c r="D866" s="112" t="s">
        <v>3314</v>
      </c>
      <c r="E866" s="112" t="b">
        <v>0</v>
      </c>
      <c r="F866" s="112" t="b">
        <v>0</v>
      </c>
      <c r="G866" s="112" t="b">
        <v>0</v>
      </c>
    </row>
    <row r="867" spans="1:7" ht="15">
      <c r="A867" s="112" t="s">
        <v>2933</v>
      </c>
      <c r="B867" s="112">
        <v>2</v>
      </c>
      <c r="C867" s="114">
        <v>0.00036261359660243913</v>
      </c>
      <c r="D867" s="112" t="s">
        <v>3314</v>
      </c>
      <c r="E867" s="112" t="b">
        <v>0</v>
      </c>
      <c r="F867" s="112" t="b">
        <v>0</v>
      </c>
      <c r="G867" s="112" t="b">
        <v>0</v>
      </c>
    </row>
    <row r="868" spans="1:7" ht="15">
      <c r="A868" s="112" t="s">
        <v>2934</v>
      </c>
      <c r="B868" s="112">
        <v>2</v>
      </c>
      <c r="C868" s="114">
        <v>0.00036261359660243913</v>
      </c>
      <c r="D868" s="112" t="s">
        <v>3314</v>
      </c>
      <c r="E868" s="112" t="b">
        <v>0</v>
      </c>
      <c r="F868" s="112" t="b">
        <v>0</v>
      </c>
      <c r="G868" s="112" t="b">
        <v>0</v>
      </c>
    </row>
    <row r="869" spans="1:7" ht="15">
      <c r="A869" s="112" t="s">
        <v>2935</v>
      </c>
      <c r="B869" s="112">
        <v>2</v>
      </c>
      <c r="C869" s="114">
        <v>0.00036261359660243913</v>
      </c>
      <c r="D869" s="112" t="s">
        <v>3314</v>
      </c>
      <c r="E869" s="112" t="b">
        <v>1</v>
      </c>
      <c r="F869" s="112" t="b">
        <v>0</v>
      </c>
      <c r="G869" s="112" t="b">
        <v>0</v>
      </c>
    </row>
    <row r="870" spans="1:7" ht="15">
      <c r="A870" s="112" t="s">
        <v>2936</v>
      </c>
      <c r="B870" s="112">
        <v>2</v>
      </c>
      <c r="C870" s="114">
        <v>0.00036261359660243913</v>
      </c>
      <c r="D870" s="112" t="s">
        <v>3314</v>
      </c>
      <c r="E870" s="112" t="b">
        <v>0</v>
      </c>
      <c r="F870" s="112" t="b">
        <v>0</v>
      </c>
      <c r="G870" s="112" t="b">
        <v>0</v>
      </c>
    </row>
    <row r="871" spans="1:7" ht="15">
      <c r="A871" s="112" t="s">
        <v>2937</v>
      </c>
      <c r="B871" s="112">
        <v>2</v>
      </c>
      <c r="C871" s="114">
        <v>0.00036261359660243913</v>
      </c>
      <c r="D871" s="112" t="s">
        <v>3314</v>
      </c>
      <c r="E871" s="112" t="b">
        <v>0</v>
      </c>
      <c r="F871" s="112" t="b">
        <v>0</v>
      </c>
      <c r="G871" s="112" t="b">
        <v>0</v>
      </c>
    </row>
    <row r="872" spans="1:7" ht="15">
      <c r="A872" s="112" t="s">
        <v>2938</v>
      </c>
      <c r="B872" s="112">
        <v>2</v>
      </c>
      <c r="C872" s="114">
        <v>0.00036261359660243913</v>
      </c>
      <c r="D872" s="112" t="s">
        <v>3314</v>
      </c>
      <c r="E872" s="112" t="b">
        <v>0</v>
      </c>
      <c r="F872" s="112" t="b">
        <v>1</v>
      </c>
      <c r="G872" s="112" t="b">
        <v>0</v>
      </c>
    </row>
    <row r="873" spans="1:7" ht="15">
      <c r="A873" s="112" t="s">
        <v>2939</v>
      </c>
      <c r="B873" s="112">
        <v>2</v>
      </c>
      <c r="C873" s="114">
        <v>0.00036261359660243913</v>
      </c>
      <c r="D873" s="112" t="s">
        <v>3314</v>
      </c>
      <c r="E873" s="112" t="b">
        <v>0</v>
      </c>
      <c r="F873" s="112" t="b">
        <v>0</v>
      </c>
      <c r="G873" s="112" t="b">
        <v>0</v>
      </c>
    </row>
    <row r="874" spans="1:7" ht="15">
      <c r="A874" s="112" t="s">
        <v>2940</v>
      </c>
      <c r="B874" s="112">
        <v>2</v>
      </c>
      <c r="C874" s="114">
        <v>0.00036261359660243913</v>
      </c>
      <c r="D874" s="112" t="s">
        <v>3314</v>
      </c>
      <c r="E874" s="112" t="b">
        <v>0</v>
      </c>
      <c r="F874" s="112" t="b">
        <v>0</v>
      </c>
      <c r="G874" s="112" t="b">
        <v>0</v>
      </c>
    </row>
    <row r="875" spans="1:7" ht="15">
      <c r="A875" s="112" t="s">
        <v>2941</v>
      </c>
      <c r="B875" s="112">
        <v>2</v>
      </c>
      <c r="C875" s="114">
        <v>0.00036261359660243913</v>
      </c>
      <c r="D875" s="112" t="s">
        <v>3314</v>
      </c>
      <c r="E875" s="112" t="b">
        <v>0</v>
      </c>
      <c r="F875" s="112" t="b">
        <v>0</v>
      </c>
      <c r="G875" s="112" t="b">
        <v>0</v>
      </c>
    </row>
    <row r="876" spans="1:7" ht="15">
      <c r="A876" s="112" t="s">
        <v>2942</v>
      </c>
      <c r="B876" s="112">
        <v>2</v>
      </c>
      <c r="C876" s="114">
        <v>0.00036261359660243913</v>
      </c>
      <c r="D876" s="112" t="s">
        <v>3314</v>
      </c>
      <c r="E876" s="112" t="b">
        <v>0</v>
      </c>
      <c r="F876" s="112" t="b">
        <v>0</v>
      </c>
      <c r="G876" s="112" t="b">
        <v>0</v>
      </c>
    </row>
    <row r="877" spans="1:7" ht="15">
      <c r="A877" s="112" t="s">
        <v>2943</v>
      </c>
      <c r="B877" s="112">
        <v>2</v>
      </c>
      <c r="C877" s="114">
        <v>0.00036261359660243913</v>
      </c>
      <c r="D877" s="112" t="s">
        <v>3314</v>
      </c>
      <c r="E877" s="112" t="b">
        <v>0</v>
      </c>
      <c r="F877" s="112" t="b">
        <v>0</v>
      </c>
      <c r="G877" s="112" t="b">
        <v>0</v>
      </c>
    </row>
    <row r="878" spans="1:7" ht="15">
      <c r="A878" s="112" t="s">
        <v>2944</v>
      </c>
      <c r="B878" s="112">
        <v>2</v>
      </c>
      <c r="C878" s="114">
        <v>0.00036261359660243913</v>
      </c>
      <c r="D878" s="112" t="s">
        <v>3314</v>
      </c>
      <c r="E878" s="112" t="b">
        <v>0</v>
      </c>
      <c r="F878" s="112" t="b">
        <v>0</v>
      </c>
      <c r="G878" s="112" t="b">
        <v>0</v>
      </c>
    </row>
    <row r="879" spans="1:7" ht="15">
      <c r="A879" s="112" t="s">
        <v>2945</v>
      </c>
      <c r="B879" s="112">
        <v>2</v>
      </c>
      <c r="C879" s="114">
        <v>0.0004118981407517484</v>
      </c>
      <c r="D879" s="112" t="s">
        <v>3314</v>
      </c>
      <c r="E879" s="112" t="b">
        <v>1</v>
      </c>
      <c r="F879" s="112" t="b">
        <v>0</v>
      </c>
      <c r="G879" s="112" t="b">
        <v>0</v>
      </c>
    </row>
    <row r="880" spans="1:7" ht="15">
      <c r="A880" s="112" t="s">
        <v>2946</v>
      </c>
      <c r="B880" s="112">
        <v>2</v>
      </c>
      <c r="C880" s="114">
        <v>0.00036261359660243913</v>
      </c>
      <c r="D880" s="112" t="s">
        <v>3314</v>
      </c>
      <c r="E880" s="112" t="b">
        <v>0</v>
      </c>
      <c r="F880" s="112" t="b">
        <v>0</v>
      </c>
      <c r="G880" s="112" t="b">
        <v>0</v>
      </c>
    </row>
    <row r="881" spans="1:7" ht="15">
      <c r="A881" s="112" t="s">
        <v>2947</v>
      </c>
      <c r="B881" s="112">
        <v>2</v>
      </c>
      <c r="C881" s="114">
        <v>0.00036261359660243913</v>
      </c>
      <c r="D881" s="112" t="s">
        <v>3314</v>
      </c>
      <c r="E881" s="112" t="b">
        <v>0</v>
      </c>
      <c r="F881" s="112" t="b">
        <v>1</v>
      </c>
      <c r="G881" s="112" t="b">
        <v>0</v>
      </c>
    </row>
    <row r="882" spans="1:7" ht="15">
      <c r="A882" s="112" t="s">
        <v>2948</v>
      </c>
      <c r="B882" s="112">
        <v>2</v>
      </c>
      <c r="C882" s="114">
        <v>0.00036261359660243913</v>
      </c>
      <c r="D882" s="112" t="s">
        <v>3314</v>
      </c>
      <c r="E882" s="112" t="b">
        <v>0</v>
      </c>
      <c r="F882" s="112" t="b">
        <v>0</v>
      </c>
      <c r="G882" s="112" t="b">
        <v>0</v>
      </c>
    </row>
    <row r="883" spans="1:7" ht="15">
      <c r="A883" s="112" t="s">
        <v>2949</v>
      </c>
      <c r="B883" s="112">
        <v>2</v>
      </c>
      <c r="C883" s="114">
        <v>0.00036261359660243913</v>
      </c>
      <c r="D883" s="112" t="s">
        <v>3314</v>
      </c>
      <c r="E883" s="112" t="b">
        <v>0</v>
      </c>
      <c r="F883" s="112" t="b">
        <v>0</v>
      </c>
      <c r="G883" s="112" t="b">
        <v>0</v>
      </c>
    </row>
    <row r="884" spans="1:7" ht="15">
      <c r="A884" s="112" t="s">
        <v>2950</v>
      </c>
      <c r="B884" s="112">
        <v>2</v>
      </c>
      <c r="C884" s="114">
        <v>0.00036261359660243913</v>
      </c>
      <c r="D884" s="112" t="s">
        <v>3314</v>
      </c>
      <c r="E884" s="112" t="b">
        <v>0</v>
      </c>
      <c r="F884" s="112" t="b">
        <v>1</v>
      </c>
      <c r="G884" s="112" t="b">
        <v>0</v>
      </c>
    </row>
    <row r="885" spans="1:7" ht="15">
      <c r="A885" s="112" t="s">
        <v>2951</v>
      </c>
      <c r="B885" s="112">
        <v>2</v>
      </c>
      <c r="C885" s="114">
        <v>0.00036261359660243913</v>
      </c>
      <c r="D885" s="112" t="s">
        <v>3314</v>
      </c>
      <c r="E885" s="112" t="b">
        <v>0</v>
      </c>
      <c r="F885" s="112" t="b">
        <v>1</v>
      </c>
      <c r="G885" s="112" t="b">
        <v>0</v>
      </c>
    </row>
    <row r="886" spans="1:7" ht="15">
      <c r="A886" s="112" t="s">
        <v>2952</v>
      </c>
      <c r="B886" s="112">
        <v>2</v>
      </c>
      <c r="C886" s="114">
        <v>0.00036261359660243913</v>
      </c>
      <c r="D886" s="112" t="s">
        <v>3314</v>
      </c>
      <c r="E886" s="112" t="b">
        <v>0</v>
      </c>
      <c r="F886" s="112" t="b">
        <v>0</v>
      </c>
      <c r="G886" s="112" t="b">
        <v>0</v>
      </c>
    </row>
    <row r="887" spans="1:7" ht="15">
      <c r="A887" s="112" t="s">
        <v>2953</v>
      </c>
      <c r="B887" s="112">
        <v>2</v>
      </c>
      <c r="C887" s="114">
        <v>0.0004118981407517484</v>
      </c>
      <c r="D887" s="112" t="s">
        <v>3314</v>
      </c>
      <c r="E887" s="112" t="b">
        <v>0</v>
      </c>
      <c r="F887" s="112" t="b">
        <v>1</v>
      </c>
      <c r="G887" s="112" t="b">
        <v>0</v>
      </c>
    </row>
    <row r="888" spans="1:7" ht="15">
      <c r="A888" s="112" t="s">
        <v>2954</v>
      </c>
      <c r="B888" s="112">
        <v>2</v>
      </c>
      <c r="C888" s="114">
        <v>0.00036261359660243913</v>
      </c>
      <c r="D888" s="112" t="s">
        <v>3314</v>
      </c>
      <c r="E888" s="112" t="b">
        <v>0</v>
      </c>
      <c r="F888" s="112" t="b">
        <v>1</v>
      </c>
      <c r="G888" s="112" t="b">
        <v>0</v>
      </c>
    </row>
    <row r="889" spans="1:7" ht="15">
      <c r="A889" s="112" t="s">
        <v>2955</v>
      </c>
      <c r="B889" s="112">
        <v>2</v>
      </c>
      <c r="C889" s="114">
        <v>0.00036261359660243913</v>
      </c>
      <c r="D889" s="112" t="s">
        <v>3314</v>
      </c>
      <c r="E889" s="112" t="b">
        <v>0</v>
      </c>
      <c r="F889" s="112" t="b">
        <v>0</v>
      </c>
      <c r="G889" s="112" t="b">
        <v>0</v>
      </c>
    </row>
    <row r="890" spans="1:7" ht="15">
      <c r="A890" s="112" t="s">
        <v>2956</v>
      </c>
      <c r="B890" s="112">
        <v>2</v>
      </c>
      <c r="C890" s="114">
        <v>0.00036261359660243913</v>
      </c>
      <c r="D890" s="112" t="s">
        <v>3314</v>
      </c>
      <c r="E890" s="112" t="b">
        <v>0</v>
      </c>
      <c r="F890" s="112" t="b">
        <v>0</v>
      </c>
      <c r="G890" s="112" t="b">
        <v>0</v>
      </c>
    </row>
    <row r="891" spans="1:7" ht="15">
      <c r="A891" s="112" t="s">
        <v>2957</v>
      </c>
      <c r="B891" s="112">
        <v>2</v>
      </c>
      <c r="C891" s="114">
        <v>0.00036261359660243913</v>
      </c>
      <c r="D891" s="112" t="s">
        <v>3314</v>
      </c>
      <c r="E891" s="112" t="b">
        <v>0</v>
      </c>
      <c r="F891" s="112" t="b">
        <v>0</v>
      </c>
      <c r="G891" s="112" t="b">
        <v>0</v>
      </c>
    </row>
    <row r="892" spans="1:7" ht="15">
      <c r="A892" s="112" t="s">
        <v>2958</v>
      </c>
      <c r="B892" s="112">
        <v>2</v>
      </c>
      <c r="C892" s="114">
        <v>0.00036261359660243913</v>
      </c>
      <c r="D892" s="112" t="s">
        <v>3314</v>
      </c>
      <c r="E892" s="112" t="b">
        <v>0</v>
      </c>
      <c r="F892" s="112" t="b">
        <v>0</v>
      </c>
      <c r="G892" s="112" t="b">
        <v>0</v>
      </c>
    </row>
    <row r="893" spans="1:7" ht="15">
      <c r="A893" s="112" t="s">
        <v>2959</v>
      </c>
      <c r="B893" s="112">
        <v>2</v>
      </c>
      <c r="C893" s="114">
        <v>0.00036261359660243913</v>
      </c>
      <c r="D893" s="112" t="s">
        <v>3314</v>
      </c>
      <c r="E893" s="112" t="b">
        <v>0</v>
      </c>
      <c r="F893" s="112" t="b">
        <v>0</v>
      </c>
      <c r="G893" s="112" t="b">
        <v>0</v>
      </c>
    </row>
    <row r="894" spans="1:7" ht="15">
      <c r="A894" s="112" t="s">
        <v>2960</v>
      </c>
      <c r="B894" s="112">
        <v>2</v>
      </c>
      <c r="C894" s="114">
        <v>0.00036261359660243913</v>
      </c>
      <c r="D894" s="112" t="s">
        <v>3314</v>
      </c>
      <c r="E894" s="112" t="b">
        <v>0</v>
      </c>
      <c r="F894" s="112" t="b">
        <v>0</v>
      </c>
      <c r="G894" s="112" t="b">
        <v>0</v>
      </c>
    </row>
    <row r="895" spans="1:7" ht="15">
      <c r="A895" s="112" t="s">
        <v>2961</v>
      </c>
      <c r="B895" s="112">
        <v>2</v>
      </c>
      <c r="C895" s="114">
        <v>0.00036261359660243913</v>
      </c>
      <c r="D895" s="112" t="s">
        <v>3314</v>
      </c>
      <c r="E895" s="112" t="b">
        <v>1</v>
      </c>
      <c r="F895" s="112" t="b">
        <v>0</v>
      </c>
      <c r="G895" s="112" t="b">
        <v>0</v>
      </c>
    </row>
    <row r="896" spans="1:7" ht="15">
      <c r="A896" s="112" t="s">
        <v>2962</v>
      </c>
      <c r="B896" s="112">
        <v>2</v>
      </c>
      <c r="C896" s="114">
        <v>0.0004118981407517484</v>
      </c>
      <c r="D896" s="112" t="s">
        <v>3314</v>
      </c>
      <c r="E896" s="112" t="b">
        <v>0</v>
      </c>
      <c r="F896" s="112" t="b">
        <v>0</v>
      </c>
      <c r="G896" s="112" t="b">
        <v>0</v>
      </c>
    </row>
    <row r="897" spans="1:7" ht="15">
      <c r="A897" s="112" t="s">
        <v>2963</v>
      </c>
      <c r="B897" s="112">
        <v>2</v>
      </c>
      <c r="C897" s="114">
        <v>0.00036261359660243913</v>
      </c>
      <c r="D897" s="112" t="s">
        <v>3314</v>
      </c>
      <c r="E897" s="112" t="b">
        <v>0</v>
      </c>
      <c r="F897" s="112" t="b">
        <v>1</v>
      </c>
      <c r="G897" s="112" t="b">
        <v>0</v>
      </c>
    </row>
    <row r="898" spans="1:7" ht="15">
      <c r="A898" s="112" t="s">
        <v>2964</v>
      </c>
      <c r="B898" s="112">
        <v>2</v>
      </c>
      <c r="C898" s="114">
        <v>0.00036261359660243913</v>
      </c>
      <c r="D898" s="112" t="s">
        <v>3314</v>
      </c>
      <c r="E898" s="112" t="b">
        <v>0</v>
      </c>
      <c r="F898" s="112" t="b">
        <v>0</v>
      </c>
      <c r="G898" s="112" t="b">
        <v>0</v>
      </c>
    </row>
    <row r="899" spans="1:7" ht="15">
      <c r="A899" s="112" t="s">
        <v>2965</v>
      </c>
      <c r="B899" s="112">
        <v>2</v>
      </c>
      <c r="C899" s="114">
        <v>0.0004118981407517484</v>
      </c>
      <c r="D899" s="112" t="s">
        <v>3314</v>
      </c>
      <c r="E899" s="112" t="b">
        <v>0</v>
      </c>
      <c r="F899" s="112" t="b">
        <v>0</v>
      </c>
      <c r="G899" s="112" t="b">
        <v>0</v>
      </c>
    </row>
    <row r="900" spans="1:7" ht="15">
      <c r="A900" s="112" t="s">
        <v>2966</v>
      </c>
      <c r="B900" s="112">
        <v>2</v>
      </c>
      <c r="C900" s="114">
        <v>0.0004118981407517484</v>
      </c>
      <c r="D900" s="112" t="s">
        <v>3314</v>
      </c>
      <c r="E900" s="112" t="b">
        <v>0</v>
      </c>
      <c r="F900" s="112" t="b">
        <v>0</v>
      </c>
      <c r="G900" s="112" t="b">
        <v>0</v>
      </c>
    </row>
    <row r="901" spans="1:7" ht="15">
      <c r="A901" s="112" t="s">
        <v>2967</v>
      </c>
      <c r="B901" s="112">
        <v>2</v>
      </c>
      <c r="C901" s="114">
        <v>0.00036261359660243913</v>
      </c>
      <c r="D901" s="112" t="s">
        <v>3314</v>
      </c>
      <c r="E901" s="112" t="b">
        <v>0</v>
      </c>
      <c r="F901" s="112" t="b">
        <v>0</v>
      </c>
      <c r="G901" s="112" t="b">
        <v>0</v>
      </c>
    </row>
    <row r="902" spans="1:7" ht="15">
      <c r="A902" s="112" t="s">
        <v>2968</v>
      </c>
      <c r="B902" s="112">
        <v>2</v>
      </c>
      <c r="C902" s="114">
        <v>0.0004118981407517484</v>
      </c>
      <c r="D902" s="112" t="s">
        <v>3314</v>
      </c>
      <c r="E902" s="112" t="b">
        <v>0</v>
      </c>
      <c r="F902" s="112" t="b">
        <v>0</v>
      </c>
      <c r="G902" s="112" t="b">
        <v>0</v>
      </c>
    </row>
    <row r="903" spans="1:7" ht="15">
      <c r="A903" s="112" t="s">
        <v>2969</v>
      </c>
      <c r="B903" s="112">
        <v>2</v>
      </c>
      <c r="C903" s="114">
        <v>0.00036261359660243913</v>
      </c>
      <c r="D903" s="112" t="s">
        <v>3314</v>
      </c>
      <c r="E903" s="112" t="b">
        <v>0</v>
      </c>
      <c r="F903" s="112" t="b">
        <v>1</v>
      </c>
      <c r="G903" s="112" t="b">
        <v>0</v>
      </c>
    </row>
    <row r="904" spans="1:7" ht="15">
      <c r="A904" s="112" t="s">
        <v>2970</v>
      </c>
      <c r="B904" s="112">
        <v>2</v>
      </c>
      <c r="C904" s="114">
        <v>0.0004118981407517484</v>
      </c>
      <c r="D904" s="112" t="s">
        <v>3314</v>
      </c>
      <c r="E904" s="112" t="b">
        <v>0</v>
      </c>
      <c r="F904" s="112" t="b">
        <v>0</v>
      </c>
      <c r="G904" s="112" t="b">
        <v>0</v>
      </c>
    </row>
    <row r="905" spans="1:7" ht="15">
      <c r="A905" s="112" t="s">
        <v>2971</v>
      </c>
      <c r="B905" s="112">
        <v>2</v>
      </c>
      <c r="C905" s="114">
        <v>0.0004118981407517484</v>
      </c>
      <c r="D905" s="112" t="s">
        <v>3314</v>
      </c>
      <c r="E905" s="112" t="b">
        <v>0</v>
      </c>
      <c r="F905" s="112" t="b">
        <v>0</v>
      </c>
      <c r="G905" s="112" t="b">
        <v>0</v>
      </c>
    </row>
    <row r="906" spans="1:7" ht="15">
      <c r="A906" s="112" t="s">
        <v>2972</v>
      </c>
      <c r="B906" s="112">
        <v>2</v>
      </c>
      <c r="C906" s="114">
        <v>0.00036261359660243913</v>
      </c>
      <c r="D906" s="112" t="s">
        <v>3314</v>
      </c>
      <c r="E906" s="112" t="b">
        <v>0</v>
      </c>
      <c r="F906" s="112" t="b">
        <v>0</v>
      </c>
      <c r="G906" s="112" t="b">
        <v>0</v>
      </c>
    </row>
    <row r="907" spans="1:7" ht="15">
      <c r="A907" s="112" t="s">
        <v>2973</v>
      </c>
      <c r="B907" s="112">
        <v>2</v>
      </c>
      <c r="C907" s="114">
        <v>0.0004118981407517484</v>
      </c>
      <c r="D907" s="112" t="s">
        <v>3314</v>
      </c>
      <c r="E907" s="112" t="b">
        <v>1</v>
      </c>
      <c r="F907" s="112" t="b">
        <v>0</v>
      </c>
      <c r="G907" s="112" t="b">
        <v>0</v>
      </c>
    </row>
    <row r="908" spans="1:7" ht="15">
      <c r="A908" s="112" t="s">
        <v>2974</v>
      </c>
      <c r="B908" s="112">
        <v>2</v>
      </c>
      <c r="C908" s="114">
        <v>0.0004118981407517484</v>
      </c>
      <c r="D908" s="112" t="s">
        <v>3314</v>
      </c>
      <c r="E908" s="112" t="b">
        <v>0</v>
      </c>
      <c r="F908" s="112" t="b">
        <v>0</v>
      </c>
      <c r="G908" s="112" t="b">
        <v>0</v>
      </c>
    </row>
    <row r="909" spans="1:7" ht="15">
      <c r="A909" s="112" t="s">
        <v>2975</v>
      </c>
      <c r="B909" s="112">
        <v>2</v>
      </c>
      <c r="C909" s="114">
        <v>0.0004118981407517484</v>
      </c>
      <c r="D909" s="112" t="s">
        <v>3314</v>
      </c>
      <c r="E909" s="112" t="b">
        <v>0</v>
      </c>
      <c r="F909" s="112" t="b">
        <v>0</v>
      </c>
      <c r="G909" s="112" t="b">
        <v>0</v>
      </c>
    </row>
    <row r="910" spans="1:7" ht="15">
      <c r="A910" s="112" t="s">
        <v>2976</v>
      </c>
      <c r="B910" s="112">
        <v>2</v>
      </c>
      <c r="C910" s="114">
        <v>0.0004118981407517484</v>
      </c>
      <c r="D910" s="112" t="s">
        <v>3314</v>
      </c>
      <c r="E910" s="112" t="b">
        <v>0</v>
      </c>
      <c r="F910" s="112" t="b">
        <v>0</v>
      </c>
      <c r="G910" s="112" t="b">
        <v>0</v>
      </c>
    </row>
    <row r="911" spans="1:7" ht="15">
      <c r="A911" s="112" t="s">
        <v>2977</v>
      </c>
      <c r="B911" s="112">
        <v>2</v>
      </c>
      <c r="C911" s="114">
        <v>0.0004118981407517484</v>
      </c>
      <c r="D911" s="112" t="s">
        <v>3314</v>
      </c>
      <c r="E911" s="112" t="b">
        <v>0</v>
      </c>
      <c r="F911" s="112" t="b">
        <v>0</v>
      </c>
      <c r="G911" s="112" t="b">
        <v>0</v>
      </c>
    </row>
    <row r="912" spans="1:7" ht="15">
      <c r="A912" s="112" t="s">
        <v>2978</v>
      </c>
      <c r="B912" s="112">
        <v>2</v>
      </c>
      <c r="C912" s="114">
        <v>0.0004118981407517484</v>
      </c>
      <c r="D912" s="112" t="s">
        <v>3314</v>
      </c>
      <c r="E912" s="112" t="b">
        <v>0</v>
      </c>
      <c r="F912" s="112" t="b">
        <v>0</v>
      </c>
      <c r="G912" s="112" t="b">
        <v>0</v>
      </c>
    </row>
    <row r="913" spans="1:7" ht="15">
      <c r="A913" s="112" t="s">
        <v>2979</v>
      </c>
      <c r="B913" s="112">
        <v>2</v>
      </c>
      <c r="C913" s="114">
        <v>0.0004118981407517484</v>
      </c>
      <c r="D913" s="112" t="s">
        <v>3314</v>
      </c>
      <c r="E913" s="112" t="b">
        <v>0</v>
      </c>
      <c r="F913" s="112" t="b">
        <v>0</v>
      </c>
      <c r="G913" s="112" t="b">
        <v>0</v>
      </c>
    </row>
    <row r="914" spans="1:7" ht="15">
      <c r="A914" s="112" t="s">
        <v>2980</v>
      </c>
      <c r="B914" s="112">
        <v>2</v>
      </c>
      <c r="C914" s="114">
        <v>0.00036261359660243913</v>
      </c>
      <c r="D914" s="112" t="s">
        <v>3314</v>
      </c>
      <c r="E914" s="112" t="b">
        <v>0</v>
      </c>
      <c r="F914" s="112" t="b">
        <v>1</v>
      </c>
      <c r="G914" s="112" t="b">
        <v>0</v>
      </c>
    </row>
    <row r="915" spans="1:7" ht="15">
      <c r="A915" s="112" t="s">
        <v>2981</v>
      </c>
      <c r="B915" s="112">
        <v>2</v>
      </c>
      <c r="C915" s="114">
        <v>0.0004118981407517484</v>
      </c>
      <c r="D915" s="112" t="s">
        <v>3314</v>
      </c>
      <c r="E915" s="112" t="b">
        <v>0</v>
      </c>
      <c r="F915" s="112" t="b">
        <v>0</v>
      </c>
      <c r="G915" s="112" t="b">
        <v>0</v>
      </c>
    </row>
    <row r="916" spans="1:7" ht="15">
      <c r="A916" s="112" t="s">
        <v>2982</v>
      </c>
      <c r="B916" s="112">
        <v>2</v>
      </c>
      <c r="C916" s="114">
        <v>0.0004118981407517484</v>
      </c>
      <c r="D916" s="112" t="s">
        <v>3314</v>
      </c>
      <c r="E916" s="112" t="b">
        <v>0</v>
      </c>
      <c r="F916" s="112" t="b">
        <v>0</v>
      </c>
      <c r="G916" s="112" t="b">
        <v>0</v>
      </c>
    </row>
    <row r="917" spans="1:7" ht="15">
      <c r="A917" s="112" t="s">
        <v>2983</v>
      </c>
      <c r="B917" s="112">
        <v>2</v>
      </c>
      <c r="C917" s="114">
        <v>0.00036261359660243913</v>
      </c>
      <c r="D917" s="112" t="s">
        <v>3314</v>
      </c>
      <c r="E917" s="112" t="b">
        <v>1</v>
      </c>
      <c r="F917" s="112" t="b">
        <v>0</v>
      </c>
      <c r="G917" s="112" t="b">
        <v>0</v>
      </c>
    </row>
    <row r="918" spans="1:7" ht="15">
      <c r="A918" s="112" t="s">
        <v>2984</v>
      </c>
      <c r="B918" s="112">
        <v>2</v>
      </c>
      <c r="C918" s="114">
        <v>0.00036261359660243913</v>
      </c>
      <c r="D918" s="112" t="s">
        <v>3314</v>
      </c>
      <c r="E918" s="112" t="b">
        <v>0</v>
      </c>
      <c r="F918" s="112" t="b">
        <v>0</v>
      </c>
      <c r="G918" s="112" t="b">
        <v>0</v>
      </c>
    </row>
    <row r="919" spans="1:7" ht="15">
      <c r="A919" s="112" t="s">
        <v>2985</v>
      </c>
      <c r="B919" s="112">
        <v>2</v>
      </c>
      <c r="C919" s="114">
        <v>0.0004118981407517484</v>
      </c>
      <c r="D919" s="112" t="s">
        <v>3314</v>
      </c>
      <c r="E919" s="112" t="b">
        <v>0</v>
      </c>
      <c r="F919" s="112" t="b">
        <v>0</v>
      </c>
      <c r="G919" s="112" t="b">
        <v>0</v>
      </c>
    </row>
    <row r="920" spans="1:7" ht="15">
      <c r="A920" s="112" t="s">
        <v>2986</v>
      </c>
      <c r="B920" s="112">
        <v>2</v>
      </c>
      <c r="C920" s="114">
        <v>0.00036261359660243913</v>
      </c>
      <c r="D920" s="112" t="s">
        <v>3314</v>
      </c>
      <c r="E920" s="112" t="b">
        <v>0</v>
      </c>
      <c r="F920" s="112" t="b">
        <v>0</v>
      </c>
      <c r="G920" s="112" t="b">
        <v>0</v>
      </c>
    </row>
    <row r="921" spans="1:7" ht="15">
      <c r="A921" s="112" t="s">
        <v>2987</v>
      </c>
      <c r="B921" s="112">
        <v>2</v>
      </c>
      <c r="C921" s="114">
        <v>0.0004118981407517484</v>
      </c>
      <c r="D921" s="112" t="s">
        <v>3314</v>
      </c>
      <c r="E921" s="112" t="b">
        <v>1</v>
      </c>
      <c r="F921" s="112" t="b">
        <v>0</v>
      </c>
      <c r="G921" s="112" t="b">
        <v>0</v>
      </c>
    </row>
    <row r="922" spans="1:7" ht="15">
      <c r="A922" s="112" t="s">
        <v>2988</v>
      </c>
      <c r="B922" s="112">
        <v>2</v>
      </c>
      <c r="C922" s="114">
        <v>0.0004118981407517484</v>
      </c>
      <c r="D922" s="112" t="s">
        <v>3314</v>
      </c>
      <c r="E922" s="112" t="b">
        <v>0</v>
      </c>
      <c r="F922" s="112" t="b">
        <v>0</v>
      </c>
      <c r="G922" s="112" t="b">
        <v>0</v>
      </c>
    </row>
    <row r="923" spans="1:7" ht="15">
      <c r="A923" s="112" t="s">
        <v>2989</v>
      </c>
      <c r="B923" s="112">
        <v>2</v>
      </c>
      <c r="C923" s="114">
        <v>0.0004118981407517484</v>
      </c>
      <c r="D923" s="112" t="s">
        <v>3314</v>
      </c>
      <c r="E923" s="112" t="b">
        <v>0</v>
      </c>
      <c r="F923" s="112" t="b">
        <v>0</v>
      </c>
      <c r="G923" s="112" t="b">
        <v>0</v>
      </c>
    </row>
    <row r="924" spans="1:7" ht="15">
      <c r="A924" s="112" t="s">
        <v>2990</v>
      </c>
      <c r="B924" s="112">
        <v>2</v>
      </c>
      <c r="C924" s="114">
        <v>0.0004118981407517484</v>
      </c>
      <c r="D924" s="112" t="s">
        <v>3314</v>
      </c>
      <c r="E924" s="112" t="b">
        <v>0</v>
      </c>
      <c r="F924" s="112" t="b">
        <v>0</v>
      </c>
      <c r="G924" s="112" t="b">
        <v>0</v>
      </c>
    </row>
    <row r="925" spans="1:7" ht="15">
      <c r="A925" s="112" t="s">
        <v>2991</v>
      </c>
      <c r="B925" s="112">
        <v>2</v>
      </c>
      <c r="C925" s="114">
        <v>0.00036261359660243913</v>
      </c>
      <c r="D925" s="112" t="s">
        <v>3314</v>
      </c>
      <c r="E925" s="112" t="b">
        <v>0</v>
      </c>
      <c r="F925" s="112" t="b">
        <v>0</v>
      </c>
      <c r="G925" s="112" t="b">
        <v>0</v>
      </c>
    </row>
    <row r="926" spans="1:7" ht="15">
      <c r="A926" s="112" t="s">
        <v>2992</v>
      </c>
      <c r="B926" s="112">
        <v>2</v>
      </c>
      <c r="C926" s="114">
        <v>0.0004118981407517484</v>
      </c>
      <c r="D926" s="112" t="s">
        <v>3314</v>
      </c>
      <c r="E926" s="112" t="b">
        <v>0</v>
      </c>
      <c r="F926" s="112" t="b">
        <v>0</v>
      </c>
      <c r="G926" s="112" t="b">
        <v>0</v>
      </c>
    </row>
    <row r="927" spans="1:7" ht="15">
      <c r="A927" s="112" t="s">
        <v>2993</v>
      </c>
      <c r="B927" s="112">
        <v>2</v>
      </c>
      <c r="C927" s="114">
        <v>0.00036261359660243913</v>
      </c>
      <c r="D927" s="112" t="s">
        <v>3314</v>
      </c>
      <c r="E927" s="112" t="b">
        <v>0</v>
      </c>
      <c r="F927" s="112" t="b">
        <v>0</v>
      </c>
      <c r="G927" s="112" t="b">
        <v>0</v>
      </c>
    </row>
    <row r="928" spans="1:7" ht="15">
      <c r="A928" s="112" t="s">
        <v>2994</v>
      </c>
      <c r="B928" s="112">
        <v>2</v>
      </c>
      <c r="C928" s="114">
        <v>0.00036261359660243913</v>
      </c>
      <c r="D928" s="112" t="s">
        <v>3314</v>
      </c>
      <c r="E928" s="112" t="b">
        <v>1</v>
      </c>
      <c r="F928" s="112" t="b">
        <v>0</v>
      </c>
      <c r="G928" s="112" t="b">
        <v>0</v>
      </c>
    </row>
    <row r="929" spans="1:7" ht="15">
      <c r="A929" s="112" t="s">
        <v>2995</v>
      </c>
      <c r="B929" s="112">
        <v>2</v>
      </c>
      <c r="C929" s="114">
        <v>0.00036261359660243913</v>
      </c>
      <c r="D929" s="112" t="s">
        <v>3314</v>
      </c>
      <c r="E929" s="112" t="b">
        <v>0</v>
      </c>
      <c r="F929" s="112" t="b">
        <v>0</v>
      </c>
      <c r="G929" s="112" t="b">
        <v>0</v>
      </c>
    </row>
    <row r="930" spans="1:7" ht="15">
      <c r="A930" s="112" t="s">
        <v>2996</v>
      </c>
      <c r="B930" s="112">
        <v>2</v>
      </c>
      <c r="C930" s="114">
        <v>0.00036261359660243913</v>
      </c>
      <c r="D930" s="112" t="s">
        <v>3314</v>
      </c>
      <c r="E930" s="112" t="b">
        <v>0</v>
      </c>
      <c r="F930" s="112" t="b">
        <v>0</v>
      </c>
      <c r="G930" s="112" t="b">
        <v>0</v>
      </c>
    </row>
    <row r="931" spans="1:7" ht="15">
      <c r="A931" s="112" t="s">
        <v>2997</v>
      </c>
      <c r="B931" s="112">
        <v>2</v>
      </c>
      <c r="C931" s="114">
        <v>0.00036261359660243913</v>
      </c>
      <c r="D931" s="112" t="s">
        <v>3314</v>
      </c>
      <c r="E931" s="112" t="b">
        <v>0</v>
      </c>
      <c r="F931" s="112" t="b">
        <v>0</v>
      </c>
      <c r="G931" s="112" t="b">
        <v>0</v>
      </c>
    </row>
    <row r="932" spans="1:7" ht="15">
      <c r="A932" s="112" t="s">
        <v>2998</v>
      </c>
      <c r="B932" s="112">
        <v>2</v>
      </c>
      <c r="C932" s="114">
        <v>0.00036261359660243913</v>
      </c>
      <c r="D932" s="112" t="s">
        <v>3314</v>
      </c>
      <c r="E932" s="112" t="b">
        <v>0</v>
      </c>
      <c r="F932" s="112" t="b">
        <v>0</v>
      </c>
      <c r="G932" s="112" t="b">
        <v>0</v>
      </c>
    </row>
    <row r="933" spans="1:7" ht="15">
      <c r="A933" s="112" t="s">
        <v>2999</v>
      </c>
      <c r="B933" s="112">
        <v>2</v>
      </c>
      <c r="C933" s="114">
        <v>0.0004118981407517484</v>
      </c>
      <c r="D933" s="112" t="s">
        <v>3314</v>
      </c>
      <c r="E933" s="112" t="b">
        <v>0</v>
      </c>
      <c r="F933" s="112" t="b">
        <v>0</v>
      </c>
      <c r="G933" s="112" t="b">
        <v>0</v>
      </c>
    </row>
    <row r="934" spans="1:7" ht="15">
      <c r="A934" s="112" t="s">
        <v>3000</v>
      </c>
      <c r="B934" s="112">
        <v>2</v>
      </c>
      <c r="C934" s="114">
        <v>0.00036261359660243913</v>
      </c>
      <c r="D934" s="112" t="s">
        <v>3314</v>
      </c>
      <c r="E934" s="112" t="b">
        <v>0</v>
      </c>
      <c r="F934" s="112" t="b">
        <v>0</v>
      </c>
      <c r="G934" s="112" t="b">
        <v>0</v>
      </c>
    </row>
    <row r="935" spans="1:7" ht="15">
      <c r="A935" s="112" t="s">
        <v>3001</v>
      </c>
      <c r="B935" s="112">
        <v>2</v>
      </c>
      <c r="C935" s="114">
        <v>0.00036261359660243913</v>
      </c>
      <c r="D935" s="112" t="s">
        <v>3314</v>
      </c>
      <c r="E935" s="112" t="b">
        <v>0</v>
      </c>
      <c r="F935" s="112" t="b">
        <v>0</v>
      </c>
      <c r="G935" s="112" t="b">
        <v>0</v>
      </c>
    </row>
    <row r="936" spans="1:7" ht="15">
      <c r="A936" s="112" t="s">
        <v>3002</v>
      </c>
      <c r="B936" s="112">
        <v>2</v>
      </c>
      <c r="C936" s="114">
        <v>0.00036261359660243913</v>
      </c>
      <c r="D936" s="112" t="s">
        <v>3314</v>
      </c>
      <c r="E936" s="112" t="b">
        <v>1</v>
      </c>
      <c r="F936" s="112" t="b">
        <v>0</v>
      </c>
      <c r="G936" s="112" t="b">
        <v>0</v>
      </c>
    </row>
    <row r="937" spans="1:7" ht="15">
      <c r="A937" s="112" t="s">
        <v>3003</v>
      </c>
      <c r="B937" s="112">
        <v>2</v>
      </c>
      <c r="C937" s="114">
        <v>0.00036261359660243913</v>
      </c>
      <c r="D937" s="112" t="s">
        <v>3314</v>
      </c>
      <c r="E937" s="112" t="b">
        <v>0</v>
      </c>
      <c r="F937" s="112" t="b">
        <v>0</v>
      </c>
      <c r="G937" s="112" t="b">
        <v>0</v>
      </c>
    </row>
    <row r="938" spans="1:7" ht="15">
      <c r="A938" s="112" t="s">
        <v>3004</v>
      </c>
      <c r="B938" s="112">
        <v>2</v>
      </c>
      <c r="C938" s="114">
        <v>0.00036261359660243913</v>
      </c>
      <c r="D938" s="112" t="s">
        <v>3314</v>
      </c>
      <c r="E938" s="112" t="b">
        <v>0</v>
      </c>
      <c r="F938" s="112" t="b">
        <v>0</v>
      </c>
      <c r="G938" s="112" t="b">
        <v>0</v>
      </c>
    </row>
    <row r="939" spans="1:7" ht="15">
      <c r="A939" s="112" t="s">
        <v>3005</v>
      </c>
      <c r="B939" s="112">
        <v>2</v>
      </c>
      <c r="C939" s="114">
        <v>0.0004118981407517484</v>
      </c>
      <c r="D939" s="112" t="s">
        <v>3314</v>
      </c>
      <c r="E939" s="112" t="b">
        <v>0</v>
      </c>
      <c r="F939" s="112" t="b">
        <v>0</v>
      </c>
      <c r="G939" s="112" t="b">
        <v>0</v>
      </c>
    </row>
    <row r="940" spans="1:7" ht="15">
      <c r="A940" s="112" t="s">
        <v>3006</v>
      </c>
      <c r="B940" s="112">
        <v>2</v>
      </c>
      <c r="C940" s="114">
        <v>0.0004118981407517484</v>
      </c>
      <c r="D940" s="112" t="s">
        <v>3314</v>
      </c>
      <c r="E940" s="112" t="b">
        <v>0</v>
      </c>
      <c r="F940" s="112" t="b">
        <v>0</v>
      </c>
      <c r="G940" s="112" t="b">
        <v>0</v>
      </c>
    </row>
    <row r="941" spans="1:7" ht="15">
      <c r="A941" s="112" t="s">
        <v>3007</v>
      </c>
      <c r="B941" s="112">
        <v>2</v>
      </c>
      <c r="C941" s="114">
        <v>0.00036261359660243913</v>
      </c>
      <c r="D941" s="112" t="s">
        <v>3314</v>
      </c>
      <c r="E941" s="112" t="b">
        <v>0</v>
      </c>
      <c r="F941" s="112" t="b">
        <v>0</v>
      </c>
      <c r="G941" s="112" t="b">
        <v>0</v>
      </c>
    </row>
    <row r="942" spans="1:7" ht="15">
      <c r="A942" s="112" t="s">
        <v>3008</v>
      </c>
      <c r="B942" s="112">
        <v>2</v>
      </c>
      <c r="C942" s="114">
        <v>0.00036261359660243913</v>
      </c>
      <c r="D942" s="112" t="s">
        <v>3314</v>
      </c>
      <c r="E942" s="112" t="b">
        <v>0</v>
      </c>
      <c r="F942" s="112" t="b">
        <v>0</v>
      </c>
      <c r="G942" s="112" t="b">
        <v>0</v>
      </c>
    </row>
    <row r="943" spans="1:7" ht="15">
      <c r="A943" s="112" t="s">
        <v>3009</v>
      </c>
      <c r="B943" s="112">
        <v>2</v>
      </c>
      <c r="C943" s="114">
        <v>0.00036261359660243913</v>
      </c>
      <c r="D943" s="112" t="s">
        <v>3314</v>
      </c>
      <c r="E943" s="112" t="b">
        <v>0</v>
      </c>
      <c r="F943" s="112" t="b">
        <v>0</v>
      </c>
      <c r="G943" s="112" t="b">
        <v>0</v>
      </c>
    </row>
    <row r="944" spans="1:7" ht="15">
      <c r="A944" s="112" t="s">
        <v>3010</v>
      </c>
      <c r="B944" s="112">
        <v>2</v>
      </c>
      <c r="C944" s="114">
        <v>0.00036261359660243913</v>
      </c>
      <c r="D944" s="112" t="s">
        <v>3314</v>
      </c>
      <c r="E944" s="112" t="b">
        <v>0</v>
      </c>
      <c r="F944" s="112" t="b">
        <v>0</v>
      </c>
      <c r="G944" s="112" t="b">
        <v>0</v>
      </c>
    </row>
    <row r="945" spans="1:7" ht="15">
      <c r="A945" s="112" t="s">
        <v>3011</v>
      </c>
      <c r="B945" s="112">
        <v>2</v>
      </c>
      <c r="C945" s="114">
        <v>0.00036261359660243913</v>
      </c>
      <c r="D945" s="112" t="s">
        <v>3314</v>
      </c>
      <c r="E945" s="112" t="b">
        <v>0</v>
      </c>
      <c r="F945" s="112" t="b">
        <v>1</v>
      </c>
      <c r="G945" s="112" t="b">
        <v>0</v>
      </c>
    </row>
    <row r="946" spans="1:7" ht="15">
      <c r="A946" s="112" t="s">
        <v>3012</v>
      </c>
      <c r="B946" s="112">
        <v>2</v>
      </c>
      <c r="C946" s="114">
        <v>0.00036261359660243913</v>
      </c>
      <c r="D946" s="112" t="s">
        <v>3314</v>
      </c>
      <c r="E946" s="112" t="b">
        <v>0</v>
      </c>
      <c r="F946" s="112" t="b">
        <v>1</v>
      </c>
      <c r="G946" s="112" t="b">
        <v>0</v>
      </c>
    </row>
    <row r="947" spans="1:7" ht="15">
      <c r="A947" s="112" t="s">
        <v>3013</v>
      </c>
      <c r="B947" s="112">
        <v>2</v>
      </c>
      <c r="C947" s="114">
        <v>0.00036261359660243913</v>
      </c>
      <c r="D947" s="112" t="s">
        <v>3314</v>
      </c>
      <c r="E947" s="112" t="b">
        <v>0</v>
      </c>
      <c r="F947" s="112" t="b">
        <v>0</v>
      </c>
      <c r="G947" s="112" t="b">
        <v>0</v>
      </c>
    </row>
    <row r="948" spans="1:7" ht="15">
      <c r="A948" s="112" t="s">
        <v>3014</v>
      </c>
      <c r="B948" s="112">
        <v>2</v>
      </c>
      <c r="C948" s="114">
        <v>0.00036261359660243913</v>
      </c>
      <c r="D948" s="112" t="s">
        <v>3314</v>
      </c>
      <c r="E948" s="112" t="b">
        <v>0</v>
      </c>
      <c r="F948" s="112" t="b">
        <v>0</v>
      </c>
      <c r="G948" s="112" t="b">
        <v>0</v>
      </c>
    </row>
    <row r="949" spans="1:7" ht="15">
      <c r="A949" s="112" t="s">
        <v>3015</v>
      </c>
      <c r="B949" s="112">
        <v>2</v>
      </c>
      <c r="C949" s="114">
        <v>0.00036261359660243913</v>
      </c>
      <c r="D949" s="112" t="s">
        <v>3314</v>
      </c>
      <c r="E949" s="112" t="b">
        <v>0</v>
      </c>
      <c r="F949" s="112" t="b">
        <v>0</v>
      </c>
      <c r="G949" s="112" t="b">
        <v>0</v>
      </c>
    </row>
    <row r="950" spans="1:7" ht="15">
      <c r="A950" s="112" t="s">
        <v>3016</v>
      </c>
      <c r="B950" s="112">
        <v>2</v>
      </c>
      <c r="C950" s="114">
        <v>0.0004118981407517484</v>
      </c>
      <c r="D950" s="112" t="s">
        <v>3314</v>
      </c>
      <c r="E950" s="112" t="b">
        <v>0</v>
      </c>
      <c r="F950" s="112" t="b">
        <v>0</v>
      </c>
      <c r="G950" s="112" t="b">
        <v>0</v>
      </c>
    </row>
    <row r="951" spans="1:7" ht="15">
      <c r="A951" s="112" t="s">
        <v>3017</v>
      </c>
      <c r="B951" s="112">
        <v>2</v>
      </c>
      <c r="C951" s="114">
        <v>0.0004118981407517484</v>
      </c>
      <c r="D951" s="112" t="s">
        <v>3314</v>
      </c>
      <c r="E951" s="112" t="b">
        <v>0</v>
      </c>
      <c r="F951" s="112" t="b">
        <v>0</v>
      </c>
      <c r="G951" s="112" t="b">
        <v>0</v>
      </c>
    </row>
    <row r="952" spans="1:7" ht="15">
      <c r="A952" s="112" t="s">
        <v>3018</v>
      </c>
      <c r="B952" s="112">
        <v>2</v>
      </c>
      <c r="C952" s="114">
        <v>0.0004118981407517484</v>
      </c>
      <c r="D952" s="112" t="s">
        <v>3314</v>
      </c>
      <c r="E952" s="112" t="b">
        <v>0</v>
      </c>
      <c r="F952" s="112" t="b">
        <v>0</v>
      </c>
      <c r="G952" s="112" t="b">
        <v>0</v>
      </c>
    </row>
    <row r="953" spans="1:7" ht="15">
      <c r="A953" s="112" t="s">
        <v>3019</v>
      </c>
      <c r="B953" s="112">
        <v>2</v>
      </c>
      <c r="C953" s="114">
        <v>0.00036261359660243913</v>
      </c>
      <c r="D953" s="112" t="s">
        <v>3314</v>
      </c>
      <c r="E953" s="112" t="b">
        <v>0</v>
      </c>
      <c r="F953" s="112" t="b">
        <v>0</v>
      </c>
      <c r="G953" s="112" t="b">
        <v>0</v>
      </c>
    </row>
    <row r="954" spans="1:7" ht="15">
      <c r="A954" s="112" t="s">
        <v>3020</v>
      </c>
      <c r="B954" s="112">
        <v>2</v>
      </c>
      <c r="C954" s="114">
        <v>0.00036261359660243913</v>
      </c>
      <c r="D954" s="112" t="s">
        <v>3314</v>
      </c>
      <c r="E954" s="112" t="b">
        <v>0</v>
      </c>
      <c r="F954" s="112" t="b">
        <v>0</v>
      </c>
      <c r="G954" s="112" t="b">
        <v>0</v>
      </c>
    </row>
    <row r="955" spans="1:7" ht="15">
      <c r="A955" s="112" t="s">
        <v>3021</v>
      </c>
      <c r="B955" s="112">
        <v>2</v>
      </c>
      <c r="C955" s="114">
        <v>0.00036261359660243913</v>
      </c>
      <c r="D955" s="112" t="s">
        <v>3314</v>
      </c>
      <c r="E955" s="112" t="b">
        <v>0</v>
      </c>
      <c r="F955" s="112" t="b">
        <v>0</v>
      </c>
      <c r="G955" s="112" t="b">
        <v>0</v>
      </c>
    </row>
    <row r="956" spans="1:7" ht="15">
      <c r="A956" s="112" t="s">
        <v>3022</v>
      </c>
      <c r="B956" s="112">
        <v>2</v>
      </c>
      <c r="C956" s="114">
        <v>0.00036261359660243913</v>
      </c>
      <c r="D956" s="112" t="s">
        <v>3314</v>
      </c>
      <c r="E956" s="112" t="b">
        <v>0</v>
      </c>
      <c r="F956" s="112" t="b">
        <v>0</v>
      </c>
      <c r="G956" s="112" t="b">
        <v>0</v>
      </c>
    </row>
    <row r="957" spans="1:7" ht="15">
      <c r="A957" s="112" t="s">
        <v>3023</v>
      </c>
      <c r="B957" s="112">
        <v>2</v>
      </c>
      <c r="C957" s="114">
        <v>0.00036261359660243913</v>
      </c>
      <c r="D957" s="112" t="s">
        <v>3314</v>
      </c>
      <c r="E957" s="112" t="b">
        <v>0</v>
      </c>
      <c r="F957" s="112" t="b">
        <v>0</v>
      </c>
      <c r="G957" s="112" t="b">
        <v>0</v>
      </c>
    </row>
    <row r="958" spans="1:7" ht="15">
      <c r="A958" s="112" t="s">
        <v>3024</v>
      </c>
      <c r="B958" s="112">
        <v>2</v>
      </c>
      <c r="C958" s="114">
        <v>0.00036261359660243913</v>
      </c>
      <c r="D958" s="112" t="s">
        <v>3314</v>
      </c>
      <c r="E958" s="112" t="b">
        <v>0</v>
      </c>
      <c r="F958" s="112" t="b">
        <v>0</v>
      </c>
      <c r="G958" s="112" t="b">
        <v>0</v>
      </c>
    </row>
    <row r="959" spans="1:7" ht="15">
      <c r="A959" s="112" t="s">
        <v>3025</v>
      </c>
      <c r="B959" s="112">
        <v>2</v>
      </c>
      <c r="C959" s="114">
        <v>0.00036261359660243913</v>
      </c>
      <c r="D959" s="112" t="s">
        <v>3314</v>
      </c>
      <c r="E959" s="112" t="b">
        <v>0</v>
      </c>
      <c r="F959" s="112" t="b">
        <v>0</v>
      </c>
      <c r="G959" s="112" t="b">
        <v>0</v>
      </c>
    </row>
    <row r="960" spans="1:7" ht="15">
      <c r="A960" s="112" t="s">
        <v>3026</v>
      </c>
      <c r="B960" s="112">
        <v>2</v>
      </c>
      <c r="C960" s="114">
        <v>0.00036261359660243913</v>
      </c>
      <c r="D960" s="112" t="s">
        <v>3314</v>
      </c>
      <c r="E960" s="112" t="b">
        <v>0</v>
      </c>
      <c r="F960" s="112" t="b">
        <v>0</v>
      </c>
      <c r="G960" s="112" t="b">
        <v>0</v>
      </c>
    </row>
    <row r="961" spans="1:7" ht="15">
      <c r="A961" s="112" t="s">
        <v>3027</v>
      </c>
      <c r="B961" s="112">
        <v>2</v>
      </c>
      <c r="C961" s="114">
        <v>0.00036261359660243913</v>
      </c>
      <c r="D961" s="112" t="s">
        <v>3314</v>
      </c>
      <c r="E961" s="112" t="b">
        <v>0</v>
      </c>
      <c r="F961" s="112" t="b">
        <v>0</v>
      </c>
      <c r="G961" s="112" t="b">
        <v>0</v>
      </c>
    </row>
    <row r="962" spans="1:7" ht="15">
      <c r="A962" s="112" t="s">
        <v>3028</v>
      </c>
      <c r="B962" s="112">
        <v>2</v>
      </c>
      <c r="C962" s="114">
        <v>0.0004118981407517484</v>
      </c>
      <c r="D962" s="112" t="s">
        <v>3314</v>
      </c>
      <c r="E962" s="112" t="b">
        <v>0</v>
      </c>
      <c r="F962" s="112" t="b">
        <v>0</v>
      </c>
      <c r="G962" s="112" t="b">
        <v>0</v>
      </c>
    </row>
    <row r="963" spans="1:7" ht="15">
      <c r="A963" s="112" t="s">
        <v>3029</v>
      </c>
      <c r="B963" s="112">
        <v>2</v>
      </c>
      <c r="C963" s="114">
        <v>0.00036261359660243913</v>
      </c>
      <c r="D963" s="112" t="s">
        <v>3314</v>
      </c>
      <c r="E963" s="112" t="b">
        <v>0</v>
      </c>
      <c r="F963" s="112" t="b">
        <v>0</v>
      </c>
      <c r="G963" s="112" t="b">
        <v>0</v>
      </c>
    </row>
    <row r="964" spans="1:7" ht="15">
      <c r="A964" s="112" t="s">
        <v>3030</v>
      </c>
      <c r="B964" s="112">
        <v>2</v>
      </c>
      <c r="C964" s="114">
        <v>0.0004118981407517484</v>
      </c>
      <c r="D964" s="112" t="s">
        <v>3314</v>
      </c>
      <c r="E964" s="112" t="b">
        <v>0</v>
      </c>
      <c r="F964" s="112" t="b">
        <v>0</v>
      </c>
      <c r="G964" s="112" t="b">
        <v>0</v>
      </c>
    </row>
    <row r="965" spans="1:7" ht="15">
      <c r="A965" s="112" t="s">
        <v>3031</v>
      </c>
      <c r="B965" s="112">
        <v>2</v>
      </c>
      <c r="C965" s="114">
        <v>0.00036261359660243913</v>
      </c>
      <c r="D965" s="112" t="s">
        <v>3314</v>
      </c>
      <c r="E965" s="112" t="b">
        <v>0</v>
      </c>
      <c r="F965" s="112" t="b">
        <v>0</v>
      </c>
      <c r="G965" s="112" t="b">
        <v>0</v>
      </c>
    </row>
    <row r="966" spans="1:7" ht="15">
      <c r="A966" s="112" t="s">
        <v>3032</v>
      </c>
      <c r="B966" s="112">
        <v>2</v>
      </c>
      <c r="C966" s="114">
        <v>0.00036261359660243913</v>
      </c>
      <c r="D966" s="112" t="s">
        <v>3314</v>
      </c>
      <c r="E966" s="112" t="b">
        <v>0</v>
      </c>
      <c r="F966" s="112" t="b">
        <v>1</v>
      </c>
      <c r="G966" s="112" t="b">
        <v>0</v>
      </c>
    </row>
    <row r="967" spans="1:7" ht="15">
      <c r="A967" s="112" t="s">
        <v>3033</v>
      </c>
      <c r="B967" s="112">
        <v>2</v>
      </c>
      <c r="C967" s="114">
        <v>0.00036261359660243913</v>
      </c>
      <c r="D967" s="112" t="s">
        <v>3314</v>
      </c>
      <c r="E967" s="112" t="b">
        <v>0</v>
      </c>
      <c r="F967" s="112" t="b">
        <v>0</v>
      </c>
      <c r="G967" s="112" t="b">
        <v>0</v>
      </c>
    </row>
    <row r="968" spans="1:7" ht="15">
      <c r="A968" s="112" t="s">
        <v>3034</v>
      </c>
      <c r="B968" s="112">
        <v>2</v>
      </c>
      <c r="C968" s="114">
        <v>0.00036261359660243913</v>
      </c>
      <c r="D968" s="112" t="s">
        <v>3314</v>
      </c>
      <c r="E968" s="112" t="b">
        <v>0</v>
      </c>
      <c r="F968" s="112" t="b">
        <v>0</v>
      </c>
      <c r="G968" s="112" t="b">
        <v>0</v>
      </c>
    </row>
    <row r="969" spans="1:7" ht="15">
      <c r="A969" s="112" t="s">
        <v>3035</v>
      </c>
      <c r="B969" s="112">
        <v>2</v>
      </c>
      <c r="C969" s="114">
        <v>0.0004118981407517484</v>
      </c>
      <c r="D969" s="112" t="s">
        <v>3314</v>
      </c>
      <c r="E969" s="112" t="b">
        <v>0</v>
      </c>
      <c r="F969" s="112" t="b">
        <v>0</v>
      </c>
      <c r="G969" s="112" t="b">
        <v>0</v>
      </c>
    </row>
    <row r="970" spans="1:7" ht="15">
      <c r="A970" s="112" t="s">
        <v>3036</v>
      </c>
      <c r="B970" s="112">
        <v>2</v>
      </c>
      <c r="C970" s="114">
        <v>0.00036261359660243913</v>
      </c>
      <c r="D970" s="112" t="s">
        <v>3314</v>
      </c>
      <c r="E970" s="112" t="b">
        <v>0</v>
      </c>
      <c r="F970" s="112" t="b">
        <v>0</v>
      </c>
      <c r="G970" s="112" t="b">
        <v>0</v>
      </c>
    </row>
    <row r="971" spans="1:7" ht="15">
      <c r="A971" s="112" t="s">
        <v>3037</v>
      </c>
      <c r="B971" s="112">
        <v>2</v>
      </c>
      <c r="C971" s="114">
        <v>0.0004118981407517484</v>
      </c>
      <c r="D971" s="112" t="s">
        <v>3314</v>
      </c>
      <c r="E971" s="112" t="b">
        <v>0</v>
      </c>
      <c r="F971" s="112" t="b">
        <v>0</v>
      </c>
      <c r="G971" s="112" t="b">
        <v>0</v>
      </c>
    </row>
    <row r="972" spans="1:7" ht="15">
      <c r="A972" s="112" t="s">
        <v>3038</v>
      </c>
      <c r="B972" s="112">
        <v>2</v>
      </c>
      <c r="C972" s="114">
        <v>0.00036261359660243913</v>
      </c>
      <c r="D972" s="112" t="s">
        <v>3314</v>
      </c>
      <c r="E972" s="112" t="b">
        <v>0</v>
      </c>
      <c r="F972" s="112" t="b">
        <v>1</v>
      </c>
      <c r="G972" s="112" t="b">
        <v>0</v>
      </c>
    </row>
    <row r="973" spans="1:7" ht="15">
      <c r="A973" s="112" t="s">
        <v>3039</v>
      </c>
      <c r="B973" s="112">
        <v>2</v>
      </c>
      <c r="C973" s="114">
        <v>0.00036261359660243913</v>
      </c>
      <c r="D973" s="112" t="s">
        <v>3314</v>
      </c>
      <c r="E973" s="112" t="b">
        <v>0</v>
      </c>
      <c r="F973" s="112" t="b">
        <v>0</v>
      </c>
      <c r="G973" s="112" t="b">
        <v>0</v>
      </c>
    </row>
    <row r="974" spans="1:7" ht="15">
      <c r="A974" s="112" t="s">
        <v>3040</v>
      </c>
      <c r="B974" s="112">
        <v>2</v>
      </c>
      <c r="C974" s="114">
        <v>0.00036261359660243913</v>
      </c>
      <c r="D974" s="112" t="s">
        <v>3314</v>
      </c>
      <c r="E974" s="112" t="b">
        <v>0</v>
      </c>
      <c r="F974" s="112" t="b">
        <v>1</v>
      </c>
      <c r="G974" s="112" t="b">
        <v>0</v>
      </c>
    </row>
    <row r="975" spans="1:7" ht="15">
      <c r="A975" s="112" t="s">
        <v>3041</v>
      </c>
      <c r="B975" s="112">
        <v>2</v>
      </c>
      <c r="C975" s="114">
        <v>0.00036261359660243913</v>
      </c>
      <c r="D975" s="112" t="s">
        <v>3314</v>
      </c>
      <c r="E975" s="112" t="b">
        <v>0</v>
      </c>
      <c r="F975" s="112" t="b">
        <v>0</v>
      </c>
      <c r="G975" s="112" t="b">
        <v>0</v>
      </c>
    </row>
    <row r="976" spans="1:7" ht="15">
      <c r="A976" s="112" t="s">
        <v>3042</v>
      </c>
      <c r="B976" s="112">
        <v>2</v>
      </c>
      <c r="C976" s="114">
        <v>0.00036261359660243913</v>
      </c>
      <c r="D976" s="112" t="s">
        <v>3314</v>
      </c>
      <c r="E976" s="112" t="b">
        <v>0</v>
      </c>
      <c r="F976" s="112" t="b">
        <v>0</v>
      </c>
      <c r="G976" s="112" t="b">
        <v>0</v>
      </c>
    </row>
    <row r="977" spans="1:7" ht="15">
      <c r="A977" s="112" t="s">
        <v>3043</v>
      </c>
      <c r="B977" s="112">
        <v>2</v>
      </c>
      <c r="C977" s="114">
        <v>0.0004118981407517484</v>
      </c>
      <c r="D977" s="112" t="s">
        <v>3314</v>
      </c>
      <c r="E977" s="112" t="b">
        <v>0</v>
      </c>
      <c r="F977" s="112" t="b">
        <v>0</v>
      </c>
      <c r="G977" s="112" t="b">
        <v>0</v>
      </c>
    </row>
    <row r="978" spans="1:7" ht="15">
      <c r="A978" s="112" t="s">
        <v>3044</v>
      </c>
      <c r="B978" s="112">
        <v>2</v>
      </c>
      <c r="C978" s="114">
        <v>0.0004118981407517484</v>
      </c>
      <c r="D978" s="112" t="s">
        <v>3314</v>
      </c>
      <c r="E978" s="112" t="b">
        <v>0</v>
      </c>
      <c r="F978" s="112" t="b">
        <v>0</v>
      </c>
      <c r="G978" s="112" t="b">
        <v>0</v>
      </c>
    </row>
    <row r="979" spans="1:7" ht="15">
      <c r="A979" s="112" t="s">
        <v>3045</v>
      </c>
      <c r="B979" s="112">
        <v>2</v>
      </c>
      <c r="C979" s="114">
        <v>0.00036261359660243913</v>
      </c>
      <c r="D979" s="112" t="s">
        <v>3314</v>
      </c>
      <c r="E979" s="112" t="b">
        <v>0</v>
      </c>
      <c r="F979" s="112" t="b">
        <v>0</v>
      </c>
      <c r="G979" s="112" t="b">
        <v>0</v>
      </c>
    </row>
    <row r="980" spans="1:7" ht="15">
      <c r="A980" s="112" t="s">
        <v>3046</v>
      </c>
      <c r="B980" s="112">
        <v>2</v>
      </c>
      <c r="C980" s="114">
        <v>0.0004118981407517484</v>
      </c>
      <c r="D980" s="112" t="s">
        <v>3314</v>
      </c>
      <c r="E980" s="112" t="b">
        <v>0</v>
      </c>
      <c r="F980" s="112" t="b">
        <v>0</v>
      </c>
      <c r="G980" s="112" t="b">
        <v>0</v>
      </c>
    </row>
    <row r="981" spans="1:7" ht="15">
      <c r="A981" s="112" t="s">
        <v>3047</v>
      </c>
      <c r="B981" s="112">
        <v>2</v>
      </c>
      <c r="C981" s="114">
        <v>0.00036261359660243913</v>
      </c>
      <c r="D981" s="112" t="s">
        <v>3314</v>
      </c>
      <c r="E981" s="112" t="b">
        <v>0</v>
      </c>
      <c r="F981" s="112" t="b">
        <v>0</v>
      </c>
      <c r="G981" s="112" t="b">
        <v>0</v>
      </c>
    </row>
    <row r="982" spans="1:7" ht="15">
      <c r="A982" s="112" t="s">
        <v>3048</v>
      </c>
      <c r="B982" s="112">
        <v>2</v>
      </c>
      <c r="C982" s="114">
        <v>0.00036261359660243913</v>
      </c>
      <c r="D982" s="112" t="s">
        <v>3314</v>
      </c>
      <c r="E982" s="112" t="b">
        <v>0</v>
      </c>
      <c r="F982" s="112" t="b">
        <v>0</v>
      </c>
      <c r="G982" s="112" t="b">
        <v>0</v>
      </c>
    </row>
    <row r="983" spans="1:7" ht="15">
      <c r="A983" s="112" t="s">
        <v>3049</v>
      </c>
      <c r="B983" s="112">
        <v>2</v>
      </c>
      <c r="C983" s="114">
        <v>0.00036261359660243913</v>
      </c>
      <c r="D983" s="112" t="s">
        <v>3314</v>
      </c>
      <c r="E983" s="112" t="b">
        <v>0</v>
      </c>
      <c r="F983" s="112" t="b">
        <v>0</v>
      </c>
      <c r="G983" s="112" t="b">
        <v>0</v>
      </c>
    </row>
    <row r="984" spans="1:7" ht="15">
      <c r="A984" s="112" t="s">
        <v>3050</v>
      </c>
      <c r="B984" s="112">
        <v>2</v>
      </c>
      <c r="C984" s="114">
        <v>0.00036261359660243913</v>
      </c>
      <c r="D984" s="112" t="s">
        <v>3314</v>
      </c>
      <c r="E984" s="112" t="b">
        <v>0</v>
      </c>
      <c r="F984" s="112" t="b">
        <v>0</v>
      </c>
      <c r="G984" s="112" t="b">
        <v>0</v>
      </c>
    </row>
    <row r="985" spans="1:7" ht="15">
      <c r="A985" s="112" t="s">
        <v>3051</v>
      </c>
      <c r="B985" s="112">
        <v>2</v>
      </c>
      <c r="C985" s="114">
        <v>0.00036261359660243913</v>
      </c>
      <c r="D985" s="112" t="s">
        <v>3314</v>
      </c>
      <c r="E985" s="112" t="b">
        <v>0</v>
      </c>
      <c r="F985" s="112" t="b">
        <v>0</v>
      </c>
      <c r="G985" s="112" t="b">
        <v>0</v>
      </c>
    </row>
    <row r="986" spans="1:7" ht="15">
      <c r="A986" s="112" t="s">
        <v>3052</v>
      </c>
      <c r="B986" s="112">
        <v>2</v>
      </c>
      <c r="C986" s="114">
        <v>0.00036261359660243913</v>
      </c>
      <c r="D986" s="112" t="s">
        <v>3314</v>
      </c>
      <c r="E986" s="112" t="b">
        <v>0</v>
      </c>
      <c r="F986" s="112" t="b">
        <v>0</v>
      </c>
      <c r="G986" s="112" t="b">
        <v>0</v>
      </c>
    </row>
    <row r="987" spans="1:7" ht="15">
      <c r="A987" s="112" t="s">
        <v>3053</v>
      </c>
      <c r="B987" s="112">
        <v>2</v>
      </c>
      <c r="C987" s="114">
        <v>0.00036261359660243913</v>
      </c>
      <c r="D987" s="112" t="s">
        <v>3314</v>
      </c>
      <c r="E987" s="112" t="b">
        <v>0</v>
      </c>
      <c r="F987" s="112" t="b">
        <v>0</v>
      </c>
      <c r="G987" s="112" t="b">
        <v>0</v>
      </c>
    </row>
    <row r="988" spans="1:7" ht="15">
      <c r="A988" s="112" t="s">
        <v>3054</v>
      </c>
      <c r="B988" s="112">
        <v>2</v>
      </c>
      <c r="C988" s="114">
        <v>0.00036261359660243913</v>
      </c>
      <c r="D988" s="112" t="s">
        <v>3314</v>
      </c>
      <c r="E988" s="112" t="b">
        <v>0</v>
      </c>
      <c r="F988" s="112" t="b">
        <v>0</v>
      </c>
      <c r="G988" s="112" t="b">
        <v>0</v>
      </c>
    </row>
    <row r="989" spans="1:7" ht="15">
      <c r="A989" s="112" t="s">
        <v>3055</v>
      </c>
      <c r="B989" s="112">
        <v>2</v>
      </c>
      <c r="C989" s="114">
        <v>0.00036261359660243913</v>
      </c>
      <c r="D989" s="112" t="s">
        <v>3314</v>
      </c>
      <c r="E989" s="112" t="b">
        <v>0</v>
      </c>
      <c r="F989" s="112" t="b">
        <v>0</v>
      </c>
      <c r="G989" s="112" t="b">
        <v>0</v>
      </c>
    </row>
    <row r="990" spans="1:7" ht="15">
      <c r="A990" s="112" t="s">
        <v>3056</v>
      </c>
      <c r="B990" s="112">
        <v>2</v>
      </c>
      <c r="C990" s="114">
        <v>0.00036261359660243913</v>
      </c>
      <c r="D990" s="112" t="s">
        <v>3314</v>
      </c>
      <c r="E990" s="112" t="b">
        <v>0</v>
      </c>
      <c r="F990" s="112" t="b">
        <v>0</v>
      </c>
      <c r="G990" s="112" t="b">
        <v>0</v>
      </c>
    </row>
    <row r="991" spans="1:7" ht="15">
      <c r="A991" s="112" t="s">
        <v>3057</v>
      </c>
      <c r="B991" s="112">
        <v>2</v>
      </c>
      <c r="C991" s="114">
        <v>0.00036261359660243913</v>
      </c>
      <c r="D991" s="112" t="s">
        <v>3314</v>
      </c>
      <c r="E991" s="112" t="b">
        <v>0</v>
      </c>
      <c r="F991" s="112" t="b">
        <v>0</v>
      </c>
      <c r="G991" s="112" t="b">
        <v>0</v>
      </c>
    </row>
    <row r="992" spans="1:7" ht="15">
      <c r="A992" s="112" t="s">
        <v>3058</v>
      </c>
      <c r="B992" s="112">
        <v>2</v>
      </c>
      <c r="C992" s="114">
        <v>0.0004118981407517484</v>
      </c>
      <c r="D992" s="112" t="s">
        <v>3314</v>
      </c>
      <c r="E992" s="112" t="b">
        <v>0</v>
      </c>
      <c r="F992" s="112" t="b">
        <v>0</v>
      </c>
      <c r="G992" s="112" t="b">
        <v>0</v>
      </c>
    </row>
    <row r="993" spans="1:7" ht="15">
      <c r="A993" s="112" t="s">
        <v>3059</v>
      </c>
      <c r="B993" s="112">
        <v>2</v>
      </c>
      <c r="C993" s="114">
        <v>0.0004118981407517484</v>
      </c>
      <c r="D993" s="112" t="s">
        <v>3314</v>
      </c>
      <c r="E993" s="112" t="b">
        <v>0</v>
      </c>
      <c r="F993" s="112" t="b">
        <v>0</v>
      </c>
      <c r="G993" s="112" t="b">
        <v>0</v>
      </c>
    </row>
    <row r="994" spans="1:7" ht="15">
      <c r="A994" s="112" t="s">
        <v>3060</v>
      </c>
      <c r="B994" s="112">
        <v>2</v>
      </c>
      <c r="C994" s="114">
        <v>0.00036261359660243913</v>
      </c>
      <c r="D994" s="112" t="s">
        <v>3314</v>
      </c>
      <c r="E994" s="112" t="b">
        <v>0</v>
      </c>
      <c r="F994" s="112" t="b">
        <v>0</v>
      </c>
      <c r="G994" s="112" t="b">
        <v>0</v>
      </c>
    </row>
    <row r="995" spans="1:7" ht="15">
      <c r="A995" s="112" t="s">
        <v>3061</v>
      </c>
      <c r="B995" s="112">
        <v>2</v>
      </c>
      <c r="C995" s="114">
        <v>0.0004118981407517484</v>
      </c>
      <c r="D995" s="112" t="s">
        <v>3314</v>
      </c>
      <c r="E995" s="112" t="b">
        <v>0</v>
      </c>
      <c r="F995" s="112" t="b">
        <v>0</v>
      </c>
      <c r="G995" s="112" t="b">
        <v>0</v>
      </c>
    </row>
    <row r="996" spans="1:7" ht="15">
      <c r="A996" s="112" t="s">
        <v>3062</v>
      </c>
      <c r="B996" s="112">
        <v>2</v>
      </c>
      <c r="C996" s="114">
        <v>0.0004118981407517484</v>
      </c>
      <c r="D996" s="112" t="s">
        <v>3314</v>
      </c>
      <c r="E996" s="112" t="b">
        <v>0</v>
      </c>
      <c r="F996" s="112" t="b">
        <v>0</v>
      </c>
      <c r="G996" s="112" t="b">
        <v>0</v>
      </c>
    </row>
    <row r="997" spans="1:7" ht="15">
      <c r="A997" s="112" t="s">
        <v>3063</v>
      </c>
      <c r="B997" s="112">
        <v>2</v>
      </c>
      <c r="C997" s="114">
        <v>0.00036261359660243913</v>
      </c>
      <c r="D997" s="112" t="s">
        <v>3314</v>
      </c>
      <c r="E997" s="112" t="b">
        <v>0</v>
      </c>
      <c r="F997" s="112" t="b">
        <v>0</v>
      </c>
      <c r="G997" s="112" t="b">
        <v>0</v>
      </c>
    </row>
    <row r="998" spans="1:7" ht="15">
      <c r="A998" s="112" t="s">
        <v>3064</v>
      </c>
      <c r="B998" s="112">
        <v>2</v>
      </c>
      <c r="C998" s="114">
        <v>0.00036261359660243913</v>
      </c>
      <c r="D998" s="112" t="s">
        <v>3314</v>
      </c>
      <c r="E998" s="112" t="b">
        <v>0</v>
      </c>
      <c r="F998" s="112" t="b">
        <v>0</v>
      </c>
      <c r="G998" s="112" t="b">
        <v>0</v>
      </c>
    </row>
    <row r="999" spans="1:7" ht="15">
      <c r="A999" s="112" t="s">
        <v>3065</v>
      </c>
      <c r="B999" s="112">
        <v>2</v>
      </c>
      <c r="C999" s="114">
        <v>0.00036261359660243913</v>
      </c>
      <c r="D999" s="112" t="s">
        <v>3314</v>
      </c>
      <c r="E999" s="112" t="b">
        <v>0</v>
      </c>
      <c r="F999" s="112" t="b">
        <v>0</v>
      </c>
      <c r="G999" s="112" t="b">
        <v>0</v>
      </c>
    </row>
    <row r="1000" spans="1:7" ht="15">
      <c r="A1000" s="112" t="s">
        <v>3066</v>
      </c>
      <c r="B1000" s="112">
        <v>2</v>
      </c>
      <c r="C1000" s="114">
        <v>0.0004118981407517484</v>
      </c>
      <c r="D1000" s="112" t="s">
        <v>3314</v>
      </c>
      <c r="E1000" s="112" t="b">
        <v>0</v>
      </c>
      <c r="F1000" s="112" t="b">
        <v>0</v>
      </c>
      <c r="G1000" s="112" t="b">
        <v>0</v>
      </c>
    </row>
    <row r="1001" spans="1:7" ht="15">
      <c r="A1001" s="112" t="s">
        <v>3067</v>
      </c>
      <c r="B1001" s="112">
        <v>2</v>
      </c>
      <c r="C1001" s="114">
        <v>0.00036261359660243913</v>
      </c>
      <c r="D1001" s="112" t="s">
        <v>3314</v>
      </c>
      <c r="E1001" s="112" t="b">
        <v>0</v>
      </c>
      <c r="F1001" s="112" t="b">
        <v>0</v>
      </c>
      <c r="G1001" s="112" t="b">
        <v>0</v>
      </c>
    </row>
    <row r="1002" spans="1:7" ht="15">
      <c r="A1002" s="112" t="s">
        <v>3068</v>
      </c>
      <c r="B1002" s="112">
        <v>2</v>
      </c>
      <c r="C1002" s="114">
        <v>0.00036261359660243913</v>
      </c>
      <c r="D1002" s="112" t="s">
        <v>3314</v>
      </c>
      <c r="E1002" s="112" t="b">
        <v>0</v>
      </c>
      <c r="F1002" s="112" t="b">
        <v>0</v>
      </c>
      <c r="G1002" s="112" t="b">
        <v>0</v>
      </c>
    </row>
    <row r="1003" spans="1:7" ht="15">
      <c r="A1003" s="112" t="s">
        <v>3069</v>
      </c>
      <c r="B1003" s="112">
        <v>2</v>
      </c>
      <c r="C1003" s="114">
        <v>0.00036261359660243913</v>
      </c>
      <c r="D1003" s="112" t="s">
        <v>3314</v>
      </c>
      <c r="E1003" s="112" t="b">
        <v>0</v>
      </c>
      <c r="F1003" s="112" t="b">
        <v>0</v>
      </c>
      <c r="G1003" s="112" t="b">
        <v>0</v>
      </c>
    </row>
    <row r="1004" spans="1:7" ht="15">
      <c r="A1004" s="112" t="s">
        <v>3070</v>
      </c>
      <c r="B1004" s="112">
        <v>2</v>
      </c>
      <c r="C1004" s="114">
        <v>0.00036261359660243913</v>
      </c>
      <c r="D1004" s="112" t="s">
        <v>3314</v>
      </c>
      <c r="E1004" s="112" t="b">
        <v>0</v>
      </c>
      <c r="F1004" s="112" t="b">
        <v>0</v>
      </c>
      <c r="G1004" s="112" t="b">
        <v>0</v>
      </c>
    </row>
    <row r="1005" spans="1:7" ht="15">
      <c r="A1005" s="112" t="s">
        <v>3071</v>
      </c>
      <c r="B1005" s="112">
        <v>2</v>
      </c>
      <c r="C1005" s="114">
        <v>0.0004118981407517484</v>
      </c>
      <c r="D1005" s="112" t="s">
        <v>3314</v>
      </c>
      <c r="E1005" s="112" t="b">
        <v>0</v>
      </c>
      <c r="F1005" s="112" t="b">
        <v>0</v>
      </c>
      <c r="G1005" s="112" t="b">
        <v>0</v>
      </c>
    </row>
    <row r="1006" spans="1:7" ht="15">
      <c r="A1006" s="112" t="s">
        <v>3072</v>
      </c>
      <c r="B1006" s="112">
        <v>2</v>
      </c>
      <c r="C1006" s="114">
        <v>0.0004118981407517484</v>
      </c>
      <c r="D1006" s="112" t="s">
        <v>3314</v>
      </c>
      <c r="E1006" s="112" t="b">
        <v>0</v>
      </c>
      <c r="F1006" s="112" t="b">
        <v>0</v>
      </c>
      <c r="G1006" s="112" t="b">
        <v>0</v>
      </c>
    </row>
    <row r="1007" spans="1:7" ht="15">
      <c r="A1007" s="112" t="s">
        <v>3073</v>
      </c>
      <c r="B1007" s="112">
        <v>2</v>
      </c>
      <c r="C1007" s="114">
        <v>0.00036261359660243913</v>
      </c>
      <c r="D1007" s="112" t="s">
        <v>3314</v>
      </c>
      <c r="E1007" s="112" t="b">
        <v>0</v>
      </c>
      <c r="F1007" s="112" t="b">
        <v>0</v>
      </c>
      <c r="G1007" s="112" t="b">
        <v>0</v>
      </c>
    </row>
    <row r="1008" spans="1:7" ht="15">
      <c r="A1008" s="112" t="s">
        <v>3074</v>
      </c>
      <c r="B1008" s="112">
        <v>2</v>
      </c>
      <c r="C1008" s="114">
        <v>0.00036261359660243913</v>
      </c>
      <c r="D1008" s="112" t="s">
        <v>3314</v>
      </c>
      <c r="E1008" s="112" t="b">
        <v>0</v>
      </c>
      <c r="F1008" s="112" t="b">
        <v>0</v>
      </c>
      <c r="G1008" s="112" t="b">
        <v>0</v>
      </c>
    </row>
    <row r="1009" spans="1:7" ht="15">
      <c r="A1009" s="112" t="s">
        <v>3075</v>
      </c>
      <c r="B1009" s="112">
        <v>2</v>
      </c>
      <c r="C1009" s="114">
        <v>0.00036261359660243913</v>
      </c>
      <c r="D1009" s="112" t="s">
        <v>3314</v>
      </c>
      <c r="E1009" s="112" t="b">
        <v>0</v>
      </c>
      <c r="F1009" s="112" t="b">
        <v>1</v>
      </c>
      <c r="G1009" s="112" t="b">
        <v>0</v>
      </c>
    </row>
    <row r="1010" spans="1:7" ht="15">
      <c r="A1010" s="112" t="s">
        <v>3076</v>
      </c>
      <c r="B1010" s="112">
        <v>2</v>
      </c>
      <c r="C1010" s="114">
        <v>0.00036261359660243913</v>
      </c>
      <c r="D1010" s="112" t="s">
        <v>3314</v>
      </c>
      <c r="E1010" s="112" t="b">
        <v>0</v>
      </c>
      <c r="F1010" s="112" t="b">
        <v>0</v>
      </c>
      <c r="G1010" s="112" t="b">
        <v>0</v>
      </c>
    </row>
    <row r="1011" spans="1:7" ht="15">
      <c r="A1011" s="112" t="s">
        <v>3077</v>
      </c>
      <c r="B1011" s="112">
        <v>2</v>
      </c>
      <c r="C1011" s="114">
        <v>0.00036261359660243913</v>
      </c>
      <c r="D1011" s="112" t="s">
        <v>3314</v>
      </c>
      <c r="E1011" s="112" t="b">
        <v>0</v>
      </c>
      <c r="F1011" s="112" t="b">
        <v>0</v>
      </c>
      <c r="G1011" s="112" t="b">
        <v>0</v>
      </c>
    </row>
    <row r="1012" spans="1:7" ht="15">
      <c r="A1012" s="112" t="s">
        <v>3078</v>
      </c>
      <c r="B1012" s="112">
        <v>2</v>
      </c>
      <c r="C1012" s="114">
        <v>0.00036261359660243913</v>
      </c>
      <c r="D1012" s="112" t="s">
        <v>3314</v>
      </c>
      <c r="E1012" s="112" t="b">
        <v>0</v>
      </c>
      <c r="F1012" s="112" t="b">
        <v>0</v>
      </c>
      <c r="G1012" s="112" t="b">
        <v>0</v>
      </c>
    </row>
    <row r="1013" spans="1:7" ht="15">
      <c r="A1013" s="112" t="s">
        <v>3079</v>
      </c>
      <c r="B1013" s="112">
        <v>2</v>
      </c>
      <c r="C1013" s="114">
        <v>0.00036261359660243913</v>
      </c>
      <c r="D1013" s="112" t="s">
        <v>3314</v>
      </c>
      <c r="E1013" s="112" t="b">
        <v>0</v>
      </c>
      <c r="F1013" s="112" t="b">
        <v>0</v>
      </c>
      <c r="G1013" s="112" t="b">
        <v>0</v>
      </c>
    </row>
    <row r="1014" spans="1:7" ht="15">
      <c r="A1014" s="112" t="s">
        <v>3080</v>
      </c>
      <c r="B1014" s="112">
        <v>2</v>
      </c>
      <c r="C1014" s="114">
        <v>0.0004118981407517484</v>
      </c>
      <c r="D1014" s="112" t="s">
        <v>3314</v>
      </c>
      <c r="E1014" s="112" t="b">
        <v>0</v>
      </c>
      <c r="F1014" s="112" t="b">
        <v>0</v>
      </c>
      <c r="G1014" s="112" t="b">
        <v>0</v>
      </c>
    </row>
    <row r="1015" spans="1:7" ht="15">
      <c r="A1015" s="112" t="s">
        <v>3081</v>
      </c>
      <c r="B1015" s="112">
        <v>2</v>
      </c>
      <c r="C1015" s="114">
        <v>0.00036261359660243913</v>
      </c>
      <c r="D1015" s="112" t="s">
        <v>3314</v>
      </c>
      <c r="E1015" s="112" t="b">
        <v>0</v>
      </c>
      <c r="F1015" s="112" t="b">
        <v>0</v>
      </c>
      <c r="G1015" s="112" t="b">
        <v>0</v>
      </c>
    </row>
    <row r="1016" spans="1:7" ht="15">
      <c r="A1016" s="112" t="s">
        <v>3082</v>
      </c>
      <c r="B1016" s="112">
        <v>2</v>
      </c>
      <c r="C1016" s="114">
        <v>0.00036261359660243913</v>
      </c>
      <c r="D1016" s="112" t="s">
        <v>3314</v>
      </c>
      <c r="E1016" s="112" t="b">
        <v>0</v>
      </c>
      <c r="F1016" s="112" t="b">
        <v>1</v>
      </c>
      <c r="G1016" s="112" t="b">
        <v>0</v>
      </c>
    </row>
    <row r="1017" spans="1:7" ht="15">
      <c r="A1017" s="112" t="s">
        <v>3083</v>
      </c>
      <c r="B1017" s="112">
        <v>2</v>
      </c>
      <c r="C1017" s="114">
        <v>0.0004118981407517484</v>
      </c>
      <c r="D1017" s="112" t="s">
        <v>3314</v>
      </c>
      <c r="E1017" s="112" t="b">
        <v>0</v>
      </c>
      <c r="F1017" s="112" t="b">
        <v>0</v>
      </c>
      <c r="G1017" s="112" t="b">
        <v>0</v>
      </c>
    </row>
    <row r="1018" spans="1:7" ht="15">
      <c r="A1018" s="112" t="s">
        <v>3084</v>
      </c>
      <c r="B1018" s="112">
        <v>2</v>
      </c>
      <c r="C1018" s="114">
        <v>0.0004118981407517484</v>
      </c>
      <c r="D1018" s="112" t="s">
        <v>3314</v>
      </c>
      <c r="E1018" s="112" t="b">
        <v>0</v>
      </c>
      <c r="F1018" s="112" t="b">
        <v>0</v>
      </c>
      <c r="G1018" s="112" t="b">
        <v>0</v>
      </c>
    </row>
    <row r="1019" spans="1:7" ht="15">
      <c r="A1019" s="112" t="s">
        <v>3085</v>
      </c>
      <c r="B1019" s="112">
        <v>2</v>
      </c>
      <c r="C1019" s="114">
        <v>0.00036261359660243913</v>
      </c>
      <c r="D1019" s="112" t="s">
        <v>3314</v>
      </c>
      <c r="E1019" s="112" t="b">
        <v>0</v>
      </c>
      <c r="F1019" s="112" t="b">
        <v>0</v>
      </c>
      <c r="G1019" s="112" t="b">
        <v>0</v>
      </c>
    </row>
    <row r="1020" spans="1:7" ht="15">
      <c r="A1020" s="112" t="s">
        <v>3086</v>
      </c>
      <c r="B1020" s="112">
        <v>2</v>
      </c>
      <c r="C1020" s="114">
        <v>0.00036261359660243913</v>
      </c>
      <c r="D1020" s="112" t="s">
        <v>3314</v>
      </c>
      <c r="E1020" s="112" t="b">
        <v>0</v>
      </c>
      <c r="F1020" s="112" t="b">
        <v>0</v>
      </c>
      <c r="G1020" s="112" t="b">
        <v>0</v>
      </c>
    </row>
    <row r="1021" spans="1:7" ht="15">
      <c r="A1021" s="112" t="s">
        <v>3087</v>
      </c>
      <c r="B1021" s="112">
        <v>2</v>
      </c>
      <c r="C1021" s="114">
        <v>0.00036261359660243913</v>
      </c>
      <c r="D1021" s="112" t="s">
        <v>3314</v>
      </c>
      <c r="E1021" s="112" t="b">
        <v>0</v>
      </c>
      <c r="F1021" s="112" t="b">
        <v>0</v>
      </c>
      <c r="G1021" s="112" t="b">
        <v>0</v>
      </c>
    </row>
    <row r="1022" spans="1:7" ht="15">
      <c r="A1022" s="112" t="s">
        <v>3088</v>
      </c>
      <c r="B1022" s="112">
        <v>2</v>
      </c>
      <c r="C1022" s="114">
        <v>0.0004118981407517484</v>
      </c>
      <c r="D1022" s="112" t="s">
        <v>3314</v>
      </c>
      <c r="E1022" s="112" t="b">
        <v>0</v>
      </c>
      <c r="F1022" s="112" t="b">
        <v>0</v>
      </c>
      <c r="G1022" s="112" t="b">
        <v>0</v>
      </c>
    </row>
    <row r="1023" spans="1:7" ht="15">
      <c r="A1023" s="112" t="s">
        <v>3089</v>
      </c>
      <c r="B1023" s="112">
        <v>2</v>
      </c>
      <c r="C1023" s="114">
        <v>0.00036261359660243913</v>
      </c>
      <c r="D1023" s="112" t="s">
        <v>3314</v>
      </c>
      <c r="E1023" s="112" t="b">
        <v>0</v>
      </c>
      <c r="F1023" s="112" t="b">
        <v>0</v>
      </c>
      <c r="G1023" s="112" t="b">
        <v>0</v>
      </c>
    </row>
    <row r="1024" spans="1:7" ht="15">
      <c r="A1024" s="112" t="s">
        <v>3090</v>
      </c>
      <c r="B1024" s="112">
        <v>2</v>
      </c>
      <c r="C1024" s="114">
        <v>0.0004118981407517484</v>
      </c>
      <c r="D1024" s="112" t="s">
        <v>3314</v>
      </c>
      <c r="E1024" s="112" t="b">
        <v>0</v>
      </c>
      <c r="F1024" s="112" t="b">
        <v>0</v>
      </c>
      <c r="G1024" s="112" t="b">
        <v>0</v>
      </c>
    </row>
    <row r="1025" spans="1:7" ht="15">
      <c r="A1025" s="112" t="s">
        <v>3091</v>
      </c>
      <c r="B1025" s="112">
        <v>2</v>
      </c>
      <c r="C1025" s="114">
        <v>0.00036261359660243913</v>
      </c>
      <c r="D1025" s="112" t="s">
        <v>3314</v>
      </c>
      <c r="E1025" s="112" t="b">
        <v>0</v>
      </c>
      <c r="F1025" s="112" t="b">
        <v>0</v>
      </c>
      <c r="G1025" s="112" t="b">
        <v>0</v>
      </c>
    </row>
    <row r="1026" spans="1:7" ht="15">
      <c r="A1026" s="112" t="s">
        <v>3092</v>
      </c>
      <c r="B1026" s="112">
        <v>2</v>
      </c>
      <c r="C1026" s="114">
        <v>0.00036261359660243913</v>
      </c>
      <c r="D1026" s="112" t="s">
        <v>3314</v>
      </c>
      <c r="E1026" s="112" t="b">
        <v>0</v>
      </c>
      <c r="F1026" s="112" t="b">
        <v>0</v>
      </c>
      <c r="G1026" s="112" t="b">
        <v>0</v>
      </c>
    </row>
    <row r="1027" spans="1:7" ht="15">
      <c r="A1027" s="112" t="s">
        <v>3093</v>
      </c>
      <c r="B1027" s="112">
        <v>2</v>
      </c>
      <c r="C1027" s="114">
        <v>0.00036261359660243913</v>
      </c>
      <c r="D1027" s="112" t="s">
        <v>3314</v>
      </c>
      <c r="E1027" s="112" t="b">
        <v>0</v>
      </c>
      <c r="F1027" s="112" t="b">
        <v>0</v>
      </c>
      <c r="G1027" s="112" t="b">
        <v>0</v>
      </c>
    </row>
    <row r="1028" spans="1:7" ht="15">
      <c r="A1028" s="112" t="s">
        <v>3094</v>
      </c>
      <c r="B1028" s="112">
        <v>2</v>
      </c>
      <c r="C1028" s="114">
        <v>0.0004118981407517484</v>
      </c>
      <c r="D1028" s="112" t="s">
        <v>3314</v>
      </c>
      <c r="E1028" s="112" t="b">
        <v>0</v>
      </c>
      <c r="F1028" s="112" t="b">
        <v>0</v>
      </c>
      <c r="G1028" s="112" t="b">
        <v>0</v>
      </c>
    </row>
    <row r="1029" spans="1:7" ht="15">
      <c r="A1029" s="112" t="s">
        <v>3095</v>
      </c>
      <c r="B1029" s="112">
        <v>2</v>
      </c>
      <c r="C1029" s="114">
        <v>0.00036261359660243913</v>
      </c>
      <c r="D1029" s="112" t="s">
        <v>3314</v>
      </c>
      <c r="E1029" s="112" t="b">
        <v>0</v>
      </c>
      <c r="F1029" s="112" t="b">
        <v>0</v>
      </c>
      <c r="G1029" s="112" t="b">
        <v>0</v>
      </c>
    </row>
    <row r="1030" spans="1:7" ht="15">
      <c r="A1030" s="112" t="s">
        <v>3096</v>
      </c>
      <c r="B1030" s="112">
        <v>2</v>
      </c>
      <c r="C1030" s="114">
        <v>0.00036261359660243913</v>
      </c>
      <c r="D1030" s="112" t="s">
        <v>3314</v>
      </c>
      <c r="E1030" s="112" t="b">
        <v>1</v>
      </c>
      <c r="F1030" s="112" t="b">
        <v>0</v>
      </c>
      <c r="G1030" s="112" t="b">
        <v>0</v>
      </c>
    </row>
    <row r="1031" spans="1:7" ht="15">
      <c r="A1031" s="112" t="s">
        <v>3097</v>
      </c>
      <c r="B1031" s="112">
        <v>2</v>
      </c>
      <c r="C1031" s="114">
        <v>0.00036261359660243913</v>
      </c>
      <c r="D1031" s="112" t="s">
        <v>3314</v>
      </c>
      <c r="E1031" s="112" t="b">
        <v>0</v>
      </c>
      <c r="F1031" s="112" t="b">
        <v>0</v>
      </c>
      <c r="G1031" s="112" t="b">
        <v>0</v>
      </c>
    </row>
    <row r="1032" spans="1:7" ht="15">
      <c r="A1032" s="112" t="s">
        <v>3098</v>
      </c>
      <c r="B1032" s="112">
        <v>2</v>
      </c>
      <c r="C1032" s="114">
        <v>0.00036261359660243913</v>
      </c>
      <c r="D1032" s="112" t="s">
        <v>3314</v>
      </c>
      <c r="E1032" s="112" t="b">
        <v>0</v>
      </c>
      <c r="F1032" s="112" t="b">
        <v>0</v>
      </c>
      <c r="G1032" s="112" t="b">
        <v>0</v>
      </c>
    </row>
    <row r="1033" spans="1:7" ht="15">
      <c r="A1033" s="112" t="s">
        <v>3099</v>
      </c>
      <c r="B1033" s="112">
        <v>2</v>
      </c>
      <c r="C1033" s="114">
        <v>0.00036261359660243913</v>
      </c>
      <c r="D1033" s="112" t="s">
        <v>3314</v>
      </c>
      <c r="E1033" s="112" t="b">
        <v>0</v>
      </c>
      <c r="F1033" s="112" t="b">
        <v>0</v>
      </c>
      <c r="G1033" s="112" t="b">
        <v>0</v>
      </c>
    </row>
    <row r="1034" spans="1:7" ht="15">
      <c r="A1034" s="112" t="s">
        <v>3100</v>
      </c>
      <c r="B1034" s="112">
        <v>2</v>
      </c>
      <c r="C1034" s="114">
        <v>0.00036261359660243913</v>
      </c>
      <c r="D1034" s="112" t="s">
        <v>3314</v>
      </c>
      <c r="E1034" s="112" t="b">
        <v>0</v>
      </c>
      <c r="F1034" s="112" t="b">
        <v>0</v>
      </c>
      <c r="G1034" s="112" t="b">
        <v>0</v>
      </c>
    </row>
    <row r="1035" spans="1:7" ht="15">
      <c r="A1035" s="112" t="s">
        <v>3101</v>
      </c>
      <c r="B1035" s="112">
        <v>2</v>
      </c>
      <c r="C1035" s="114">
        <v>0.00036261359660243913</v>
      </c>
      <c r="D1035" s="112" t="s">
        <v>3314</v>
      </c>
      <c r="E1035" s="112" t="b">
        <v>0</v>
      </c>
      <c r="F1035" s="112" t="b">
        <v>0</v>
      </c>
      <c r="G1035" s="112" t="b">
        <v>0</v>
      </c>
    </row>
    <row r="1036" spans="1:7" ht="15">
      <c r="A1036" s="112" t="s">
        <v>3102</v>
      </c>
      <c r="B1036" s="112">
        <v>2</v>
      </c>
      <c r="C1036" s="114">
        <v>0.00036261359660243913</v>
      </c>
      <c r="D1036" s="112" t="s">
        <v>3314</v>
      </c>
      <c r="E1036" s="112" t="b">
        <v>0</v>
      </c>
      <c r="F1036" s="112" t="b">
        <v>0</v>
      </c>
      <c r="G1036" s="112" t="b">
        <v>0</v>
      </c>
    </row>
    <row r="1037" spans="1:7" ht="15">
      <c r="A1037" s="112" t="s">
        <v>3103</v>
      </c>
      <c r="B1037" s="112">
        <v>2</v>
      </c>
      <c r="C1037" s="114">
        <v>0.00036261359660243913</v>
      </c>
      <c r="D1037" s="112" t="s">
        <v>3314</v>
      </c>
      <c r="E1037" s="112" t="b">
        <v>0</v>
      </c>
      <c r="F1037" s="112" t="b">
        <v>0</v>
      </c>
      <c r="G1037" s="112" t="b">
        <v>0</v>
      </c>
    </row>
    <row r="1038" spans="1:7" ht="15">
      <c r="A1038" s="112" t="s">
        <v>3104</v>
      </c>
      <c r="B1038" s="112">
        <v>2</v>
      </c>
      <c r="C1038" s="114">
        <v>0.0004118981407517484</v>
      </c>
      <c r="D1038" s="112" t="s">
        <v>3314</v>
      </c>
      <c r="E1038" s="112" t="b">
        <v>0</v>
      </c>
      <c r="F1038" s="112" t="b">
        <v>0</v>
      </c>
      <c r="G1038" s="112" t="b">
        <v>0</v>
      </c>
    </row>
    <row r="1039" spans="1:7" ht="15">
      <c r="A1039" s="112" t="s">
        <v>3105</v>
      </c>
      <c r="B1039" s="112">
        <v>2</v>
      </c>
      <c r="C1039" s="114">
        <v>0.0004118981407517484</v>
      </c>
      <c r="D1039" s="112" t="s">
        <v>3314</v>
      </c>
      <c r="E1039" s="112" t="b">
        <v>0</v>
      </c>
      <c r="F1039" s="112" t="b">
        <v>0</v>
      </c>
      <c r="G1039" s="112" t="b">
        <v>0</v>
      </c>
    </row>
    <row r="1040" spans="1:7" ht="15">
      <c r="A1040" s="112" t="s">
        <v>3106</v>
      </c>
      <c r="B1040" s="112">
        <v>2</v>
      </c>
      <c r="C1040" s="114">
        <v>0.00036261359660243913</v>
      </c>
      <c r="D1040" s="112" t="s">
        <v>3314</v>
      </c>
      <c r="E1040" s="112" t="b">
        <v>0</v>
      </c>
      <c r="F1040" s="112" t="b">
        <v>0</v>
      </c>
      <c r="G1040" s="112" t="b">
        <v>0</v>
      </c>
    </row>
    <row r="1041" spans="1:7" ht="15">
      <c r="A1041" s="112" t="s">
        <v>3107</v>
      </c>
      <c r="B1041" s="112">
        <v>2</v>
      </c>
      <c r="C1041" s="114">
        <v>0.0004118981407517484</v>
      </c>
      <c r="D1041" s="112" t="s">
        <v>3314</v>
      </c>
      <c r="E1041" s="112" t="b">
        <v>0</v>
      </c>
      <c r="F1041" s="112" t="b">
        <v>0</v>
      </c>
      <c r="G1041" s="112" t="b">
        <v>0</v>
      </c>
    </row>
    <row r="1042" spans="1:7" ht="15">
      <c r="A1042" s="112" t="s">
        <v>3108</v>
      </c>
      <c r="B1042" s="112">
        <v>2</v>
      </c>
      <c r="C1042" s="114">
        <v>0.00036261359660243913</v>
      </c>
      <c r="D1042" s="112" t="s">
        <v>3314</v>
      </c>
      <c r="E1042" s="112" t="b">
        <v>0</v>
      </c>
      <c r="F1042" s="112" t="b">
        <v>0</v>
      </c>
      <c r="G1042" s="112" t="b">
        <v>0</v>
      </c>
    </row>
    <row r="1043" spans="1:7" ht="15">
      <c r="A1043" s="112" t="s">
        <v>3109</v>
      </c>
      <c r="B1043" s="112">
        <v>2</v>
      </c>
      <c r="C1043" s="114">
        <v>0.00036261359660243913</v>
      </c>
      <c r="D1043" s="112" t="s">
        <v>3314</v>
      </c>
      <c r="E1043" s="112" t="b">
        <v>0</v>
      </c>
      <c r="F1043" s="112" t="b">
        <v>0</v>
      </c>
      <c r="G1043" s="112" t="b">
        <v>0</v>
      </c>
    </row>
    <row r="1044" spans="1:7" ht="15">
      <c r="A1044" s="112" t="s">
        <v>3110</v>
      </c>
      <c r="B1044" s="112">
        <v>2</v>
      </c>
      <c r="C1044" s="114">
        <v>0.00036261359660243913</v>
      </c>
      <c r="D1044" s="112" t="s">
        <v>3314</v>
      </c>
      <c r="E1044" s="112" t="b">
        <v>0</v>
      </c>
      <c r="F1044" s="112" t="b">
        <v>0</v>
      </c>
      <c r="G1044" s="112" t="b">
        <v>0</v>
      </c>
    </row>
    <row r="1045" spans="1:7" ht="15">
      <c r="A1045" s="112" t="s">
        <v>3111</v>
      </c>
      <c r="B1045" s="112">
        <v>2</v>
      </c>
      <c r="C1045" s="114">
        <v>0.0004118981407517484</v>
      </c>
      <c r="D1045" s="112" t="s">
        <v>3314</v>
      </c>
      <c r="E1045" s="112" t="b">
        <v>0</v>
      </c>
      <c r="F1045" s="112" t="b">
        <v>0</v>
      </c>
      <c r="G1045" s="112" t="b">
        <v>0</v>
      </c>
    </row>
    <row r="1046" spans="1:7" ht="15">
      <c r="A1046" s="112" t="s">
        <v>3112</v>
      </c>
      <c r="B1046" s="112">
        <v>2</v>
      </c>
      <c r="C1046" s="114">
        <v>0.0004118981407517484</v>
      </c>
      <c r="D1046" s="112" t="s">
        <v>3314</v>
      </c>
      <c r="E1046" s="112" t="b">
        <v>0</v>
      </c>
      <c r="F1046" s="112" t="b">
        <v>0</v>
      </c>
      <c r="G1046" s="112" t="b">
        <v>0</v>
      </c>
    </row>
    <row r="1047" spans="1:7" ht="15">
      <c r="A1047" s="112" t="s">
        <v>3113</v>
      </c>
      <c r="B1047" s="112">
        <v>2</v>
      </c>
      <c r="C1047" s="114">
        <v>0.0004118981407517484</v>
      </c>
      <c r="D1047" s="112" t="s">
        <v>3314</v>
      </c>
      <c r="E1047" s="112" t="b">
        <v>0</v>
      </c>
      <c r="F1047" s="112" t="b">
        <v>0</v>
      </c>
      <c r="G1047" s="112" t="b">
        <v>0</v>
      </c>
    </row>
    <row r="1048" spans="1:7" ht="15">
      <c r="A1048" s="112" t="s">
        <v>3114</v>
      </c>
      <c r="B1048" s="112">
        <v>2</v>
      </c>
      <c r="C1048" s="114">
        <v>0.00036261359660243913</v>
      </c>
      <c r="D1048" s="112" t="s">
        <v>3314</v>
      </c>
      <c r="E1048" s="112" t="b">
        <v>0</v>
      </c>
      <c r="F1048" s="112" t="b">
        <v>0</v>
      </c>
      <c r="G1048" s="112" t="b">
        <v>0</v>
      </c>
    </row>
    <row r="1049" spans="1:7" ht="15">
      <c r="A1049" s="112" t="s">
        <v>3115</v>
      </c>
      <c r="B1049" s="112">
        <v>2</v>
      </c>
      <c r="C1049" s="114">
        <v>0.0004118981407517484</v>
      </c>
      <c r="D1049" s="112" t="s">
        <v>3314</v>
      </c>
      <c r="E1049" s="112" t="b">
        <v>0</v>
      </c>
      <c r="F1049" s="112" t="b">
        <v>0</v>
      </c>
      <c r="G1049" s="112" t="b">
        <v>0</v>
      </c>
    </row>
    <row r="1050" spans="1:7" ht="15">
      <c r="A1050" s="112" t="s">
        <v>3116</v>
      </c>
      <c r="B1050" s="112">
        <v>2</v>
      </c>
      <c r="C1050" s="114">
        <v>0.00036261359660243913</v>
      </c>
      <c r="D1050" s="112" t="s">
        <v>3314</v>
      </c>
      <c r="E1050" s="112" t="b">
        <v>0</v>
      </c>
      <c r="F1050" s="112" t="b">
        <v>1</v>
      </c>
      <c r="G1050" s="112" t="b">
        <v>0</v>
      </c>
    </row>
    <row r="1051" spans="1:7" ht="15">
      <c r="A1051" s="112" t="s">
        <v>3117</v>
      </c>
      <c r="B1051" s="112">
        <v>2</v>
      </c>
      <c r="C1051" s="114">
        <v>0.00036261359660243913</v>
      </c>
      <c r="D1051" s="112" t="s">
        <v>3314</v>
      </c>
      <c r="E1051" s="112" t="b">
        <v>0</v>
      </c>
      <c r="F1051" s="112" t="b">
        <v>0</v>
      </c>
      <c r="G1051" s="112" t="b">
        <v>0</v>
      </c>
    </row>
    <row r="1052" spans="1:7" ht="15">
      <c r="A1052" s="112" t="s">
        <v>3118</v>
      </c>
      <c r="B1052" s="112">
        <v>2</v>
      </c>
      <c r="C1052" s="114">
        <v>0.00036261359660243913</v>
      </c>
      <c r="D1052" s="112" t="s">
        <v>3314</v>
      </c>
      <c r="E1052" s="112" t="b">
        <v>0</v>
      </c>
      <c r="F1052" s="112" t="b">
        <v>0</v>
      </c>
      <c r="G1052" s="112" t="b">
        <v>0</v>
      </c>
    </row>
    <row r="1053" spans="1:7" ht="15">
      <c r="A1053" s="112" t="s">
        <v>3119</v>
      </c>
      <c r="B1053" s="112">
        <v>2</v>
      </c>
      <c r="C1053" s="114">
        <v>0.00036261359660243913</v>
      </c>
      <c r="D1053" s="112" t="s">
        <v>3314</v>
      </c>
      <c r="E1053" s="112" t="b">
        <v>0</v>
      </c>
      <c r="F1053" s="112" t="b">
        <v>0</v>
      </c>
      <c r="G1053" s="112" t="b">
        <v>0</v>
      </c>
    </row>
    <row r="1054" spans="1:7" ht="15">
      <c r="A1054" s="112" t="s">
        <v>3120</v>
      </c>
      <c r="B1054" s="112">
        <v>2</v>
      </c>
      <c r="C1054" s="114">
        <v>0.00036261359660243913</v>
      </c>
      <c r="D1054" s="112" t="s">
        <v>3314</v>
      </c>
      <c r="E1054" s="112" t="b">
        <v>0</v>
      </c>
      <c r="F1054" s="112" t="b">
        <v>0</v>
      </c>
      <c r="G1054" s="112" t="b">
        <v>0</v>
      </c>
    </row>
    <row r="1055" spans="1:7" ht="15">
      <c r="A1055" s="112" t="s">
        <v>3121</v>
      </c>
      <c r="B1055" s="112">
        <v>2</v>
      </c>
      <c r="C1055" s="114">
        <v>0.00036261359660243913</v>
      </c>
      <c r="D1055" s="112" t="s">
        <v>3314</v>
      </c>
      <c r="E1055" s="112" t="b">
        <v>0</v>
      </c>
      <c r="F1055" s="112" t="b">
        <v>0</v>
      </c>
      <c r="G1055" s="112" t="b">
        <v>0</v>
      </c>
    </row>
    <row r="1056" spans="1:7" ht="15">
      <c r="A1056" s="112" t="s">
        <v>3122</v>
      </c>
      <c r="B1056" s="112">
        <v>2</v>
      </c>
      <c r="C1056" s="114">
        <v>0.00036261359660243913</v>
      </c>
      <c r="D1056" s="112" t="s">
        <v>3314</v>
      </c>
      <c r="E1056" s="112" t="b">
        <v>0</v>
      </c>
      <c r="F1056" s="112" t="b">
        <v>0</v>
      </c>
      <c r="G1056" s="112" t="b">
        <v>0</v>
      </c>
    </row>
    <row r="1057" spans="1:7" ht="15">
      <c r="A1057" s="112" t="s">
        <v>3123</v>
      </c>
      <c r="B1057" s="112">
        <v>2</v>
      </c>
      <c r="C1057" s="114">
        <v>0.00036261359660243913</v>
      </c>
      <c r="D1057" s="112" t="s">
        <v>3314</v>
      </c>
      <c r="E1057" s="112" t="b">
        <v>0</v>
      </c>
      <c r="F1057" s="112" t="b">
        <v>0</v>
      </c>
      <c r="G1057" s="112" t="b">
        <v>0</v>
      </c>
    </row>
    <row r="1058" spans="1:7" ht="15">
      <c r="A1058" s="112" t="s">
        <v>3124</v>
      </c>
      <c r="B1058" s="112">
        <v>2</v>
      </c>
      <c r="C1058" s="114">
        <v>0.00036261359660243913</v>
      </c>
      <c r="D1058" s="112" t="s">
        <v>3314</v>
      </c>
      <c r="E1058" s="112" t="b">
        <v>0</v>
      </c>
      <c r="F1058" s="112" t="b">
        <v>0</v>
      </c>
      <c r="G1058" s="112" t="b">
        <v>0</v>
      </c>
    </row>
    <row r="1059" spans="1:7" ht="15">
      <c r="A1059" s="112" t="s">
        <v>3125</v>
      </c>
      <c r="B1059" s="112">
        <v>2</v>
      </c>
      <c r="C1059" s="114">
        <v>0.00036261359660243913</v>
      </c>
      <c r="D1059" s="112" t="s">
        <v>3314</v>
      </c>
      <c r="E1059" s="112" t="b">
        <v>0</v>
      </c>
      <c r="F1059" s="112" t="b">
        <v>0</v>
      </c>
      <c r="G1059" s="112" t="b">
        <v>0</v>
      </c>
    </row>
    <row r="1060" spans="1:7" ht="15">
      <c r="A1060" s="112" t="s">
        <v>3126</v>
      </c>
      <c r="B1060" s="112">
        <v>2</v>
      </c>
      <c r="C1060" s="114">
        <v>0.00036261359660243913</v>
      </c>
      <c r="D1060" s="112" t="s">
        <v>3314</v>
      </c>
      <c r="E1060" s="112" t="b">
        <v>0</v>
      </c>
      <c r="F1060" s="112" t="b">
        <v>0</v>
      </c>
      <c r="G1060" s="112" t="b">
        <v>0</v>
      </c>
    </row>
    <row r="1061" spans="1:7" ht="15">
      <c r="A1061" s="112" t="s">
        <v>3127</v>
      </c>
      <c r="B1061" s="112">
        <v>2</v>
      </c>
      <c r="C1061" s="114">
        <v>0.00036261359660243913</v>
      </c>
      <c r="D1061" s="112" t="s">
        <v>3314</v>
      </c>
      <c r="E1061" s="112" t="b">
        <v>0</v>
      </c>
      <c r="F1061" s="112" t="b">
        <v>0</v>
      </c>
      <c r="G1061" s="112" t="b">
        <v>0</v>
      </c>
    </row>
    <row r="1062" spans="1:7" ht="15">
      <c r="A1062" s="112" t="s">
        <v>3128</v>
      </c>
      <c r="B1062" s="112">
        <v>2</v>
      </c>
      <c r="C1062" s="114">
        <v>0.0004118981407517484</v>
      </c>
      <c r="D1062" s="112" t="s">
        <v>3314</v>
      </c>
      <c r="E1062" s="112" t="b">
        <v>0</v>
      </c>
      <c r="F1062" s="112" t="b">
        <v>0</v>
      </c>
      <c r="G1062" s="112" t="b">
        <v>0</v>
      </c>
    </row>
    <row r="1063" spans="1:7" ht="15">
      <c r="A1063" s="112" t="s">
        <v>3129</v>
      </c>
      <c r="B1063" s="112">
        <v>2</v>
      </c>
      <c r="C1063" s="114">
        <v>0.00036261359660243913</v>
      </c>
      <c r="D1063" s="112" t="s">
        <v>3314</v>
      </c>
      <c r="E1063" s="112" t="b">
        <v>0</v>
      </c>
      <c r="F1063" s="112" t="b">
        <v>0</v>
      </c>
      <c r="G1063" s="112" t="b">
        <v>0</v>
      </c>
    </row>
    <row r="1064" spans="1:7" ht="15">
      <c r="A1064" s="112" t="s">
        <v>3130</v>
      </c>
      <c r="B1064" s="112">
        <v>2</v>
      </c>
      <c r="C1064" s="114">
        <v>0.00036261359660243913</v>
      </c>
      <c r="D1064" s="112" t="s">
        <v>3314</v>
      </c>
      <c r="E1064" s="112" t="b">
        <v>0</v>
      </c>
      <c r="F1064" s="112" t="b">
        <v>0</v>
      </c>
      <c r="G1064" s="112" t="b">
        <v>0</v>
      </c>
    </row>
    <row r="1065" spans="1:7" ht="15">
      <c r="A1065" s="112" t="s">
        <v>3131</v>
      </c>
      <c r="B1065" s="112">
        <v>2</v>
      </c>
      <c r="C1065" s="114">
        <v>0.00036261359660243913</v>
      </c>
      <c r="D1065" s="112" t="s">
        <v>3314</v>
      </c>
      <c r="E1065" s="112" t="b">
        <v>0</v>
      </c>
      <c r="F1065" s="112" t="b">
        <v>0</v>
      </c>
      <c r="G1065" s="112" t="b">
        <v>0</v>
      </c>
    </row>
    <row r="1066" spans="1:7" ht="15">
      <c r="A1066" s="112" t="s">
        <v>3132</v>
      </c>
      <c r="B1066" s="112">
        <v>2</v>
      </c>
      <c r="C1066" s="114">
        <v>0.00036261359660243913</v>
      </c>
      <c r="D1066" s="112" t="s">
        <v>3314</v>
      </c>
      <c r="E1066" s="112" t="b">
        <v>0</v>
      </c>
      <c r="F1066" s="112" t="b">
        <v>0</v>
      </c>
      <c r="G1066" s="112" t="b">
        <v>0</v>
      </c>
    </row>
    <row r="1067" spans="1:7" ht="15">
      <c r="A1067" s="112" t="s">
        <v>3133</v>
      </c>
      <c r="B1067" s="112">
        <v>2</v>
      </c>
      <c r="C1067" s="114">
        <v>0.00036261359660243913</v>
      </c>
      <c r="D1067" s="112" t="s">
        <v>3314</v>
      </c>
      <c r="E1067" s="112" t="b">
        <v>0</v>
      </c>
      <c r="F1067" s="112" t="b">
        <v>0</v>
      </c>
      <c r="G1067" s="112" t="b">
        <v>0</v>
      </c>
    </row>
    <row r="1068" spans="1:7" ht="15">
      <c r="A1068" s="112" t="s">
        <v>3134</v>
      </c>
      <c r="B1068" s="112">
        <v>2</v>
      </c>
      <c r="C1068" s="114">
        <v>0.00036261359660243913</v>
      </c>
      <c r="D1068" s="112" t="s">
        <v>3314</v>
      </c>
      <c r="E1068" s="112" t="b">
        <v>0</v>
      </c>
      <c r="F1068" s="112" t="b">
        <v>0</v>
      </c>
      <c r="G1068" s="112" t="b">
        <v>0</v>
      </c>
    </row>
    <row r="1069" spans="1:7" ht="15">
      <c r="A1069" s="112" t="s">
        <v>3135</v>
      </c>
      <c r="B1069" s="112">
        <v>2</v>
      </c>
      <c r="C1069" s="114">
        <v>0.00036261359660243913</v>
      </c>
      <c r="D1069" s="112" t="s">
        <v>3314</v>
      </c>
      <c r="E1069" s="112" t="b">
        <v>0</v>
      </c>
      <c r="F1069" s="112" t="b">
        <v>1</v>
      </c>
      <c r="G1069" s="112" t="b">
        <v>0</v>
      </c>
    </row>
    <row r="1070" spans="1:7" ht="15">
      <c r="A1070" s="112" t="s">
        <v>3136</v>
      </c>
      <c r="B1070" s="112">
        <v>2</v>
      </c>
      <c r="C1070" s="114">
        <v>0.00036261359660243913</v>
      </c>
      <c r="D1070" s="112" t="s">
        <v>3314</v>
      </c>
      <c r="E1070" s="112" t="b">
        <v>0</v>
      </c>
      <c r="F1070" s="112" t="b">
        <v>0</v>
      </c>
      <c r="G1070" s="112" t="b">
        <v>0</v>
      </c>
    </row>
    <row r="1071" spans="1:7" ht="15">
      <c r="A1071" s="112" t="s">
        <v>3137</v>
      </c>
      <c r="B1071" s="112">
        <v>2</v>
      </c>
      <c r="C1071" s="114">
        <v>0.00036261359660243913</v>
      </c>
      <c r="D1071" s="112" t="s">
        <v>3314</v>
      </c>
      <c r="E1071" s="112" t="b">
        <v>0</v>
      </c>
      <c r="F1071" s="112" t="b">
        <v>0</v>
      </c>
      <c r="G1071" s="112" t="b">
        <v>0</v>
      </c>
    </row>
    <row r="1072" spans="1:7" ht="15">
      <c r="A1072" s="112" t="s">
        <v>3138</v>
      </c>
      <c r="B1072" s="112">
        <v>2</v>
      </c>
      <c r="C1072" s="114">
        <v>0.00036261359660243913</v>
      </c>
      <c r="D1072" s="112" t="s">
        <v>3314</v>
      </c>
      <c r="E1072" s="112" t="b">
        <v>0</v>
      </c>
      <c r="F1072" s="112" t="b">
        <v>0</v>
      </c>
      <c r="G1072" s="112" t="b">
        <v>0</v>
      </c>
    </row>
    <row r="1073" spans="1:7" ht="15">
      <c r="A1073" s="112" t="s">
        <v>3139</v>
      </c>
      <c r="B1073" s="112">
        <v>2</v>
      </c>
      <c r="C1073" s="114">
        <v>0.00036261359660243913</v>
      </c>
      <c r="D1073" s="112" t="s">
        <v>3314</v>
      </c>
      <c r="E1073" s="112" t="b">
        <v>0</v>
      </c>
      <c r="F1073" s="112" t="b">
        <v>0</v>
      </c>
      <c r="G1073" s="112" t="b">
        <v>0</v>
      </c>
    </row>
    <row r="1074" spans="1:7" ht="15">
      <c r="A1074" s="112" t="s">
        <v>3140</v>
      </c>
      <c r="B1074" s="112">
        <v>2</v>
      </c>
      <c r="C1074" s="114">
        <v>0.00036261359660243913</v>
      </c>
      <c r="D1074" s="112" t="s">
        <v>3314</v>
      </c>
      <c r="E1074" s="112" t="b">
        <v>0</v>
      </c>
      <c r="F1074" s="112" t="b">
        <v>0</v>
      </c>
      <c r="G1074" s="112" t="b">
        <v>0</v>
      </c>
    </row>
    <row r="1075" spans="1:7" ht="15">
      <c r="A1075" s="112" t="s">
        <v>3141</v>
      </c>
      <c r="B1075" s="112">
        <v>2</v>
      </c>
      <c r="C1075" s="114">
        <v>0.00036261359660243913</v>
      </c>
      <c r="D1075" s="112" t="s">
        <v>3314</v>
      </c>
      <c r="E1075" s="112" t="b">
        <v>0</v>
      </c>
      <c r="F1075" s="112" t="b">
        <v>0</v>
      </c>
      <c r="G1075" s="112" t="b">
        <v>0</v>
      </c>
    </row>
    <row r="1076" spans="1:7" ht="15">
      <c r="A1076" s="112" t="s">
        <v>3142</v>
      </c>
      <c r="B1076" s="112">
        <v>2</v>
      </c>
      <c r="C1076" s="114">
        <v>0.0004118981407517484</v>
      </c>
      <c r="D1076" s="112" t="s">
        <v>3314</v>
      </c>
      <c r="E1076" s="112" t="b">
        <v>0</v>
      </c>
      <c r="F1076" s="112" t="b">
        <v>0</v>
      </c>
      <c r="G1076" s="112" t="b">
        <v>0</v>
      </c>
    </row>
    <row r="1077" spans="1:7" ht="15">
      <c r="A1077" s="112" t="s">
        <v>3143</v>
      </c>
      <c r="B1077" s="112">
        <v>2</v>
      </c>
      <c r="C1077" s="114">
        <v>0.0004118981407517484</v>
      </c>
      <c r="D1077" s="112" t="s">
        <v>3314</v>
      </c>
      <c r="E1077" s="112" t="b">
        <v>0</v>
      </c>
      <c r="F1077" s="112" t="b">
        <v>0</v>
      </c>
      <c r="G1077" s="112" t="b">
        <v>0</v>
      </c>
    </row>
    <row r="1078" spans="1:7" ht="15">
      <c r="A1078" s="112" t="s">
        <v>3144</v>
      </c>
      <c r="B1078" s="112">
        <v>2</v>
      </c>
      <c r="C1078" s="114">
        <v>0.00036261359660243913</v>
      </c>
      <c r="D1078" s="112" t="s">
        <v>3314</v>
      </c>
      <c r="E1078" s="112" t="b">
        <v>0</v>
      </c>
      <c r="F1078" s="112" t="b">
        <v>0</v>
      </c>
      <c r="G1078" s="112" t="b">
        <v>0</v>
      </c>
    </row>
    <row r="1079" spans="1:7" ht="15">
      <c r="A1079" s="112" t="s">
        <v>3145</v>
      </c>
      <c r="B1079" s="112">
        <v>2</v>
      </c>
      <c r="C1079" s="114">
        <v>0.0004118981407517484</v>
      </c>
      <c r="D1079" s="112" t="s">
        <v>3314</v>
      </c>
      <c r="E1079" s="112" t="b">
        <v>0</v>
      </c>
      <c r="F1079" s="112" t="b">
        <v>0</v>
      </c>
      <c r="G1079" s="112" t="b">
        <v>0</v>
      </c>
    </row>
    <row r="1080" spans="1:7" ht="15">
      <c r="A1080" s="112" t="s">
        <v>3146</v>
      </c>
      <c r="B1080" s="112">
        <v>2</v>
      </c>
      <c r="C1080" s="114">
        <v>0.0004118981407517484</v>
      </c>
      <c r="D1080" s="112" t="s">
        <v>3314</v>
      </c>
      <c r="E1080" s="112" t="b">
        <v>0</v>
      </c>
      <c r="F1080" s="112" t="b">
        <v>0</v>
      </c>
      <c r="G1080" s="112" t="b">
        <v>0</v>
      </c>
    </row>
    <row r="1081" spans="1:7" ht="15">
      <c r="A1081" s="112" t="s">
        <v>3147</v>
      </c>
      <c r="B1081" s="112">
        <v>2</v>
      </c>
      <c r="C1081" s="114">
        <v>0.00036261359660243913</v>
      </c>
      <c r="D1081" s="112" t="s">
        <v>3314</v>
      </c>
      <c r="E1081" s="112" t="b">
        <v>0</v>
      </c>
      <c r="F1081" s="112" t="b">
        <v>0</v>
      </c>
      <c r="G1081" s="112" t="b">
        <v>0</v>
      </c>
    </row>
    <row r="1082" spans="1:7" ht="15">
      <c r="A1082" s="112" t="s">
        <v>3148</v>
      </c>
      <c r="B1082" s="112">
        <v>2</v>
      </c>
      <c r="C1082" s="114">
        <v>0.0004118981407517484</v>
      </c>
      <c r="D1082" s="112" t="s">
        <v>3314</v>
      </c>
      <c r="E1082" s="112" t="b">
        <v>0</v>
      </c>
      <c r="F1082" s="112" t="b">
        <v>0</v>
      </c>
      <c r="G1082" s="112" t="b">
        <v>0</v>
      </c>
    </row>
    <row r="1083" spans="1:7" ht="15">
      <c r="A1083" s="112" t="s">
        <v>3149</v>
      </c>
      <c r="B1083" s="112">
        <v>2</v>
      </c>
      <c r="C1083" s="114">
        <v>0.0004118981407517484</v>
      </c>
      <c r="D1083" s="112" t="s">
        <v>3314</v>
      </c>
      <c r="E1083" s="112" t="b">
        <v>0</v>
      </c>
      <c r="F1083" s="112" t="b">
        <v>0</v>
      </c>
      <c r="G1083" s="112" t="b">
        <v>0</v>
      </c>
    </row>
    <row r="1084" spans="1:7" ht="15">
      <c r="A1084" s="112" t="s">
        <v>3150</v>
      </c>
      <c r="B1084" s="112">
        <v>2</v>
      </c>
      <c r="C1084" s="114">
        <v>0.0004118981407517484</v>
      </c>
      <c r="D1084" s="112" t="s">
        <v>3314</v>
      </c>
      <c r="E1084" s="112" t="b">
        <v>0</v>
      </c>
      <c r="F1084" s="112" t="b">
        <v>0</v>
      </c>
      <c r="G1084" s="112" t="b">
        <v>0</v>
      </c>
    </row>
    <row r="1085" spans="1:7" ht="15">
      <c r="A1085" s="112" t="s">
        <v>3151</v>
      </c>
      <c r="B1085" s="112">
        <v>2</v>
      </c>
      <c r="C1085" s="114">
        <v>0.00036261359660243913</v>
      </c>
      <c r="D1085" s="112" t="s">
        <v>3314</v>
      </c>
      <c r="E1085" s="112" t="b">
        <v>0</v>
      </c>
      <c r="F1085" s="112" t="b">
        <v>0</v>
      </c>
      <c r="G1085" s="112" t="b">
        <v>0</v>
      </c>
    </row>
    <row r="1086" spans="1:7" ht="15">
      <c r="A1086" s="112" t="s">
        <v>3152</v>
      </c>
      <c r="B1086" s="112">
        <v>2</v>
      </c>
      <c r="C1086" s="114">
        <v>0.0004118981407517484</v>
      </c>
      <c r="D1086" s="112" t="s">
        <v>3314</v>
      </c>
      <c r="E1086" s="112" t="b">
        <v>0</v>
      </c>
      <c r="F1086" s="112" t="b">
        <v>0</v>
      </c>
      <c r="G1086" s="112" t="b">
        <v>0</v>
      </c>
    </row>
    <row r="1087" spans="1:7" ht="15">
      <c r="A1087" s="112" t="s">
        <v>3153</v>
      </c>
      <c r="B1087" s="112">
        <v>2</v>
      </c>
      <c r="C1087" s="114">
        <v>0.00036261359660243913</v>
      </c>
      <c r="D1087" s="112" t="s">
        <v>3314</v>
      </c>
      <c r="E1087" s="112" t="b">
        <v>0</v>
      </c>
      <c r="F1087" s="112" t="b">
        <v>0</v>
      </c>
      <c r="G1087" s="112" t="b">
        <v>0</v>
      </c>
    </row>
    <row r="1088" spans="1:7" ht="15">
      <c r="A1088" s="112" t="s">
        <v>3154</v>
      </c>
      <c r="B1088" s="112">
        <v>2</v>
      </c>
      <c r="C1088" s="114">
        <v>0.00036261359660243913</v>
      </c>
      <c r="D1088" s="112" t="s">
        <v>3314</v>
      </c>
      <c r="E1088" s="112" t="b">
        <v>0</v>
      </c>
      <c r="F1088" s="112" t="b">
        <v>0</v>
      </c>
      <c r="G1088" s="112" t="b">
        <v>0</v>
      </c>
    </row>
    <row r="1089" spans="1:7" ht="15">
      <c r="A1089" s="112" t="s">
        <v>3155</v>
      </c>
      <c r="B1089" s="112">
        <v>2</v>
      </c>
      <c r="C1089" s="114">
        <v>0.00036261359660243913</v>
      </c>
      <c r="D1089" s="112" t="s">
        <v>3314</v>
      </c>
      <c r="E1089" s="112" t="b">
        <v>0</v>
      </c>
      <c r="F1089" s="112" t="b">
        <v>0</v>
      </c>
      <c r="G1089" s="112" t="b">
        <v>0</v>
      </c>
    </row>
    <row r="1090" spans="1:7" ht="15">
      <c r="A1090" s="112" t="s">
        <v>3156</v>
      </c>
      <c r="B1090" s="112">
        <v>2</v>
      </c>
      <c r="C1090" s="114">
        <v>0.0004118981407517484</v>
      </c>
      <c r="D1090" s="112" t="s">
        <v>3314</v>
      </c>
      <c r="E1090" s="112" t="b">
        <v>0</v>
      </c>
      <c r="F1090" s="112" t="b">
        <v>0</v>
      </c>
      <c r="G1090" s="112" t="b">
        <v>0</v>
      </c>
    </row>
    <row r="1091" spans="1:7" ht="15">
      <c r="A1091" s="112" t="s">
        <v>3157</v>
      </c>
      <c r="B1091" s="112">
        <v>2</v>
      </c>
      <c r="C1091" s="114">
        <v>0.00036261359660243913</v>
      </c>
      <c r="D1091" s="112" t="s">
        <v>3314</v>
      </c>
      <c r="E1091" s="112" t="b">
        <v>0</v>
      </c>
      <c r="F1091" s="112" t="b">
        <v>0</v>
      </c>
      <c r="G1091" s="112" t="b">
        <v>0</v>
      </c>
    </row>
    <row r="1092" spans="1:7" ht="15">
      <c r="A1092" s="112" t="s">
        <v>3158</v>
      </c>
      <c r="B1092" s="112">
        <v>2</v>
      </c>
      <c r="C1092" s="114">
        <v>0.00036261359660243913</v>
      </c>
      <c r="D1092" s="112" t="s">
        <v>3314</v>
      </c>
      <c r="E1092" s="112" t="b">
        <v>0</v>
      </c>
      <c r="F1092" s="112" t="b">
        <v>0</v>
      </c>
      <c r="G1092" s="112" t="b">
        <v>0</v>
      </c>
    </row>
    <row r="1093" spans="1:7" ht="15">
      <c r="A1093" s="112" t="s">
        <v>3159</v>
      </c>
      <c r="B1093" s="112">
        <v>2</v>
      </c>
      <c r="C1093" s="114">
        <v>0.00036261359660243913</v>
      </c>
      <c r="D1093" s="112" t="s">
        <v>3314</v>
      </c>
      <c r="E1093" s="112" t="b">
        <v>0</v>
      </c>
      <c r="F1093" s="112" t="b">
        <v>0</v>
      </c>
      <c r="G1093" s="112" t="b">
        <v>0</v>
      </c>
    </row>
    <row r="1094" spans="1:7" ht="15">
      <c r="A1094" s="112" t="s">
        <v>3160</v>
      </c>
      <c r="B1094" s="112">
        <v>2</v>
      </c>
      <c r="C1094" s="114">
        <v>0.00036261359660243913</v>
      </c>
      <c r="D1094" s="112" t="s">
        <v>3314</v>
      </c>
      <c r="E1094" s="112" t="b">
        <v>0</v>
      </c>
      <c r="F1094" s="112" t="b">
        <v>0</v>
      </c>
      <c r="G1094" s="112" t="b">
        <v>0</v>
      </c>
    </row>
    <row r="1095" spans="1:7" ht="15">
      <c r="A1095" s="112" t="s">
        <v>3161</v>
      </c>
      <c r="B1095" s="112">
        <v>2</v>
      </c>
      <c r="C1095" s="114">
        <v>0.0004118981407517484</v>
      </c>
      <c r="D1095" s="112" t="s">
        <v>3314</v>
      </c>
      <c r="E1095" s="112" t="b">
        <v>0</v>
      </c>
      <c r="F1095" s="112" t="b">
        <v>0</v>
      </c>
      <c r="G1095" s="112" t="b">
        <v>0</v>
      </c>
    </row>
    <row r="1096" spans="1:7" ht="15">
      <c r="A1096" s="112" t="s">
        <v>3162</v>
      </c>
      <c r="B1096" s="112">
        <v>2</v>
      </c>
      <c r="C1096" s="114">
        <v>0.00036261359660243913</v>
      </c>
      <c r="D1096" s="112" t="s">
        <v>3314</v>
      </c>
      <c r="E1096" s="112" t="b">
        <v>0</v>
      </c>
      <c r="F1096" s="112" t="b">
        <v>0</v>
      </c>
      <c r="G1096" s="112" t="b">
        <v>0</v>
      </c>
    </row>
    <row r="1097" spans="1:7" ht="15">
      <c r="A1097" s="112" t="s">
        <v>3163</v>
      </c>
      <c r="B1097" s="112">
        <v>2</v>
      </c>
      <c r="C1097" s="114">
        <v>0.00036261359660243913</v>
      </c>
      <c r="D1097" s="112" t="s">
        <v>3314</v>
      </c>
      <c r="E1097" s="112" t="b">
        <v>0</v>
      </c>
      <c r="F1097" s="112" t="b">
        <v>0</v>
      </c>
      <c r="G1097" s="112" t="b">
        <v>0</v>
      </c>
    </row>
    <row r="1098" spans="1:7" ht="15">
      <c r="A1098" s="112" t="s">
        <v>3164</v>
      </c>
      <c r="B1098" s="112">
        <v>2</v>
      </c>
      <c r="C1098" s="114">
        <v>0.00036261359660243913</v>
      </c>
      <c r="D1098" s="112" t="s">
        <v>3314</v>
      </c>
      <c r="E1098" s="112" t="b">
        <v>0</v>
      </c>
      <c r="F1098" s="112" t="b">
        <v>0</v>
      </c>
      <c r="G1098" s="112" t="b">
        <v>0</v>
      </c>
    </row>
    <row r="1099" spans="1:7" ht="15">
      <c r="A1099" s="112" t="s">
        <v>3165</v>
      </c>
      <c r="B1099" s="112">
        <v>2</v>
      </c>
      <c r="C1099" s="114">
        <v>0.00036261359660243913</v>
      </c>
      <c r="D1099" s="112" t="s">
        <v>3314</v>
      </c>
      <c r="E1099" s="112" t="b">
        <v>0</v>
      </c>
      <c r="F1099" s="112" t="b">
        <v>0</v>
      </c>
      <c r="G1099" s="112" t="b">
        <v>0</v>
      </c>
    </row>
    <row r="1100" spans="1:7" ht="15">
      <c r="A1100" s="112" t="s">
        <v>3166</v>
      </c>
      <c r="B1100" s="112">
        <v>2</v>
      </c>
      <c r="C1100" s="114">
        <v>0.00036261359660243913</v>
      </c>
      <c r="D1100" s="112" t="s">
        <v>3314</v>
      </c>
      <c r="E1100" s="112" t="b">
        <v>0</v>
      </c>
      <c r="F1100" s="112" t="b">
        <v>0</v>
      </c>
      <c r="G1100" s="112" t="b">
        <v>0</v>
      </c>
    </row>
    <row r="1101" spans="1:7" ht="15">
      <c r="A1101" s="112" t="s">
        <v>3167</v>
      </c>
      <c r="B1101" s="112">
        <v>2</v>
      </c>
      <c r="C1101" s="114">
        <v>0.00036261359660243913</v>
      </c>
      <c r="D1101" s="112" t="s">
        <v>3314</v>
      </c>
      <c r="E1101" s="112" t="b">
        <v>0</v>
      </c>
      <c r="F1101" s="112" t="b">
        <v>0</v>
      </c>
      <c r="G1101" s="112" t="b">
        <v>0</v>
      </c>
    </row>
    <row r="1102" spans="1:7" ht="15">
      <c r="A1102" s="112" t="s">
        <v>3168</v>
      </c>
      <c r="B1102" s="112">
        <v>2</v>
      </c>
      <c r="C1102" s="114">
        <v>0.00036261359660243913</v>
      </c>
      <c r="D1102" s="112" t="s">
        <v>3314</v>
      </c>
      <c r="E1102" s="112" t="b">
        <v>0</v>
      </c>
      <c r="F1102" s="112" t="b">
        <v>0</v>
      </c>
      <c r="G1102" s="112" t="b">
        <v>0</v>
      </c>
    </row>
    <row r="1103" spans="1:7" ht="15">
      <c r="A1103" s="112" t="s">
        <v>3169</v>
      </c>
      <c r="B1103" s="112">
        <v>2</v>
      </c>
      <c r="C1103" s="114">
        <v>0.00036261359660243913</v>
      </c>
      <c r="D1103" s="112" t="s">
        <v>3314</v>
      </c>
      <c r="E1103" s="112" t="b">
        <v>0</v>
      </c>
      <c r="F1103" s="112" t="b">
        <v>0</v>
      </c>
      <c r="G1103" s="112" t="b">
        <v>0</v>
      </c>
    </row>
    <row r="1104" spans="1:7" ht="15">
      <c r="A1104" s="112" t="s">
        <v>3170</v>
      </c>
      <c r="B1104" s="112">
        <v>2</v>
      </c>
      <c r="C1104" s="114">
        <v>0.00036261359660243913</v>
      </c>
      <c r="D1104" s="112" t="s">
        <v>3314</v>
      </c>
      <c r="E1104" s="112" t="b">
        <v>0</v>
      </c>
      <c r="F1104" s="112" t="b">
        <v>0</v>
      </c>
      <c r="G1104" s="112" t="b">
        <v>0</v>
      </c>
    </row>
    <row r="1105" spans="1:7" ht="15">
      <c r="A1105" s="112" t="s">
        <v>3171</v>
      </c>
      <c r="B1105" s="112">
        <v>2</v>
      </c>
      <c r="C1105" s="114">
        <v>0.0004118981407517484</v>
      </c>
      <c r="D1105" s="112" t="s">
        <v>3314</v>
      </c>
      <c r="E1105" s="112" t="b">
        <v>0</v>
      </c>
      <c r="F1105" s="112" t="b">
        <v>0</v>
      </c>
      <c r="G1105" s="112" t="b">
        <v>0</v>
      </c>
    </row>
    <row r="1106" spans="1:7" ht="15">
      <c r="A1106" s="112" t="s">
        <v>3172</v>
      </c>
      <c r="B1106" s="112">
        <v>2</v>
      </c>
      <c r="C1106" s="114">
        <v>0.00036261359660243913</v>
      </c>
      <c r="D1106" s="112" t="s">
        <v>3314</v>
      </c>
      <c r="E1106" s="112" t="b">
        <v>0</v>
      </c>
      <c r="F1106" s="112" t="b">
        <v>0</v>
      </c>
      <c r="G1106" s="112" t="b">
        <v>0</v>
      </c>
    </row>
    <row r="1107" spans="1:7" ht="15">
      <c r="A1107" s="112" t="s">
        <v>3173</v>
      </c>
      <c r="B1107" s="112">
        <v>2</v>
      </c>
      <c r="C1107" s="114">
        <v>0.0004118981407517484</v>
      </c>
      <c r="D1107" s="112" t="s">
        <v>3314</v>
      </c>
      <c r="E1107" s="112" t="b">
        <v>0</v>
      </c>
      <c r="F1107" s="112" t="b">
        <v>0</v>
      </c>
      <c r="G1107" s="112" t="b">
        <v>0</v>
      </c>
    </row>
    <row r="1108" spans="1:7" ht="15">
      <c r="A1108" s="112" t="s">
        <v>3174</v>
      </c>
      <c r="B1108" s="112">
        <v>2</v>
      </c>
      <c r="C1108" s="114">
        <v>0.00036261359660243913</v>
      </c>
      <c r="D1108" s="112" t="s">
        <v>3314</v>
      </c>
      <c r="E1108" s="112" t="b">
        <v>0</v>
      </c>
      <c r="F1108" s="112" t="b">
        <v>1</v>
      </c>
      <c r="G1108" s="112" t="b">
        <v>0</v>
      </c>
    </row>
    <row r="1109" spans="1:7" ht="15">
      <c r="A1109" s="112" t="s">
        <v>3175</v>
      </c>
      <c r="B1109" s="112">
        <v>2</v>
      </c>
      <c r="C1109" s="114">
        <v>0.0004118981407517484</v>
      </c>
      <c r="D1109" s="112" t="s">
        <v>3314</v>
      </c>
      <c r="E1109" s="112" t="b">
        <v>0</v>
      </c>
      <c r="F1109" s="112" t="b">
        <v>0</v>
      </c>
      <c r="G1109" s="112" t="b">
        <v>0</v>
      </c>
    </row>
    <row r="1110" spans="1:7" ht="15">
      <c r="A1110" s="112" t="s">
        <v>3176</v>
      </c>
      <c r="B1110" s="112">
        <v>2</v>
      </c>
      <c r="C1110" s="114">
        <v>0.0004118981407517484</v>
      </c>
      <c r="D1110" s="112" t="s">
        <v>3314</v>
      </c>
      <c r="E1110" s="112" t="b">
        <v>0</v>
      </c>
      <c r="F1110" s="112" t="b">
        <v>0</v>
      </c>
      <c r="G1110" s="112" t="b">
        <v>0</v>
      </c>
    </row>
    <row r="1111" spans="1:7" ht="15">
      <c r="A1111" s="112" t="s">
        <v>3177</v>
      </c>
      <c r="B1111" s="112">
        <v>2</v>
      </c>
      <c r="C1111" s="114">
        <v>0.0004118981407517484</v>
      </c>
      <c r="D1111" s="112" t="s">
        <v>3314</v>
      </c>
      <c r="E1111" s="112" t="b">
        <v>0</v>
      </c>
      <c r="F1111" s="112" t="b">
        <v>0</v>
      </c>
      <c r="G1111" s="112" t="b">
        <v>0</v>
      </c>
    </row>
    <row r="1112" spans="1:7" ht="15">
      <c r="A1112" s="112" t="s">
        <v>3178</v>
      </c>
      <c r="B1112" s="112">
        <v>2</v>
      </c>
      <c r="C1112" s="114">
        <v>0.00036261359660243913</v>
      </c>
      <c r="D1112" s="112" t="s">
        <v>3314</v>
      </c>
      <c r="E1112" s="112" t="b">
        <v>0</v>
      </c>
      <c r="F1112" s="112" t="b">
        <v>0</v>
      </c>
      <c r="G1112" s="112" t="b">
        <v>0</v>
      </c>
    </row>
    <row r="1113" spans="1:7" ht="15">
      <c r="A1113" s="112" t="s">
        <v>3179</v>
      </c>
      <c r="B1113" s="112">
        <v>2</v>
      </c>
      <c r="C1113" s="114">
        <v>0.00036261359660243913</v>
      </c>
      <c r="D1113" s="112" t="s">
        <v>3314</v>
      </c>
      <c r="E1113" s="112" t="b">
        <v>0</v>
      </c>
      <c r="F1113" s="112" t="b">
        <v>0</v>
      </c>
      <c r="G1113" s="112" t="b">
        <v>0</v>
      </c>
    </row>
    <row r="1114" spans="1:7" ht="15">
      <c r="A1114" s="112" t="s">
        <v>3180</v>
      </c>
      <c r="B1114" s="112">
        <v>2</v>
      </c>
      <c r="C1114" s="114">
        <v>0.00036261359660243913</v>
      </c>
      <c r="D1114" s="112" t="s">
        <v>3314</v>
      </c>
      <c r="E1114" s="112" t="b">
        <v>0</v>
      </c>
      <c r="F1114" s="112" t="b">
        <v>0</v>
      </c>
      <c r="G1114" s="112" t="b">
        <v>0</v>
      </c>
    </row>
    <row r="1115" spans="1:7" ht="15">
      <c r="A1115" s="112" t="s">
        <v>3181</v>
      </c>
      <c r="B1115" s="112">
        <v>2</v>
      </c>
      <c r="C1115" s="114">
        <v>0.0004118981407517484</v>
      </c>
      <c r="D1115" s="112" t="s">
        <v>3314</v>
      </c>
      <c r="E1115" s="112" t="b">
        <v>0</v>
      </c>
      <c r="F1115" s="112" t="b">
        <v>0</v>
      </c>
      <c r="G1115" s="112" t="b">
        <v>0</v>
      </c>
    </row>
    <row r="1116" spans="1:7" ht="15">
      <c r="A1116" s="112" t="s">
        <v>3182</v>
      </c>
      <c r="B1116" s="112">
        <v>2</v>
      </c>
      <c r="C1116" s="114">
        <v>0.00036261359660243913</v>
      </c>
      <c r="D1116" s="112" t="s">
        <v>3314</v>
      </c>
      <c r="E1116" s="112" t="b">
        <v>0</v>
      </c>
      <c r="F1116" s="112" t="b">
        <v>0</v>
      </c>
      <c r="G1116" s="112" t="b">
        <v>0</v>
      </c>
    </row>
    <row r="1117" spans="1:7" ht="15">
      <c r="A1117" s="112" t="s">
        <v>3183</v>
      </c>
      <c r="B1117" s="112">
        <v>2</v>
      </c>
      <c r="C1117" s="114">
        <v>0.0004118981407517484</v>
      </c>
      <c r="D1117" s="112" t="s">
        <v>3314</v>
      </c>
      <c r="E1117" s="112" t="b">
        <v>0</v>
      </c>
      <c r="F1117" s="112" t="b">
        <v>0</v>
      </c>
      <c r="G1117" s="112" t="b">
        <v>0</v>
      </c>
    </row>
    <row r="1118" spans="1:7" ht="15">
      <c r="A1118" s="112" t="s">
        <v>3184</v>
      </c>
      <c r="B1118" s="112">
        <v>2</v>
      </c>
      <c r="C1118" s="114">
        <v>0.00036261359660243913</v>
      </c>
      <c r="D1118" s="112" t="s">
        <v>3314</v>
      </c>
      <c r="E1118" s="112" t="b">
        <v>0</v>
      </c>
      <c r="F1118" s="112" t="b">
        <v>0</v>
      </c>
      <c r="G1118" s="112" t="b">
        <v>0</v>
      </c>
    </row>
    <row r="1119" spans="1:7" ht="15">
      <c r="A1119" s="112" t="s">
        <v>3185</v>
      </c>
      <c r="B1119" s="112">
        <v>2</v>
      </c>
      <c r="C1119" s="114">
        <v>0.00036261359660243913</v>
      </c>
      <c r="D1119" s="112" t="s">
        <v>3314</v>
      </c>
      <c r="E1119" s="112" t="b">
        <v>0</v>
      </c>
      <c r="F1119" s="112" t="b">
        <v>0</v>
      </c>
      <c r="G1119" s="112" t="b">
        <v>0</v>
      </c>
    </row>
    <row r="1120" spans="1:7" ht="15">
      <c r="A1120" s="112" t="s">
        <v>3186</v>
      </c>
      <c r="B1120" s="112">
        <v>2</v>
      </c>
      <c r="C1120" s="114">
        <v>0.00036261359660243913</v>
      </c>
      <c r="D1120" s="112" t="s">
        <v>3314</v>
      </c>
      <c r="E1120" s="112" t="b">
        <v>0</v>
      </c>
      <c r="F1120" s="112" t="b">
        <v>0</v>
      </c>
      <c r="G1120" s="112" t="b">
        <v>0</v>
      </c>
    </row>
    <row r="1121" spans="1:7" ht="15">
      <c r="A1121" s="112" t="s">
        <v>3187</v>
      </c>
      <c r="B1121" s="112">
        <v>2</v>
      </c>
      <c r="C1121" s="114">
        <v>0.0004118981407517484</v>
      </c>
      <c r="D1121" s="112" t="s">
        <v>3314</v>
      </c>
      <c r="E1121" s="112" t="b">
        <v>0</v>
      </c>
      <c r="F1121" s="112" t="b">
        <v>0</v>
      </c>
      <c r="G1121" s="112" t="b">
        <v>0</v>
      </c>
    </row>
    <row r="1122" spans="1:7" ht="15">
      <c r="A1122" s="112" t="s">
        <v>3188</v>
      </c>
      <c r="B1122" s="112">
        <v>2</v>
      </c>
      <c r="C1122" s="114">
        <v>0.00036261359660243913</v>
      </c>
      <c r="D1122" s="112" t="s">
        <v>3314</v>
      </c>
      <c r="E1122" s="112" t="b">
        <v>0</v>
      </c>
      <c r="F1122" s="112" t="b">
        <v>1</v>
      </c>
      <c r="G1122" s="112" t="b">
        <v>0</v>
      </c>
    </row>
    <row r="1123" spans="1:7" ht="15">
      <c r="A1123" s="112" t="s">
        <v>3189</v>
      </c>
      <c r="B1123" s="112">
        <v>2</v>
      </c>
      <c r="C1123" s="114">
        <v>0.0004118981407517484</v>
      </c>
      <c r="D1123" s="112" t="s">
        <v>3314</v>
      </c>
      <c r="E1123" s="112" t="b">
        <v>0</v>
      </c>
      <c r="F1123" s="112" t="b">
        <v>0</v>
      </c>
      <c r="G1123" s="112" t="b">
        <v>0</v>
      </c>
    </row>
    <row r="1124" spans="1:7" ht="15">
      <c r="A1124" s="112" t="s">
        <v>3190</v>
      </c>
      <c r="B1124" s="112">
        <v>2</v>
      </c>
      <c r="C1124" s="114">
        <v>0.00036261359660243913</v>
      </c>
      <c r="D1124" s="112" t="s">
        <v>3314</v>
      </c>
      <c r="E1124" s="112" t="b">
        <v>0</v>
      </c>
      <c r="F1124" s="112" t="b">
        <v>0</v>
      </c>
      <c r="G1124" s="112" t="b">
        <v>0</v>
      </c>
    </row>
    <row r="1125" spans="1:7" ht="15">
      <c r="A1125" s="112" t="s">
        <v>3191</v>
      </c>
      <c r="B1125" s="112">
        <v>2</v>
      </c>
      <c r="C1125" s="114">
        <v>0.00036261359660243913</v>
      </c>
      <c r="D1125" s="112" t="s">
        <v>3314</v>
      </c>
      <c r="E1125" s="112" t="b">
        <v>0</v>
      </c>
      <c r="F1125" s="112" t="b">
        <v>0</v>
      </c>
      <c r="G1125" s="112" t="b">
        <v>0</v>
      </c>
    </row>
    <row r="1126" spans="1:7" ht="15">
      <c r="A1126" s="112" t="s">
        <v>3192</v>
      </c>
      <c r="B1126" s="112">
        <v>2</v>
      </c>
      <c r="C1126" s="114">
        <v>0.00036261359660243913</v>
      </c>
      <c r="D1126" s="112" t="s">
        <v>3314</v>
      </c>
      <c r="E1126" s="112" t="b">
        <v>0</v>
      </c>
      <c r="F1126" s="112" t="b">
        <v>0</v>
      </c>
      <c r="G1126" s="112" t="b">
        <v>0</v>
      </c>
    </row>
    <row r="1127" spans="1:7" ht="15">
      <c r="A1127" s="112" t="s">
        <v>3193</v>
      </c>
      <c r="B1127" s="112">
        <v>2</v>
      </c>
      <c r="C1127" s="114">
        <v>0.00036261359660243913</v>
      </c>
      <c r="D1127" s="112" t="s">
        <v>3314</v>
      </c>
      <c r="E1127" s="112" t="b">
        <v>0</v>
      </c>
      <c r="F1127" s="112" t="b">
        <v>0</v>
      </c>
      <c r="G1127" s="112" t="b">
        <v>0</v>
      </c>
    </row>
    <row r="1128" spans="1:7" ht="15">
      <c r="A1128" s="112" t="s">
        <v>3194</v>
      </c>
      <c r="B1128" s="112">
        <v>2</v>
      </c>
      <c r="C1128" s="114">
        <v>0.00036261359660243913</v>
      </c>
      <c r="D1128" s="112" t="s">
        <v>3314</v>
      </c>
      <c r="E1128" s="112" t="b">
        <v>0</v>
      </c>
      <c r="F1128" s="112" t="b">
        <v>0</v>
      </c>
      <c r="G1128" s="112" t="b">
        <v>0</v>
      </c>
    </row>
    <row r="1129" spans="1:7" ht="15">
      <c r="A1129" s="112" t="s">
        <v>3195</v>
      </c>
      <c r="B1129" s="112">
        <v>2</v>
      </c>
      <c r="C1129" s="114">
        <v>0.00036261359660243913</v>
      </c>
      <c r="D1129" s="112" t="s">
        <v>3314</v>
      </c>
      <c r="E1129" s="112" t="b">
        <v>0</v>
      </c>
      <c r="F1129" s="112" t="b">
        <v>0</v>
      </c>
      <c r="G1129" s="112" t="b">
        <v>0</v>
      </c>
    </row>
    <row r="1130" spans="1:7" ht="15">
      <c r="A1130" s="112" t="s">
        <v>3196</v>
      </c>
      <c r="B1130" s="112">
        <v>2</v>
      </c>
      <c r="C1130" s="114">
        <v>0.00036261359660243913</v>
      </c>
      <c r="D1130" s="112" t="s">
        <v>3314</v>
      </c>
      <c r="E1130" s="112" t="b">
        <v>1</v>
      </c>
      <c r="F1130" s="112" t="b">
        <v>0</v>
      </c>
      <c r="G1130" s="112" t="b">
        <v>0</v>
      </c>
    </row>
    <row r="1131" spans="1:7" ht="15">
      <c r="A1131" s="112" t="s">
        <v>3197</v>
      </c>
      <c r="B1131" s="112">
        <v>2</v>
      </c>
      <c r="C1131" s="114">
        <v>0.00036261359660243913</v>
      </c>
      <c r="D1131" s="112" t="s">
        <v>3314</v>
      </c>
      <c r="E1131" s="112" t="b">
        <v>0</v>
      </c>
      <c r="F1131" s="112" t="b">
        <v>0</v>
      </c>
      <c r="G1131" s="112" t="b">
        <v>0</v>
      </c>
    </row>
    <row r="1132" spans="1:7" ht="15">
      <c r="A1132" s="112" t="s">
        <v>3198</v>
      </c>
      <c r="B1132" s="112">
        <v>2</v>
      </c>
      <c r="C1132" s="114">
        <v>0.00036261359660243913</v>
      </c>
      <c r="D1132" s="112" t="s">
        <v>3314</v>
      </c>
      <c r="E1132" s="112" t="b">
        <v>0</v>
      </c>
      <c r="F1132" s="112" t="b">
        <v>0</v>
      </c>
      <c r="G1132" s="112" t="b">
        <v>0</v>
      </c>
    </row>
    <row r="1133" spans="1:7" ht="15">
      <c r="A1133" s="112" t="s">
        <v>3199</v>
      </c>
      <c r="B1133" s="112">
        <v>2</v>
      </c>
      <c r="C1133" s="114">
        <v>0.00036261359660243913</v>
      </c>
      <c r="D1133" s="112" t="s">
        <v>3314</v>
      </c>
      <c r="E1133" s="112" t="b">
        <v>0</v>
      </c>
      <c r="F1133" s="112" t="b">
        <v>1</v>
      </c>
      <c r="G1133" s="112" t="b">
        <v>0</v>
      </c>
    </row>
    <row r="1134" spans="1:7" ht="15">
      <c r="A1134" s="112" t="s">
        <v>3200</v>
      </c>
      <c r="B1134" s="112">
        <v>2</v>
      </c>
      <c r="C1134" s="114">
        <v>0.00036261359660243913</v>
      </c>
      <c r="D1134" s="112" t="s">
        <v>3314</v>
      </c>
      <c r="E1134" s="112" t="b">
        <v>0</v>
      </c>
      <c r="F1134" s="112" t="b">
        <v>0</v>
      </c>
      <c r="G1134" s="112" t="b">
        <v>0</v>
      </c>
    </row>
    <row r="1135" spans="1:7" ht="15">
      <c r="A1135" s="112" t="s">
        <v>3201</v>
      </c>
      <c r="B1135" s="112">
        <v>2</v>
      </c>
      <c r="C1135" s="114">
        <v>0.00036261359660243913</v>
      </c>
      <c r="D1135" s="112" t="s">
        <v>3314</v>
      </c>
      <c r="E1135" s="112" t="b">
        <v>0</v>
      </c>
      <c r="F1135" s="112" t="b">
        <v>0</v>
      </c>
      <c r="G1135" s="112" t="b">
        <v>0</v>
      </c>
    </row>
    <row r="1136" spans="1:7" ht="15">
      <c r="A1136" s="112" t="s">
        <v>3202</v>
      </c>
      <c r="B1136" s="112">
        <v>2</v>
      </c>
      <c r="C1136" s="114">
        <v>0.00036261359660243913</v>
      </c>
      <c r="D1136" s="112" t="s">
        <v>3314</v>
      </c>
      <c r="E1136" s="112" t="b">
        <v>0</v>
      </c>
      <c r="F1136" s="112" t="b">
        <v>0</v>
      </c>
      <c r="G1136" s="112" t="b">
        <v>0</v>
      </c>
    </row>
    <row r="1137" spans="1:7" ht="15">
      <c r="A1137" s="112" t="s">
        <v>3203</v>
      </c>
      <c r="B1137" s="112">
        <v>2</v>
      </c>
      <c r="C1137" s="114">
        <v>0.0004118981407517484</v>
      </c>
      <c r="D1137" s="112" t="s">
        <v>3314</v>
      </c>
      <c r="E1137" s="112" t="b">
        <v>0</v>
      </c>
      <c r="F1137" s="112" t="b">
        <v>0</v>
      </c>
      <c r="G1137" s="112" t="b">
        <v>0</v>
      </c>
    </row>
    <row r="1138" spans="1:7" ht="15">
      <c r="A1138" s="112" t="s">
        <v>3204</v>
      </c>
      <c r="B1138" s="112">
        <v>2</v>
      </c>
      <c r="C1138" s="114">
        <v>0.0004118981407517484</v>
      </c>
      <c r="D1138" s="112" t="s">
        <v>3314</v>
      </c>
      <c r="E1138" s="112" t="b">
        <v>0</v>
      </c>
      <c r="F1138" s="112" t="b">
        <v>0</v>
      </c>
      <c r="G1138" s="112" t="b">
        <v>0</v>
      </c>
    </row>
    <row r="1139" spans="1:7" ht="15">
      <c r="A1139" s="112" t="s">
        <v>3205</v>
      </c>
      <c r="B1139" s="112">
        <v>2</v>
      </c>
      <c r="C1139" s="114">
        <v>0.0004118981407517484</v>
      </c>
      <c r="D1139" s="112" t="s">
        <v>3314</v>
      </c>
      <c r="E1139" s="112" t="b">
        <v>0</v>
      </c>
      <c r="F1139" s="112" t="b">
        <v>0</v>
      </c>
      <c r="G1139" s="112" t="b">
        <v>0</v>
      </c>
    </row>
    <row r="1140" spans="1:7" ht="15">
      <c r="A1140" s="112" t="s">
        <v>3206</v>
      </c>
      <c r="B1140" s="112">
        <v>2</v>
      </c>
      <c r="C1140" s="114">
        <v>0.00036261359660243913</v>
      </c>
      <c r="D1140" s="112" t="s">
        <v>3314</v>
      </c>
      <c r="E1140" s="112" t="b">
        <v>0</v>
      </c>
      <c r="F1140" s="112" t="b">
        <v>0</v>
      </c>
      <c r="G1140" s="112" t="b">
        <v>0</v>
      </c>
    </row>
    <row r="1141" spans="1:7" ht="15">
      <c r="A1141" s="112" t="s">
        <v>3207</v>
      </c>
      <c r="B1141" s="112">
        <v>2</v>
      </c>
      <c r="C1141" s="114">
        <v>0.00036261359660243913</v>
      </c>
      <c r="D1141" s="112" t="s">
        <v>3314</v>
      </c>
      <c r="E1141" s="112" t="b">
        <v>0</v>
      </c>
      <c r="F1141" s="112" t="b">
        <v>0</v>
      </c>
      <c r="G1141" s="112" t="b">
        <v>0</v>
      </c>
    </row>
    <row r="1142" spans="1:7" ht="15">
      <c r="A1142" s="112" t="s">
        <v>3208</v>
      </c>
      <c r="B1142" s="112">
        <v>2</v>
      </c>
      <c r="C1142" s="114">
        <v>0.00036261359660243913</v>
      </c>
      <c r="D1142" s="112" t="s">
        <v>3314</v>
      </c>
      <c r="E1142" s="112" t="b">
        <v>0</v>
      </c>
      <c r="F1142" s="112" t="b">
        <v>0</v>
      </c>
      <c r="G1142" s="112" t="b">
        <v>0</v>
      </c>
    </row>
    <row r="1143" spans="1:7" ht="15">
      <c r="A1143" s="112" t="s">
        <v>3209</v>
      </c>
      <c r="B1143" s="112">
        <v>2</v>
      </c>
      <c r="C1143" s="114">
        <v>0.00036261359660243913</v>
      </c>
      <c r="D1143" s="112" t="s">
        <v>3314</v>
      </c>
      <c r="E1143" s="112" t="b">
        <v>0</v>
      </c>
      <c r="F1143" s="112" t="b">
        <v>0</v>
      </c>
      <c r="G1143" s="112" t="b">
        <v>0</v>
      </c>
    </row>
    <row r="1144" spans="1:7" ht="15">
      <c r="A1144" s="112" t="s">
        <v>3210</v>
      </c>
      <c r="B1144" s="112">
        <v>2</v>
      </c>
      <c r="C1144" s="114">
        <v>0.00036261359660243913</v>
      </c>
      <c r="D1144" s="112" t="s">
        <v>3314</v>
      </c>
      <c r="E1144" s="112" t="b">
        <v>0</v>
      </c>
      <c r="F1144" s="112" t="b">
        <v>0</v>
      </c>
      <c r="G1144" s="112" t="b">
        <v>0</v>
      </c>
    </row>
    <row r="1145" spans="1:7" ht="15">
      <c r="A1145" s="112" t="s">
        <v>3211</v>
      </c>
      <c r="B1145" s="112">
        <v>2</v>
      </c>
      <c r="C1145" s="114">
        <v>0.00036261359660243913</v>
      </c>
      <c r="D1145" s="112" t="s">
        <v>3314</v>
      </c>
      <c r="E1145" s="112" t="b">
        <v>0</v>
      </c>
      <c r="F1145" s="112" t="b">
        <v>0</v>
      </c>
      <c r="G1145" s="112" t="b">
        <v>0</v>
      </c>
    </row>
    <row r="1146" spans="1:7" ht="15">
      <c r="A1146" s="112" t="s">
        <v>3212</v>
      </c>
      <c r="B1146" s="112">
        <v>2</v>
      </c>
      <c r="C1146" s="114">
        <v>0.00036261359660243913</v>
      </c>
      <c r="D1146" s="112" t="s">
        <v>3314</v>
      </c>
      <c r="E1146" s="112" t="b">
        <v>0</v>
      </c>
      <c r="F1146" s="112" t="b">
        <v>0</v>
      </c>
      <c r="G1146" s="112" t="b">
        <v>0</v>
      </c>
    </row>
    <row r="1147" spans="1:7" ht="15">
      <c r="A1147" s="112" t="s">
        <v>3213</v>
      </c>
      <c r="B1147" s="112">
        <v>2</v>
      </c>
      <c r="C1147" s="114">
        <v>0.00036261359660243913</v>
      </c>
      <c r="D1147" s="112" t="s">
        <v>3314</v>
      </c>
      <c r="E1147" s="112" t="b">
        <v>0</v>
      </c>
      <c r="F1147" s="112" t="b">
        <v>0</v>
      </c>
      <c r="G1147" s="112" t="b">
        <v>0</v>
      </c>
    </row>
    <row r="1148" spans="1:7" ht="15">
      <c r="A1148" s="112" t="s">
        <v>3214</v>
      </c>
      <c r="B1148" s="112">
        <v>2</v>
      </c>
      <c r="C1148" s="114">
        <v>0.0004118981407517484</v>
      </c>
      <c r="D1148" s="112" t="s">
        <v>3314</v>
      </c>
      <c r="E1148" s="112" t="b">
        <v>0</v>
      </c>
      <c r="F1148" s="112" t="b">
        <v>0</v>
      </c>
      <c r="G1148" s="112" t="b">
        <v>0</v>
      </c>
    </row>
    <row r="1149" spans="1:7" ht="15">
      <c r="A1149" s="112" t="s">
        <v>3215</v>
      </c>
      <c r="B1149" s="112">
        <v>2</v>
      </c>
      <c r="C1149" s="114">
        <v>0.00036261359660243913</v>
      </c>
      <c r="D1149" s="112" t="s">
        <v>3314</v>
      </c>
      <c r="E1149" s="112" t="b">
        <v>0</v>
      </c>
      <c r="F1149" s="112" t="b">
        <v>0</v>
      </c>
      <c r="G1149" s="112" t="b">
        <v>0</v>
      </c>
    </row>
    <row r="1150" spans="1:7" ht="15">
      <c r="A1150" s="112" t="s">
        <v>3216</v>
      </c>
      <c r="B1150" s="112">
        <v>2</v>
      </c>
      <c r="C1150" s="114">
        <v>0.0004118981407517484</v>
      </c>
      <c r="D1150" s="112" t="s">
        <v>3314</v>
      </c>
      <c r="E1150" s="112" t="b">
        <v>0</v>
      </c>
      <c r="F1150" s="112" t="b">
        <v>0</v>
      </c>
      <c r="G1150" s="112" t="b">
        <v>0</v>
      </c>
    </row>
    <row r="1151" spans="1:7" ht="15">
      <c r="A1151" s="112" t="s">
        <v>3217</v>
      </c>
      <c r="B1151" s="112">
        <v>2</v>
      </c>
      <c r="C1151" s="114">
        <v>0.00036261359660243913</v>
      </c>
      <c r="D1151" s="112" t="s">
        <v>3314</v>
      </c>
      <c r="E1151" s="112" t="b">
        <v>0</v>
      </c>
      <c r="F1151" s="112" t="b">
        <v>0</v>
      </c>
      <c r="G1151" s="112" t="b">
        <v>0</v>
      </c>
    </row>
    <row r="1152" spans="1:7" ht="15">
      <c r="A1152" s="112" t="s">
        <v>3218</v>
      </c>
      <c r="B1152" s="112">
        <v>2</v>
      </c>
      <c r="C1152" s="114">
        <v>0.0004118981407517484</v>
      </c>
      <c r="D1152" s="112" t="s">
        <v>3314</v>
      </c>
      <c r="E1152" s="112" t="b">
        <v>0</v>
      </c>
      <c r="F1152" s="112" t="b">
        <v>0</v>
      </c>
      <c r="G1152" s="112" t="b">
        <v>0</v>
      </c>
    </row>
    <row r="1153" spans="1:7" ht="15">
      <c r="A1153" s="112" t="s">
        <v>3219</v>
      </c>
      <c r="B1153" s="112">
        <v>2</v>
      </c>
      <c r="C1153" s="114">
        <v>0.00036261359660243913</v>
      </c>
      <c r="D1153" s="112" t="s">
        <v>3314</v>
      </c>
      <c r="E1153" s="112" t="b">
        <v>0</v>
      </c>
      <c r="F1153" s="112" t="b">
        <v>0</v>
      </c>
      <c r="G1153" s="112" t="b">
        <v>0</v>
      </c>
    </row>
    <row r="1154" spans="1:7" ht="15">
      <c r="A1154" s="112" t="s">
        <v>3220</v>
      </c>
      <c r="B1154" s="112">
        <v>2</v>
      </c>
      <c r="C1154" s="114">
        <v>0.0004118981407517484</v>
      </c>
      <c r="D1154" s="112" t="s">
        <v>3314</v>
      </c>
      <c r="E1154" s="112" t="b">
        <v>0</v>
      </c>
      <c r="F1154" s="112" t="b">
        <v>0</v>
      </c>
      <c r="G1154" s="112" t="b">
        <v>0</v>
      </c>
    </row>
    <row r="1155" spans="1:7" ht="15">
      <c r="A1155" s="112" t="s">
        <v>3221</v>
      </c>
      <c r="B1155" s="112">
        <v>2</v>
      </c>
      <c r="C1155" s="114">
        <v>0.00036261359660243913</v>
      </c>
      <c r="D1155" s="112" t="s">
        <v>3314</v>
      </c>
      <c r="E1155" s="112" t="b">
        <v>0</v>
      </c>
      <c r="F1155" s="112" t="b">
        <v>0</v>
      </c>
      <c r="G1155" s="112" t="b">
        <v>0</v>
      </c>
    </row>
    <row r="1156" spans="1:7" ht="15">
      <c r="A1156" s="112" t="s">
        <v>3222</v>
      </c>
      <c r="B1156" s="112">
        <v>2</v>
      </c>
      <c r="C1156" s="114">
        <v>0.00036261359660243913</v>
      </c>
      <c r="D1156" s="112" t="s">
        <v>3314</v>
      </c>
      <c r="E1156" s="112" t="b">
        <v>0</v>
      </c>
      <c r="F1156" s="112" t="b">
        <v>1</v>
      </c>
      <c r="G1156" s="112" t="b">
        <v>0</v>
      </c>
    </row>
    <row r="1157" spans="1:7" ht="15">
      <c r="A1157" s="112" t="s">
        <v>3223</v>
      </c>
      <c r="B1157" s="112">
        <v>2</v>
      </c>
      <c r="C1157" s="114">
        <v>0.00036261359660243913</v>
      </c>
      <c r="D1157" s="112" t="s">
        <v>3314</v>
      </c>
      <c r="E1157" s="112" t="b">
        <v>0</v>
      </c>
      <c r="F1157" s="112" t="b">
        <v>0</v>
      </c>
      <c r="G1157" s="112" t="b">
        <v>0</v>
      </c>
    </row>
    <row r="1158" spans="1:7" ht="15">
      <c r="A1158" s="112" t="s">
        <v>3224</v>
      </c>
      <c r="B1158" s="112">
        <v>2</v>
      </c>
      <c r="C1158" s="114">
        <v>0.00036261359660243913</v>
      </c>
      <c r="D1158" s="112" t="s">
        <v>3314</v>
      </c>
      <c r="E1158" s="112" t="b">
        <v>0</v>
      </c>
      <c r="F1158" s="112" t="b">
        <v>0</v>
      </c>
      <c r="G1158" s="112" t="b">
        <v>0</v>
      </c>
    </row>
    <row r="1159" spans="1:7" ht="15">
      <c r="A1159" s="112" t="s">
        <v>3225</v>
      </c>
      <c r="B1159" s="112">
        <v>2</v>
      </c>
      <c r="C1159" s="114">
        <v>0.0004118981407517484</v>
      </c>
      <c r="D1159" s="112" t="s">
        <v>3314</v>
      </c>
      <c r="E1159" s="112" t="b">
        <v>0</v>
      </c>
      <c r="F1159" s="112" t="b">
        <v>0</v>
      </c>
      <c r="G1159" s="112" t="b">
        <v>0</v>
      </c>
    </row>
    <row r="1160" spans="1:7" ht="15">
      <c r="A1160" s="112" t="s">
        <v>3226</v>
      </c>
      <c r="B1160" s="112">
        <v>2</v>
      </c>
      <c r="C1160" s="114">
        <v>0.0004118981407517484</v>
      </c>
      <c r="D1160" s="112" t="s">
        <v>3314</v>
      </c>
      <c r="E1160" s="112" t="b">
        <v>0</v>
      </c>
      <c r="F1160" s="112" t="b">
        <v>0</v>
      </c>
      <c r="G1160" s="112" t="b">
        <v>0</v>
      </c>
    </row>
    <row r="1161" spans="1:7" ht="15">
      <c r="A1161" s="112" t="s">
        <v>3227</v>
      </c>
      <c r="B1161" s="112">
        <v>2</v>
      </c>
      <c r="C1161" s="114">
        <v>0.0004118981407517484</v>
      </c>
      <c r="D1161" s="112" t="s">
        <v>3314</v>
      </c>
      <c r="E1161" s="112" t="b">
        <v>0</v>
      </c>
      <c r="F1161" s="112" t="b">
        <v>0</v>
      </c>
      <c r="G1161" s="112" t="b">
        <v>0</v>
      </c>
    </row>
    <row r="1162" spans="1:7" ht="15">
      <c r="A1162" s="112" t="s">
        <v>3228</v>
      </c>
      <c r="B1162" s="112">
        <v>2</v>
      </c>
      <c r="C1162" s="114">
        <v>0.00036261359660243913</v>
      </c>
      <c r="D1162" s="112" t="s">
        <v>3314</v>
      </c>
      <c r="E1162" s="112" t="b">
        <v>0</v>
      </c>
      <c r="F1162" s="112" t="b">
        <v>0</v>
      </c>
      <c r="G1162" s="112" t="b">
        <v>0</v>
      </c>
    </row>
    <row r="1163" spans="1:7" ht="15">
      <c r="A1163" s="112" t="s">
        <v>3229</v>
      </c>
      <c r="B1163" s="112">
        <v>2</v>
      </c>
      <c r="C1163" s="114">
        <v>0.00036261359660243913</v>
      </c>
      <c r="D1163" s="112" t="s">
        <v>3314</v>
      </c>
      <c r="E1163" s="112" t="b">
        <v>0</v>
      </c>
      <c r="F1163" s="112" t="b">
        <v>0</v>
      </c>
      <c r="G1163" s="112" t="b">
        <v>0</v>
      </c>
    </row>
    <row r="1164" spans="1:7" ht="15">
      <c r="A1164" s="112" t="s">
        <v>3230</v>
      </c>
      <c r="B1164" s="112">
        <v>2</v>
      </c>
      <c r="C1164" s="114">
        <v>0.00036261359660243913</v>
      </c>
      <c r="D1164" s="112" t="s">
        <v>3314</v>
      </c>
      <c r="E1164" s="112" t="b">
        <v>0</v>
      </c>
      <c r="F1164" s="112" t="b">
        <v>0</v>
      </c>
      <c r="G1164" s="112" t="b">
        <v>0</v>
      </c>
    </row>
    <row r="1165" spans="1:7" ht="15">
      <c r="A1165" s="112" t="s">
        <v>3231</v>
      </c>
      <c r="B1165" s="112">
        <v>2</v>
      </c>
      <c r="C1165" s="114">
        <v>0.00036261359660243913</v>
      </c>
      <c r="D1165" s="112" t="s">
        <v>3314</v>
      </c>
      <c r="E1165" s="112" t="b">
        <v>0</v>
      </c>
      <c r="F1165" s="112" t="b">
        <v>0</v>
      </c>
      <c r="G1165" s="112" t="b">
        <v>0</v>
      </c>
    </row>
    <row r="1166" spans="1:7" ht="15">
      <c r="A1166" s="112" t="s">
        <v>3232</v>
      </c>
      <c r="B1166" s="112">
        <v>2</v>
      </c>
      <c r="C1166" s="114">
        <v>0.00036261359660243913</v>
      </c>
      <c r="D1166" s="112" t="s">
        <v>3314</v>
      </c>
      <c r="E1166" s="112" t="b">
        <v>0</v>
      </c>
      <c r="F1166" s="112" t="b">
        <v>0</v>
      </c>
      <c r="G1166" s="112" t="b">
        <v>0</v>
      </c>
    </row>
    <row r="1167" spans="1:7" ht="15">
      <c r="A1167" s="112" t="s">
        <v>3233</v>
      </c>
      <c r="B1167" s="112">
        <v>2</v>
      </c>
      <c r="C1167" s="114">
        <v>0.0004118981407517484</v>
      </c>
      <c r="D1167" s="112" t="s">
        <v>3314</v>
      </c>
      <c r="E1167" s="112" t="b">
        <v>0</v>
      </c>
      <c r="F1167" s="112" t="b">
        <v>0</v>
      </c>
      <c r="G1167" s="112" t="b">
        <v>0</v>
      </c>
    </row>
    <row r="1168" spans="1:7" ht="15">
      <c r="A1168" s="112" t="s">
        <v>3234</v>
      </c>
      <c r="B1168" s="112">
        <v>2</v>
      </c>
      <c r="C1168" s="114">
        <v>0.00036261359660243913</v>
      </c>
      <c r="D1168" s="112" t="s">
        <v>3314</v>
      </c>
      <c r="E1168" s="112" t="b">
        <v>0</v>
      </c>
      <c r="F1168" s="112" t="b">
        <v>0</v>
      </c>
      <c r="G1168" s="112" t="b">
        <v>0</v>
      </c>
    </row>
    <row r="1169" spans="1:7" ht="15">
      <c r="A1169" s="112" t="s">
        <v>3235</v>
      </c>
      <c r="B1169" s="112">
        <v>2</v>
      </c>
      <c r="C1169" s="114">
        <v>0.0004118981407517484</v>
      </c>
      <c r="D1169" s="112" t="s">
        <v>3314</v>
      </c>
      <c r="E1169" s="112" t="b">
        <v>0</v>
      </c>
      <c r="F1169" s="112" t="b">
        <v>0</v>
      </c>
      <c r="G1169" s="112" t="b">
        <v>0</v>
      </c>
    </row>
    <row r="1170" spans="1:7" ht="15">
      <c r="A1170" s="112" t="s">
        <v>3236</v>
      </c>
      <c r="B1170" s="112">
        <v>2</v>
      </c>
      <c r="C1170" s="114">
        <v>0.0004118981407517484</v>
      </c>
      <c r="D1170" s="112" t="s">
        <v>3314</v>
      </c>
      <c r="E1170" s="112" t="b">
        <v>0</v>
      </c>
      <c r="F1170" s="112" t="b">
        <v>0</v>
      </c>
      <c r="G1170" s="112" t="b">
        <v>0</v>
      </c>
    </row>
    <row r="1171" spans="1:7" ht="15">
      <c r="A1171" s="112" t="s">
        <v>3237</v>
      </c>
      <c r="B1171" s="112">
        <v>2</v>
      </c>
      <c r="C1171" s="114">
        <v>0.0004118981407517484</v>
      </c>
      <c r="D1171" s="112" t="s">
        <v>3314</v>
      </c>
      <c r="E1171" s="112" t="b">
        <v>0</v>
      </c>
      <c r="F1171" s="112" t="b">
        <v>0</v>
      </c>
      <c r="G1171" s="112" t="b">
        <v>0</v>
      </c>
    </row>
    <row r="1172" spans="1:7" ht="15">
      <c r="A1172" s="112" t="s">
        <v>3238</v>
      </c>
      <c r="B1172" s="112">
        <v>2</v>
      </c>
      <c r="C1172" s="114">
        <v>0.00036261359660243913</v>
      </c>
      <c r="D1172" s="112" t="s">
        <v>3314</v>
      </c>
      <c r="E1172" s="112" t="b">
        <v>0</v>
      </c>
      <c r="F1172" s="112" t="b">
        <v>0</v>
      </c>
      <c r="G1172" s="112" t="b">
        <v>0</v>
      </c>
    </row>
    <row r="1173" spans="1:7" ht="15">
      <c r="A1173" s="112" t="s">
        <v>3239</v>
      </c>
      <c r="B1173" s="112">
        <v>2</v>
      </c>
      <c r="C1173" s="114">
        <v>0.0004118981407517484</v>
      </c>
      <c r="D1173" s="112" t="s">
        <v>3314</v>
      </c>
      <c r="E1173" s="112" t="b">
        <v>0</v>
      </c>
      <c r="F1173" s="112" t="b">
        <v>0</v>
      </c>
      <c r="G1173" s="112" t="b">
        <v>0</v>
      </c>
    </row>
    <row r="1174" spans="1:7" ht="15">
      <c r="A1174" s="112" t="s">
        <v>3240</v>
      </c>
      <c r="B1174" s="112">
        <v>2</v>
      </c>
      <c r="C1174" s="114">
        <v>0.0004118981407517484</v>
      </c>
      <c r="D1174" s="112" t="s">
        <v>3314</v>
      </c>
      <c r="E1174" s="112" t="b">
        <v>0</v>
      </c>
      <c r="F1174" s="112" t="b">
        <v>0</v>
      </c>
      <c r="G1174" s="112" t="b">
        <v>0</v>
      </c>
    </row>
    <row r="1175" spans="1:7" ht="15">
      <c r="A1175" s="112" t="s">
        <v>3241</v>
      </c>
      <c r="B1175" s="112">
        <v>2</v>
      </c>
      <c r="C1175" s="114">
        <v>0.00036261359660243913</v>
      </c>
      <c r="D1175" s="112" t="s">
        <v>3314</v>
      </c>
      <c r="E1175" s="112" t="b">
        <v>0</v>
      </c>
      <c r="F1175" s="112" t="b">
        <v>0</v>
      </c>
      <c r="G1175" s="112" t="b">
        <v>0</v>
      </c>
    </row>
    <row r="1176" spans="1:7" ht="15">
      <c r="A1176" s="112" t="s">
        <v>3242</v>
      </c>
      <c r="B1176" s="112">
        <v>2</v>
      </c>
      <c r="C1176" s="114">
        <v>0.0004118981407517484</v>
      </c>
      <c r="D1176" s="112" t="s">
        <v>3314</v>
      </c>
      <c r="E1176" s="112" t="b">
        <v>0</v>
      </c>
      <c r="F1176" s="112" t="b">
        <v>0</v>
      </c>
      <c r="G1176" s="112" t="b">
        <v>0</v>
      </c>
    </row>
    <row r="1177" spans="1:7" ht="15">
      <c r="A1177" s="112" t="s">
        <v>3243</v>
      </c>
      <c r="B1177" s="112">
        <v>2</v>
      </c>
      <c r="C1177" s="114">
        <v>0.0004118981407517484</v>
      </c>
      <c r="D1177" s="112" t="s">
        <v>3314</v>
      </c>
      <c r="E1177" s="112" t="b">
        <v>0</v>
      </c>
      <c r="F1177" s="112" t="b">
        <v>0</v>
      </c>
      <c r="G1177" s="112" t="b">
        <v>0</v>
      </c>
    </row>
    <row r="1178" spans="1:7" ht="15">
      <c r="A1178" s="112" t="s">
        <v>3244</v>
      </c>
      <c r="B1178" s="112">
        <v>2</v>
      </c>
      <c r="C1178" s="114">
        <v>0.00036261359660243913</v>
      </c>
      <c r="D1178" s="112" t="s">
        <v>3314</v>
      </c>
      <c r="E1178" s="112" t="b">
        <v>0</v>
      </c>
      <c r="F1178" s="112" t="b">
        <v>0</v>
      </c>
      <c r="G1178" s="112" t="b">
        <v>0</v>
      </c>
    </row>
    <row r="1179" spans="1:7" ht="15">
      <c r="A1179" s="112" t="s">
        <v>3245</v>
      </c>
      <c r="B1179" s="112">
        <v>2</v>
      </c>
      <c r="C1179" s="114">
        <v>0.00036261359660243913</v>
      </c>
      <c r="D1179" s="112" t="s">
        <v>3314</v>
      </c>
      <c r="E1179" s="112" t="b">
        <v>0</v>
      </c>
      <c r="F1179" s="112" t="b">
        <v>0</v>
      </c>
      <c r="G1179" s="112" t="b">
        <v>0</v>
      </c>
    </row>
    <row r="1180" spans="1:7" ht="15">
      <c r="A1180" s="112" t="s">
        <v>3246</v>
      </c>
      <c r="B1180" s="112">
        <v>2</v>
      </c>
      <c r="C1180" s="114">
        <v>0.0004118981407517484</v>
      </c>
      <c r="D1180" s="112" t="s">
        <v>3314</v>
      </c>
      <c r="E1180" s="112" t="b">
        <v>0</v>
      </c>
      <c r="F1180" s="112" t="b">
        <v>0</v>
      </c>
      <c r="G1180" s="112" t="b">
        <v>0</v>
      </c>
    </row>
    <row r="1181" spans="1:7" ht="15">
      <c r="A1181" s="112" t="s">
        <v>3247</v>
      </c>
      <c r="B1181" s="112">
        <v>2</v>
      </c>
      <c r="C1181" s="114">
        <v>0.00036261359660243913</v>
      </c>
      <c r="D1181" s="112" t="s">
        <v>3314</v>
      </c>
      <c r="E1181" s="112" t="b">
        <v>1</v>
      </c>
      <c r="F1181" s="112" t="b">
        <v>0</v>
      </c>
      <c r="G1181" s="112" t="b">
        <v>0</v>
      </c>
    </row>
    <row r="1182" spans="1:7" ht="15">
      <c r="A1182" s="112" t="s">
        <v>3248</v>
      </c>
      <c r="B1182" s="112">
        <v>2</v>
      </c>
      <c r="C1182" s="114">
        <v>0.0004118981407517484</v>
      </c>
      <c r="D1182" s="112" t="s">
        <v>3314</v>
      </c>
      <c r="E1182" s="112" t="b">
        <v>0</v>
      </c>
      <c r="F1182" s="112" t="b">
        <v>0</v>
      </c>
      <c r="G1182" s="112" t="b">
        <v>0</v>
      </c>
    </row>
    <row r="1183" spans="1:7" ht="15">
      <c r="A1183" s="112" t="s">
        <v>3249</v>
      </c>
      <c r="B1183" s="112">
        <v>2</v>
      </c>
      <c r="C1183" s="114">
        <v>0.0004118981407517484</v>
      </c>
      <c r="D1183" s="112" t="s">
        <v>3314</v>
      </c>
      <c r="E1183" s="112" t="b">
        <v>1</v>
      </c>
      <c r="F1183" s="112" t="b">
        <v>0</v>
      </c>
      <c r="G1183" s="112" t="b">
        <v>0</v>
      </c>
    </row>
    <row r="1184" spans="1:7" ht="15">
      <c r="A1184" s="112" t="s">
        <v>3250</v>
      </c>
      <c r="B1184" s="112">
        <v>2</v>
      </c>
      <c r="C1184" s="114">
        <v>0.0004118981407517484</v>
      </c>
      <c r="D1184" s="112" t="s">
        <v>3314</v>
      </c>
      <c r="E1184" s="112" t="b">
        <v>0</v>
      </c>
      <c r="F1184" s="112" t="b">
        <v>0</v>
      </c>
      <c r="G1184" s="112" t="b">
        <v>0</v>
      </c>
    </row>
    <row r="1185" spans="1:7" ht="15">
      <c r="A1185" s="112" t="s">
        <v>3251</v>
      </c>
      <c r="B1185" s="112">
        <v>2</v>
      </c>
      <c r="C1185" s="114">
        <v>0.00036261359660243913</v>
      </c>
      <c r="D1185" s="112" t="s">
        <v>3314</v>
      </c>
      <c r="E1185" s="112" t="b">
        <v>0</v>
      </c>
      <c r="F1185" s="112" t="b">
        <v>0</v>
      </c>
      <c r="G1185" s="112" t="b">
        <v>0</v>
      </c>
    </row>
    <row r="1186" spans="1:7" ht="15">
      <c r="A1186" s="112" t="s">
        <v>3252</v>
      </c>
      <c r="B1186" s="112">
        <v>2</v>
      </c>
      <c r="C1186" s="114">
        <v>0.0004118981407517484</v>
      </c>
      <c r="D1186" s="112" t="s">
        <v>3314</v>
      </c>
      <c r="E1186" s="112" t="b">
        <v>0</v>
      </c>
      <c r="F1186" s="112" t="b">
        <v>0</v>
      </c>
      <c r="G1186" s="112" t="b">
        <v>0</v>
      </c>
    </row>
    <row r="1187" spans="1:7" ht="15">
      <c r="A1187" s="112" t="s">
        <v>3253</v>
      </c>
      <c r="B1187" s="112">
        <v>2</v>
      </c>
      <c r="C1187" s="114">
        <v>0.0004118981407517484</v>
      </c>
      <c r="D1187" s="112" t="s">
        <v>3314</v>
      </c>
      <c r="E1187" s="112" t="b">
        <v>0</v>
      </c>
      <c r="F1187" s="112" t="b">
        <v>0</v>
      </c>
      <c r="G1187" s="112" t="b">
        <v>0</v>
      </c>
    </row>
    <row r="1188" spans="1:7" ht="15">
      <c r="A1188" s="112" t="s">
        <v>3254</v>
      </c>
      <c r="B1188" s="112">
        <v>2</v>
      </c>
      <c r="C1188" s="114">
        <v>0.0004118981407517484</v>
      </c>
      <c r="D1188" s="112" t="s">
        <v>3314</v>
      </c>
      <c r="E1188" s="112" t="b">
        <v>0</v>
      </c>
      <c r="F1188" s="112" t="b">
        <v>0</v>
      </c>
      <c r="G1188" s="112" t="b">
        <v>0</v>
      </c>
    </row>
    <row r="1189" spans="1:7" ht="15">
      <c r="A1189" s="112" t="s">
        <v>3255</v>
      </c>
      <c r="B1189" s="112">
        <v>2</v>
      </c>
      <c r="C1189" s="114">
        <v>0.00036261359660243913</v>
      </c>
      <c r="D1189" s="112" t="s">
        <v>3314</v>
      </c>
      <c r="E1189" s="112" t="b">
        <v>0</v>
      </c>
      <c r="F1189" s="112" t="b">
        <v>1</v>
      </c>
      <c r="G1189" s="112" t="b">
        <v>0</v>
      </c>
    </row>
    <row r="1190" spans="1:7" ht="15">
      <c r="A1190" s="112" t="s">
        <v>3256</v>
      </c>
      <c r="B1190" s="112">
        <v>2</v>
      </c>
      <c r="C1190" s="114">
        <v>0.0004118981407517484</v>
      </c>
      <c r="D1190" s="112" t="s">
        <v>3314</v>
      </c>
      <c r="E1190" s="112" t="b">
        <v>0</v>
      </c>
      <c r="F1190" s="112" t="b">
        <v>1</v>
      </c>
      <c r="G1190" s="112" t="b">
        <v>0</v>
      </c>
    </row>
    <row r="1191" spans="1:7" ht="15">
      <c r="A1191" s="112" t="s">
        <v>3257</v>
      </c>
      <c r="B1191" s="112">
        <v>2</v>
      </c>
      <c r="C1191" s="114">
        <v>0.0004118981407517484</v>
      </c>
      <c r="D1191" s="112" t="s">
        <v>3314</v>
      </c>
      <c r="E1191" s="112" t="b">
        <v>0</v>
      </c>
      <c r="F1191" s="112" t="b">
        <v>0</v>
      </c>
      <c r="G1191" s="112" t="b">
        <v>0</v>
      </c>
    </row>
    <row r="1192" spans="1:7" ht="15">
      <c r="A1192" s="112" t="s">
        <v>3258</v>
      </c>
      <c r="B1192" s="112">
        <v>2</v>
      </c>
      <c r="C1192" s="114">
        <v>0.0004118981407517484</v>
      </c>
      <c r="D1192" s="112" t="s">
        <v>3314</v>
      </c>
      <c r="E1192" s="112" t="b">
        <v>0</v>
      </c>
      <c r="F1192" s="112" t="b">
        <v>0</v>
      </c>
      <c r="G1192" s="112" t="b">
        <v>0</v>
      </c>
    </row>
    <row r="1193" spans="1:7" ht="15">
      <c r="A1193" s="112" t="s">
        <v>3259</v>
      </c>
      <c r="B1193" s="112">
        <v>2</v>
      </c>
      <c r="C1193" s="114">
        <v>0.0004118981407517484</v>
      </c>
      <c r="D1193" s="112" t="s">
        <v>3314</v>
      </c>
      <c r="E1193" s="112" t="b">
        <v>0</v>
      </c>
      <c r="F1193" s="112" t="b">
        <v>0</v>
      </c>
      <c r="G1193" s="112" t="b">
        <v>0</v>
      </c>
    </row>
    <row r="1194" spans="1:7" ht="15">
      <c r="A1194" s="112" t="s">
        <v>3260</v>
      </c>
      <c r="B1194" s="112">
        <v>2</v>
      </c>
      <c r="C1194" s="114">
        <v>0.0004118981407517484</v>
      </c>
      <c r="D1194" s="112" t="s">
        <v>3314</v>
      </c>
      <c r="E1194" s="112" t="b">
        <v>0</v>
      </c>
      <c r="F1194" s="112" t="b">
        <v>0</v>
      </c>
      <c r="G1194" s="112" t="b">
        <v>0</v>
      </c>
    </row>
    <row r="1195" spans="1:7" ht="15">
      <c r="A1195" s="112" t="s">
        <v>3261</v>
      </c>
      <c r="B1195" s="112">
        <v>2</v>
      </c>
      <c r="C1195" s="114">
        <v>0.00036261359660243913</v>
      </c>
      <c r="D1195" s="112" t="s">
        <v>3314</v>
      </c>
      <c r="E1195" s="112" t="b">
        <v>0</v>
      </c>
      <c r="F1195" s="112" t="b">
        <v>0</v>
      </c>
      <c r="G1195" s="112" t="b">
        <v>0</v>
      </c>
    </row>
    <row r="1196" spans="1:7" ht="15">
      <c r="A1196" s="112" t="s">
        <v>3262</v>
      </c>
      <c r="B1196" s="112">
        <v>2</v>
      </c>
      <c r="C1196" s="114">
        <v>0.00036261359660243913</v>
      </c>
      <c r="D1196" s="112" t="s">
        <v>3314</v>
      </c>
      <c r="E1196" s="112" t="b">
        <v>0</v>
      </c>
      <c r="F1196" s="112" t="b">
        <v>0</v>
      </c>
      <c r="G1196" s="112" t="b">
        <v>0</v>
      </c>
    </row>
    <row r="1197" spans="1:7" ht="15">
      <c r="A1197" s="112" t="s">
        <v>3263</v>
      </c>
      <c r="B1197" s="112">
        <v>2</v>
      </c>
      <c r="C1197" s="114">
        <v>0.00036261359660243913</v>
      </c>
      <c r="D1197" s="112" t="s">
        <v>3314</v>
      </c>
      <c r="E1197" s="112" t="b">
        <v>0</v>
      </c>
      <c r="F1197" s="112" t="b">
        <v>0</v>
      </c>
      <c r="G1197" s="112" t="b">
        <v>0</v>
      </c>
    </row>
    <row r="1198" spans="1:7" ht="15">
      <c r="A1198" s="112" t="s">
        <v>3264</v>
      </c>
      <c r="B1198" s="112">
        <v>2</v>
      </c>
      <c r="C1198" s="114">
        <v>0.0004118981407517484</v>
      </c>
      <c r="D1198" s="112" t="s">
        <v>3314</v>
      </c>
      <c r="E1198" s="112" t="b">
        <v>0</v>
      </c>
      <c r="F1198" s="112" t="b">
        <v>1</v>
      </c>
      <c r="G1198" s="112" t="b">
        <v>0</v>
      </c>
    </row>
    <row r="1199" spans="1:7" ht="15">
      <c r="A1199" s="112" t="s">
        <v>3265</v>
      </c>
      <c r="B1199" s="112">
        <v>2</v>
      </c>
      <c r="C1199" s="114">
        <v>0.0004118981407517484</v>
      </c>
      <c r="D1199" s="112" t="s">
        <v>3314</v>
      </c>
      <c r="E1199" s="112" t="b">
        <v>0</v>
      </c>
      <c r="F1199" s="112" t="b">
        <v>0</v>
      </c>
      <c r="G1199" s="112" t="b">
        <v>0</v>
      </c>
    </row>
    <row r="1200" spans="1:7" ht="15">
      <c r="A1200" s="112" t="s">
        <v>3266</v>
      </c>
      <c r="B1200" s="112">
        <v>2</v>
      </c>
      <c r="C1200" s="114">
        <v>0.00036261359660243913</v>
      </c>
      <c r="D1200" s="112" t="s">
        <v>3314</v>
      </c>
      <c r="E1200" s="112" t="b">
        <v>0</v>
      </c>
      <c r="F1200" s="112" t="b">
        <v>0</v>
      </c>
      <c r="G1200" s="112" t="b">
        <v>0</v>
      </c>
    </row>
    <row r="1201" spans="1:7" ht="15">
      <c r="A1201" s="112" t="s">
        <v>3267</v>
      </c>
      <c r="B1201" s="112">
        <v>2</v>
      </c>
      <c r="C1201" s="114">
        <v>0.00036261359660243913</v>
      </c>
      <c r="D1201" s="112" t="s">
        <v>3314</v>
      </c>
      <c r="E1201" s="112" t="b">
        <v>0</v>
      </c>
      <c r="F1201" s="112" t="b">
        <v>0</v>
      </c>
      <c r="G1201" s="112" t="b">
        <v>0</v>
      </c>
    </row>
    <row r="1202" spans="1:7" ht="15">
      <c r="A1202" s="112" t="s">
        <v>3268</v>
      </c>
      <c r="B1202" s="112">
        <v>2</v>
      </c>
      <c r="C1202" s="114">
        <v>0.00036261359660243913</v>
      </c>
      <c r="D1202" s="112" t="s">
        <v>3314</v>
      </c>
      <c r="E1202" s="112" t="b">
        <v>0</v>
      </c>
      <c r="F1202" s="112" t="b">
        <v>0</v>
      </c>
      <c r="G1202" s="112" t="b">
        <v>0</v>
      </c>
    </row>
    <row r="1203" spans="1:7" ht="15">
      <c r="A1203" s="112" t="s">
        <v>3269</v>
      </c>
      <c r="B1203" s="112">
        <v>2</v>
      </c>
      <c r="C1203" s="114">
        <v>0.00036261359660243913</v>
      </c>
      <c r="D1203" s="112" t="s">
        <v>3314</v>
      </c>
      <c r="E1203" s="112" t="b">
        <v>0</v>
      </c>
      <c r="F1203" s="112" t="b">
        <v>1</v>
      </c>
      <c r="G1203" s="112" t="b">
        <v>0</v>
      </c>
    </row>
    <row r="1204" spans="1:7" ht="15">
      <c r="A1204" s="112" t="s">
        <v>3270</v>
      </c>
      <c r="B1204" s="112">
        <v>2</v>
      </c>
      <c r="C1204" s="114">
        <v>0.0004118981407517484</v>
      </c>
      <c r="D1204" s="112" t="s">
        <v>3314</v>
      </c>
      <c r="E1204" s="112" t="b">
        <v>0</v>
      </c>
      <c r="F1204" s="112" t="b">
        <v>0</v>
      </c>
      <c r="G1204" s="112" t="b">
        <v>0</v>
      </c>
    </row>
    <row r="1205" spans="1:7" ht="15">
      <c r="A1205" s="112" t="s">
        <v>3271</v>
      </c>
      <c r="B1205" s="112">
        <v>2</v>
      </c>
      <c r="C1205" s="114">
        <v>0.0004118981407517484</v>
      </c>
      <c r="D1205" s="112" t="s">
        <v>3314</v>
      </c>
      <c r="E1205" s="112" t="b">
        <v>0</v>
      </c>
      <c r="F1205" s="112" t="b">
        <v>0</v>
      </c>
      <c r="G1205" s="112" t="b">
        <v>0</v>
      </c>
    </row>
    <row r="1206" spans="1:7" ht="15">
      <c r="A1206" s="112" t="s">
        <v>3272</v>
      </c>
      <c r="B1206" s="112">
        <v>2</v>
      </c>
      <c r="C1206" s="114">
        <v>0.0004118981407517484</v>
      </c>
      <c r="D1206" s="112" t="s">
        <v>3314</v>
      </c>
      <c r="E1206" s="112" t="b">
        <v>0</v>
      </c>
      <c r="F1206" s="112" t="b">
        <v>0</v>
      </c>
      <c r="G1206" s="112" t="b">
        <v>0</v>
      </c>
    </row>
    <row r="1207" spans="1:7" ht="15">
      <c r="A1207" s="112" t="s">
        <v>3273</v>
      </c>
      <c r="B1207" s="112">
        <v>2</v>
      </c>
      <c r="C1207" s="114">
        <v>0.0004118981407517484</v>
      </c>
      <c r="D1207" s="112" t="s">
        <v>3314</v>
      </c>
      <c r="E1207" s="112" t="b">
        <v>0</v>
      </c>
      <c r="F1207" s="112" t="b">
        <v>1</v>
      </c>
      <c r="G1207" s="112" t="b">
        <v>0</v>
      </c>
    </row>
    <row r="1208" spans="1:7" ht="15">
      <c r="A1208" s="112" t="s">
        <v>3274</v>
      </c>
      <c r="B1208" s="112">
        <v>2</v>
      </c>
      <c r="C1208" s="114">
        <v>0.00036261359660243913</v>
      </c>
      <c r="D1208" s="112" t="s">
        <v>3314</v>
      </c>
      <c r="E1208" s="112" t="b">
        <v>0</v>
      </c>
      <c r="F1208" s="112" t="b">
        <v>0</v>
      </c>
      <c r="G1208" s="112" t="b">
        <v>0</v>
      </c>
    </row>
    <row r="1209" spans="1:7" ht="15">
      <c r="A1209" s="112" t="s">
        <v>3275</v>
      </c>
      <c r="B1209" s="112">
        <v>2</v>
      </c>
      <c r="C1209" s="114">
        <v>0.00036261359660243913</v>
      </c>
      <c r="D1209" s="112" t="s">
        <v>3314</v>
      </c>
      <c r="E1209" s="112" t="b">
        <v>0</v>
      </c>
      <c r="F1209" s="112" t="b">
        <v>0</v>
      </c>
      <c r="G1209" s="112" t="b">
        <v>0</v>
      </c>
    </row>
    <row r="1210" spans="1:7" ht="15">
      <c r="A1210" s="112" t="s">
        <v>3276</v>
      </c>
      <c r="B1210" s="112">
        <v>2</v>
      </c>
      <c r="C1210" s="114">
        <v>0.00036261359660243913</v>
      </c>
      <c r="D1210" s="112" t="s">
        <v>3314</v>
      </c>
      <c r="E1210" s="112" t="b">
        <v>0</v>
      </c>
      <c r="F1210" s="112" t="b">
        <v>0</v>
      </c>
      <c r="G1210" s="112" t="b">
        <v>0</v>
      </c>
    </row>
    <row r="1211" spans="1:7" ht="15">
      <c r="A1211" s="112" t="s">
        <v>3277</v>
      </c>
      <c r="B1211" s="112">
        <v>2</v>
      </c>
      <c r="C1211" s="114">
        <v>0.00036261359660243913</v>
      </c>
      <c r="D1211" s="112" t="s">
        <v>3314</v>
      </c>
      <c r="E1211" s="112" t="b">
        <v>0</v>
      </c>
      <c r="F1211" s="112" t="b">
        <v>0</v>
      </c>
      <c r="G1211" s="112" t="b">
        <v>0</v>
      </c>
    </row>
    <row r="1212" spans="1:7" ht="15">
      <c r="A1212" s="112" t="s">
        <v>3278</v>
      </c>
      <c r="B1212" s="112">
        <v>2</v>
      </c>
      <c r="C1212" s="114">
        <v>0.0004118981407517484</v>
      </c>
      <c r="D1212" s="112" t="s">
        <v>3314</v>
      </c>
      <c r="E1212" s="112" t="b">
        <v>0</v>
      </c>
      <c r="F1212" s="112" t="b">
        <v>0</v>
      </c>
      <c r="G1212" s="112" t="b">
        <v>0</v>
      </c>
    </row>
    <row r="1213" spans="1:7" ht="15">
      <c r="A1213" s="112" t="s">
        <v>3279</v>
      </c>
      <c r="B1213" s="112">
        <v>2</v>
      </c>
      <c r="C1213" s="114">
        <v>0.0004118981407517484</v>
      </c>
      <c r="D1213" s="112" t="s">
        <v>3314</v>
      </c>
      <c r="E1213" s="112" t="b">
        <v>0</v>
      </c>
      <c r="F1213" s="112" t="b">
        <v>0</v>
      </c>
      <c r="G1213" s="112" t="b">
        <v>0</v>
      </c>
    </row>
    <row r="1214" spans="1:7" ht="15">
      <c r="A1214" s="112" t="s">
        <v>3280</v>
      </c>
      <c r="B1214" s="112">
        <v>2</v>
      </c>
      <c r="C1214" s="114">
        <v>0.0004118981407517484</v>
      </c>
      <c r="D1214" s="112" t="s">
        <v>3314</v>
      </c>
      <c r="E1214" s="112" t="b">
        <v>0</v>
      </c>
      <c r="F1214" s="112" t="b">
        <v>0</v>
      </c>
      <c r="G1214" s="112" t="b">
        <v>0</v>
      </c>
    </row>
    <row r="1215" spans="1:7" ht="15">
      <c r="A1215" s="112" t="s">
        <v>3281</v>
      </c>
      <c r="B1215" s="112">
        <v>2</v>
      </c>
      <c r="C1215" s="114">
        <v>0.0004118981407517484</v>
      </c>
      <c r="D1215" s="112" t="s">
        <v>3314</v>
      </c>
      <c r="E1215" s="112" t="b">
        <v>0</v>
      </c>
      <c r="F1215" s="112" t="b">
        <v>0</v>
      </c>
      <c r="G1215" s="112" t="b">
        <v>0</v>
      </c>
    </row>
    <row r="1216" spans="1:7" ht="15">
      <c r="A1216" s="112" t="s">
        <v>3282</v>
      </c>
      <c r="B1216" s="112">
        <v>2</v>
      </c>
      <c r="C1216" s="114">
        <v>0.0004118981407517484</v>
      </c>
      <c r="D1216" s="112" t="s">
        <v>3314</v>
      </c>
      <c r="E1216" s="112" t="b">
        <v>0</v>
      </c>
      <c r="F1216" s="112" t="b">
        <v>0</v>
      </c>
      <c r="G1216" s="112" t="b">
        <v>0</v>
      </c>
    </row>
    <row r="1217" spans="1:7" ht="15">
      <c r="A1217" s="112" t="s">
        <v>3283</v>
      </c>
      <c r="B1217" s="112">
        <v>2</v>
      </c>
      <c r="C1217" s="114">
        <v>0.0004118981407517484</v>
      </c>
      <c r="D1217" s="112" t="s">
        <v>3314</v>
      </c>
      <c r="E1217" s="112" t="b">
        <v>0</v>
      </c>
      <c r="F1217" s="112" t="b">
        <v>0</v>
      </c>
      <c r="G1217" s="112" t="b">
        <v>0</v>
      </c>
    </row>
    <row r="1218" spans="1:7" ht="15">
      <c r="A1218" s="112" t="s">
        <v>3284</v>
      </c>
      <c r="B1218" s="112">
        <v>2</v>
      </c>
      <c r="C1218" s="114">
        <v>0.00036261359660243913</v>
      </c>
      <c r="D1218" s="112" t="s">
        <v>3314</v>
      </c>
      <c r="E1218" s="112" t="b">
        <v>0</v>
      </c>
      <c r="F1218" s="112" t="b">
        <v>0</v>
      </c>
      <c r="G1218" s="112" t="b">
        <v>0</v>
      </c>
    </row>
    <row r="1219" spans="1:7" ht="15">
      <c r="A1219" s="112" t="s">
        <v>3285</v>
      </c>
      <c r="B1219" s="112">
        <v>2</v>
      </c>
      <c r="C1219" s="114">
        <v>0.00036261359660243913</v>
      </c>
      <c r="D1219" s="112" t="s">
        <v>3314</v>
      </c>
      <c r="E1219" s="112" t="b">
        <v>0</v>
      </c>
      <c r="F1219" s="112" t="b">
        <v>1</v>
      </c>
      <c r="G1219" s="112" t="b">
        <v>0</v>
      </c>
    </row>
    <row r="1220" spans="1:7" ht="15">
      <c r="A1220" s="112" t="s">
        <v>3286</v>
      </c>
      <c r="B1220" s="112">
        <v>2</v>
      </c>
      <c r="C1220" s="114">
        <v>0.00036261359660243913</v>
      </c>
      <c r="D1220" s="112" t="s">
        <v>3314</v>
      </c>
      <c r="E1220" s="112" t="b">
        <v>0</v>
      </c>
      <c r="F1220" s="112" t="b">
        <v>0</v>
      </c>
      <c r="G1220" s="112" t="b">
        <v>0</v>
      </c>
    </row>
    <row r="1221" spans="1:7" ht="15">
      <c r="A1221" s="112" t="s">
        <v>3287</v>
      </c>
      <c r="B1221" s="112">
        <v>2</v>
      </c>
      <c r="C1221" s="114">
        <v>0.0004118981407517484</v>
      </c>
      <c r="D1221" s="112" t="s">
        <v>3314</v>
      </c>
      <c r="E1221" s="112" t="b">
        <v>0</v>
      </c>
      <c r="F1221" s="112" t="b">
        <v>0</v>
      </c>
      <c r="G1221" s="112" t="b">
        <v>0</v>
      </c>
    </row>
    <row r="1222" spans="1:7" ht="15">
      <c r="A1222" s="112" t="s">
        <v>3288</v>
      </c>
      <c r="B1222" s="112">
        <v>2</v>
      </c>
      <c r="C1222" s="114">
        <v>0.0004118981407517484</v>
      </c>
      <c r="D1222" s="112" t="s">
        <v>3314</v>
      </c>
      <c r="E1222" s="112" t="b">
        <v>0</v>
      </c>
      <c r="F1222" s="112" t="b">
        <v>0</v>
      </c>
      <c r="G1222" s="112" t="b">
        <v>0</v>
      </c>
    </row>
    <row r="1223" spans="1:7" ht="15">
      <c r="A1223" s="112" t="s">
        <v>3289</v>
      </c>
      <c r="B1223" s="112">
        <v>2</v>
      </c>
      <c r="C1223" s="114">
        <v>0.0004118981407517484</v>
      </c>
      <c r="D1223" s="112" t="s">
        <v>3314</v>
      </c>
      <c r="E1223" s="112" t="b">
        <v>0</v>
      </c>
      <c r="F1223" s="112" t="b">
        <v>1</v>
      </c>
      <c r="G1223" s="112" t="b">
        <v>0</v>
      </c>
    </row>
    <row r="1224" spans="1:7" ht="15">
      <c r="A1224" s="112" t="s">
        <v>3290</v>
      </c>
      <c r="B1224" s="112">
        <v>2</v>
      </c>
      <c r="C1224" s="114">
        <v>0.0004118981407517484</v>
      </c>
      <c r="D1224" s="112" t="s">
        <v>3314</v>
      </c>
      <c r="E1224" s="112" t="b">
        <v>0</v>
      </c>
      <c r="F1224" s="112" t="b">
        <v>0</v>
      </c>
      <c r="G1224" s="112" t="b">
        <v>0</v>
      </c>
    </row>
    <row r="1225" spans="1:7" ht="15">
      <c r="A1225" s="112" t="s">
        <v>3291</v>
      </c>
      <c r="B1225" s="112">
        <v>2</v>
      </c>
      <c r="C1225" s="114">
        <v>0.0004118981407517484</v>
      </c>
      <c r="D1225" s="112" t="s">
        <v>3314</v>
      </c>
      <c r="E1225" s="112" t="b">
        <v>0</v>
      </c>
      <c r="F1225" s="112" t="b">
        <v>0</v>
      </c>
      <c r="G1225" s="112" t="b">
        <v>0</v>
      </c>
    </row>
    <row r="1226" spans="1:7" ht="15">
      <c r="A1226" s="112" t="s">
        <v>3292</v>
      </c>
      <c r="B1226" s="112">
        <v>2</v>
      </c>
      <c r="C1226" s="114">
        <v>0.0004118981407517484</v>
      </c>
      <c r="D1226" s="112" t="s">
        <v>3314</v>
      </c>
      <c r="E1226" s="112" t="b">
        <v>0</v>
      </c>
      <c r="F1226" s="112" t="b">
        <v>0</v>
      </c>
      <c r="G1226" s="112" t="b">
        <v>0</v>
      </c>
    </row>
    <row r="1227" spans="1:7" ht="15">
      <c r="A1227" s="112" t="s">
        <v>3293</v>
      </c>
      <c r="B1227" s="112">
        <v>2</v>
      </c>
      <c r="C1227" s="114">
        <v>0.0004118981407517484</v>
      </c>
      <c r="D1227" s="112" t="s">
        <v>3314</v>
      </c>
      <c r="E1227" s="112" t="b">
        <v>0</v>
      </c>
      <c r="F1227" s="112" t="b">
        <v>0</v>
      </c>
      <c r="G1227" s="112" t="b">
        <v>0</v>
      </c>
    </row>
    <row r="1228" spans="1:7" ht="15">
      <c r="A1228" s="112" t="s">
        <v>3294</v>
      </c>
      <c r="B1228" s="112">
        <v>2</v>
      </c>
      <c r="C1228" s="114">
        <v>0.0004118981407517484</v>
      </c>
      <c r="D1228" s="112" t="s">
        <v>3314</v>
      </c>
      <c r="E1228" s="112" t="b">
        <v>0</v>
      </c>
      <c r="F1228" s="112" t="b">
        <v>0</v>
      </c>
      <c r="G1228" s="112" t="b">
        <v>0</v>
      </c>
    </row>
    <row r="1229" spans="1:7" ht="15">
      <c r="A1229" s="112" t="s">
        <v>3295</v>
      </c>
      <c r="B1229" s="112">
        <v>2</v>
      </c>
      <c r="C1229" s="114">
        <v>0.0004118981407517484</v>
      </c>
      <c r="D1229" s="112" t="s">
        <v>3314</v>
      </c>
      <c r="E1229" s="112" t="b">
        <v>0</v>
      </c>
      <c r="F1229" s="112" t="b">
        <v>0</v>
      </c>
      <c r="G1229" s="112" t="b">
        <v>0</v>
      </c>
    </row>
    <row r="1230" spans="1:7" ht="15">
      <c r="A1230" s="112" t="s">
        <v>3296</v>
      </c>
      <c r="B1230" s="112">
        <v>2</v>
      </c>
      <c r="C1230" s="114">
        <v>0.0004118981407517484</v>
      </c>
      <c r="D1230" s="112" t="s">
        <v>3314</v>
      </c>
      <c r="E1230" s="112" t="b">
        <v>0</v>
      </c>
      <c r="F1230" s="112" t="b">
        <v>0</v>
      </c>
      <c r="G1230" s="112" t="b">
        <v>0</v>
      </c>
    </row>
    <row r="1231" spans="1:7" ht="15">
      <c r="A1231" s="112" t="s">
        <v>3297</v>
      </c>
      <c r="B1231" s="112">
        <v>2</v>
      </c>
      <c r="C1231" s="114">
        <v>0.00036261359660243913</v>
      </c>
      <c r="D1231" s="112" t="s">
        <v>3314</v>
      </c>
      <c r="E1231" s="112" t="b">
        <v>0</v>
      </c>
      <c r="F1231" s="112" t="b">
        <v>0</v>
      </c>
      <c r="G1231" s="112" t="b">
        <v>0</v>
      </c>
    </row>
    <row r="1232" spans="1:7" ht="15">
      <c r="A1232" s="112" t="s">
        <v>3298</v>
      </c>
      <c r="B1232" s="112">
        <v>2</v>
      </c>
      <c r="C1232" s="114">
        <v>0.0004118981407517484</v>
      </c>
      <c r="D1232" s="112" t="s">
        <v>3314</v>
      </c>
      <c r="E1232" s="112" t="b">
        <v>0</v>
      </c>
      <c r="F1232" s="112" t="b">
        <v>0</v>
      </c>
      <c r="G1232" s="112" t="b">
        <v>0</v>
      </c>
    </row>
    <row r="1233" spans="1:7" ht="15">
      <c r="A1233" s="112" t="s">
        <v>3299</v>
      </c>
      <c r="B1233" s="112">
        <v>2</v>
      </c>
      <c r="C1233" s="114">
        <v>0.0004118981407517484</v>
      </c>
      <c r="D1233" s="112" t="s">
        <v>3314</v>
      </c>
      <c r="E1233" s="112" t="b">
        <v>0</v>
      </c>
      <c r="F1233" s="112" t="b">
        <v>1</v>
      </c>
      <c r="G1233" s="112" t="b">
        <v>0</v>
      </c>
    </row>
    <row r="1234" spans="1:7" ht="15">
      <c r="A1234" s="112" t="s">
        <v>3300</v>
      </c>
      <c r="B1234" s="112">
        <v>2</v>
      </c>
      <c r="C1234" s="114">
        <v>0.0004118981407517484</v>
      </c>
      <c r="D1234" s="112" t="s">
        <v>3314</v>
      </c>
      <c r="E1234" s="112" t="b">
        <v>0</v>
      </c>
      <c r="F1234" s="112" t="b">
        <v>0</v>
      </c>
      <c r="G1234" s="112" t="b">
        <v>0</v>
      </c>
    </row>
    <row r="1235" spans="1:7" ht="15">
      <c r="A1235" s="112" t="s">
        <v>3301</v>
      </c>
      <c r="B1235" s="112">
        <v>2</v>
      </c>
      <c r="C1235" s="114">
        <v>0.0004118981407517484</v>
      </c>
      <c r="D1235" s="112" t="s">
        <v>3314</v>
      </c>
      <c r="E1235" s="112" t="b">
        <v>0</v>
      </c>
      <c r="F1235" s="112" t="b">
        <v>0</v>
      </c>
      <c r="G1235" s="112" t="b">
        <v>0</v>
      </c>
    </row>
    <row r="1236" spans="1:7" ht="15">
      <c r="A1236" s="112" t="s">
        <v>3302</v>
      </c>
      <c r="B1236" s="112">
        <v>2</v>
      </c>
      <c r="C1236" s="114">
        <v>0.0004118981407517484</v>
      </c>
      <c r="D1236" s="112" t="s">
        <v>3314</v>
      </c>
      <c r="E1236" s="112" t="b">
        <v>0</v>
      </c>
      <c r="F1236" s="112" t="b">
        <v>0</v>
      </c>
      <c r="G1236" s="112" t="b">
        <v>0</v>
      </c>
    </row>
    <row r="1237" spans="1:7" ht="15">
      <c r="A1237" s="112" t="s">
        <v>3303</v>
      </c>
      <c r="B1237" s="112">
        <v>2</v>
      </c>
      <c r="C1237" s="114">
        <v>0.00036261359660243913</v>
      </c>
      <c r="D1237" s="112" t="s">
        <v>3314</v>
      </c>
      <c r="E1237" s="112" t="b">
        <v>0</v>
      </c>
      <c r="F1237" s="112" t="b">
        <v>0</v>
      </c>
      <c r="G1237" s="112" t="b">
        <v>0</v>
      </c>
    </row>
    <row r="1238" spans="1:7" ht="15">
      <c r="A1238" s="112" t="s">
        <v>3304</v>
      </c>
      <c r="B1238" s="112">
        <v>2</v>
      </c>
      <c r="C1238" s="114">
        <v>0.0004118981407517484</v>
      </c>
      <c r="D1238" s="112" t="s">
        <v>3314</v>
      </c>
      <c r="E1238" s="112" t="b">
        <v>1</v>
      </c>
      <c r="F1238" s="112" t="b">
        <v>0</v>
      </c>
      <c r="G1238" s="112" t="b">
        <v>0</v>
      </c>
    </row>
    <row r="1239" spans="1:7" ht="15">
      <c r="A1239" s="112" t="s">
        <v>3305</v>
      </c>
      <c r="B1239" s="112">
        <v>2</v>
      </c>
      <c r="C1239" s="114">
        <v>0.0004118981407517484</v>
      </c>
      <c r="D1239" s="112" t="s">
        <v>3314</v>
      </c>
      <c r="E1239" s="112" t="b">
        <v>0</v>
      </c>
      <c r="F1239" s="112" t="b">
        <v>0</v>
      </c>
      <c r="G1239" s="112" t="b">
        <v>0</v>
      </c>
    </row>
    <row r="1240" spans="1:7" ht="15">
      <c r="A1240" s="112" t="s">
        <v>3306</v>
      </c>
      <c r="B1240" s="112">
        <v>2</v>
      </c>
      <c r="C1240" s="114">
        <v>0.0004118981407517484</v>
      </c>
      <c r="D1240" s="112" t="s">
        <v>3314</v>
      </c>
      <c r="E1240" s="112" t="b">
        <v>0</v>
      </c>
      <c r="F1240" s="112" t="b">
        <v>0</v>
      </c>
      <c r="G1240" s="112" t="b">
        <v>0</v>
      </c>
    </row>
    <row r="1241" spans="1:7" ht="15">
      <c r="A1241" s="112" t="s">
        <v>3307</v>
      </c>
      <c r="B1241" s="112">
        <v>2</v>
      </c>
      <c r="C1241" s="114">
        <v>0.0004118981407517484</v>
      </c>
      <c r="D1241" s="112" t="s">
        <v>3314</v>
      </c>
      <c r="E1241" s="112" t="b">
        <v>0</v>
      </c>
      <c r="F1241" s="112" t="b">
        <v>0</v>
      </c>
      <c r="G1241" s="112" t="b">
        <v>0</v>
      </c>
    </row>
    <row r="1242" spans="1:7" ht="15">
      <c r="A1242" s="112" t="s">
        <v>3308</v>
      </c>
      <c r="B1242" s="112">
        <v>2</v>
      </c>
      <c r="C1242" s="114">
        <v>0.0004118981407517484</v>
      </c>
      <c r="D1242" s="112" t="s">
        <v>3314</v>
      </c>
      <c r="E1242" s="112" t="b">
        <v>0</v>
      </c>
      <c r="F1242" s="112" t="b">
        <v>0</v>
      </c>
      <c r="G1242" s="112" t="b">
        <v>0</v>
      </c>
    </row>
    <row r="1243" spans="1:7" ht="15">
      <c r="A1243" s="112" t="s">
        <v>2085</v>
      </c>
      <c r="B1243" s="112">
        <v>114</v>
      </c>
      <c r="C1243" s="114">
        <v>0.006056515516171421</v>
      </c>
      <c r="D1243" s="112" t="s">
        <v>2049</v>
      </c>
      <c r="E1243" s="112" t="b">
        <v>0</v>
      </c>
      <c r="F1243" s="112" t="b">
        <v>0</v>
      </c>
      <c r="G1243" s="112" t="b">
        <v>0</v>
      </c>
    </row>
    <row r="1244" spans="1:7" ht="15">
      <c r="A1244" s="112" t="s">
        <v>2088</v>
      </c>
      <c r="B1244" s="112">
        <v>99</v>
      </c>
      <c r="C1244" s="114">
        <v>0.005259605579833076</v>
      </c>
      <c r="D1244" s="112" t="s">
        <v>2049</v>
      </c>
      <c r="E1244" s="112" t="b">
        <v>0</v>
      </c>
      <c r="F1244" s="112" t="b">
        <v>0</v>
      </c>
      <c r="G1244" s="112" t="b">
        <v>0</v>
      </c>
    </row>
    <row r="1245" spans="1:7" ht="15">
      <c r="A1245" s="112" t="s">
        <v>2092</v>
      </c>
      <c r="B1245" s="112">
        <v>68</v>
      </c>
      <c r="C1245" s="114">
        <v>0.003895780572249342</v>
      </c>
      <c r="D1245" s="112" t="s">
        <v>2049</v>
      </c>
      <c r="E1245" s="112" t="b">
        <v>0</v>
      </c>
      <c r="F1245" s="112" t="b">
        <v>0</v>
      </c>
      <c r="G1245" s="112" t="b">
        <v>0</v>
      </c>
    </row>
    <row r="1246" spans="1:7" ht="15">
      <c r="A1246" s="112" t="s">
        <v>2084</v>
      </c>
      <c r="B1246" s="112">
        <v>67</v>
      </c>
      <c r="C1246" s="114">
        <v>0.003838489681480969</v>
      </c>
      <c r="D1246" s="112" t="s">
        <v>2049</v>
      </c>
      <c r="E1246" s="112" t="b">
        <v>0</v>
      </c>
      <c r="F1246" s="112" t="b">
        <v>1</v>
      </c>
      <c r="G1246" s="112" t="b">
        <v>0</v>
      </c>
    </row>
    <row r="1247" spans="1:7" ht="15">
      <c r="A1247" s="112" t="s">
        <v>2103</v>
      </c>
      <c r="B1247" s="112">
        <v>49</v>
      </c>
      <c r="C1247" s="114">
        <v>0.002017912231699295</v>
      </c>
      <c r="D1247" s="112" t="s">
        <v>2049</v>
      </c>
      <c r="E1247" s="112" t="b">
        <v>0</v>
      </c>
      <c r="F1247" s="112" t="b">
        <v>0</v>
      </c>
      <c r="G1247" s="112" t="b">
        <v>0</v>
      </c>
    </row>
    <row r="1248" spans="1:7" ht="15">
      <c r="A1248" s="112" t="s">
        <v>2100</v>
      </c>
      <c r="B1248" s="112">
        <v>48</v>
      </c>
      <c r="C1248" s="114">
        <v>0.0021636866714375997</v>
      </c>
      <c r="D1248" s="112" t="s">
        <v>2049</v>
      </c>
      <c r="E1248" s="112" t="b">
        <v>0</v>
      </c>
      <c r="F1248" s="112" t="b">
        <v>0</v>
      </c>
      <c r="G1248" s="112" t="b">
        <v>0</v>
      </c>
    </row>
    <row r="1249" spans="1:7" ht="15">
      <c r="A1249" s="112" t="s">
        <v>2099</v>
      </c>
      <c r="B1249" s="112">
        <v>47</v>
      </c>
      <c r="C1249" s="114">
        <v>0.002305694912318442</v>
      </c>
      <c r="D1249" s="112" t="s">
        <v>2049</v>
      </c>
      <c r="E1249" s="112" t="b">
        <v>0</v>
      </c>
      <c r="F1249" s="112" t="b">
        <v>0</v>
      </c>
      <c r="G1249" s="112" t="b">
        <v>0</v>
      </c>
    </row>
    <row r="1250" spans="1:7" ht="15">
      <c r="A1250" s="112" t="s">
        <v>2104</v>
      </c>
      <c r="B1250" s="112">
        <v>46</v>
      </c>
      <c r="C1250" s="114">
        <v>0.0022566375737584753</v>
      </c>
      <c r="D1250" s="112" t="s">
        <v>2049</v>
      </c>
      <c r="E1250" s="112" t="b">
        <v>0</v>
      </c>
      <c r="F1250" s="112" t="b">
        <v>0</v>
      </c>
      <c r="G1250" s="112" t="b">
        <v>0</v>
      </c>
    </row>
    <row r="1251" spans="1:7" ht="15">
      <c r="A1251" s="112" t="s">
        <v>2113</v>
      </c>
      <c r="B1251" s="112">
        <v>43</v>
      </c>
      <c r="C1251" s="114">
        <v>0.007336255025794706</v>
      </c>
      <c r="D1251" s="112" t="s">
        <v>2049</v>
      </c>
      <c r="E1251" s="112" t="b">
        <v>0</v>
      </c>
      <c r="F1251" s="112" t="b">
        <v>0</v>
      </c>
      <c r="G1251" s="112" t="b">
        <v>0</v>
      </c>
    </row>
    <row r="1252" spans="1:7" ht="15">
      <c r="A1252" s="112" t="s">
        <v>2122</v>
      </c>
      <c r="B1252" s="112">
        <v>42</v>
      </c>
      <c r="C1252" s="114">
        <v>0.002585201956738213</v>
      </c>
      <c r="D1252" s="112" t="s">
        <v>2049</v>
      </c>
      <c r="E1252" s="112" t="b">
        <v>0</v>
      </c>
      <c r="F1252" s="112" t="b">
        <v>0</v>
      </c>
      <c r="G1252" s="112" t="b">
        <v>0</v>
      </c>
    </row>
    <row r="1253" spans="1:7" ht="15">
      <c r="A1253" s="112" t="s">
        <v>2118</v>
      </c>
      <c r="B1253" s="112">
        <v>42</v>
      </c>
      <c r="C1253" s="114">
        <v>0.002585201956738213</v>
      </c>
      <c r="D1253" s="112" t="s">
        <v>2049</v>
      </c>
      <c r="E1253" s="112" t="b">
        <v>0</v>
      </c>
      <c r="F1253" s="112" t="b">
        <v>0</v>
      </c>
      <c r="G1253" s="112" t="b">
        <v>0</v>
      </c>
    </row>
    <row r="1254" spans="1:7" ht="15">
      <c r="A1254" s="112" t="s">
        <v>2123</v>
      </c>
      <c r="B1254" s="112">
        <v>40</v>
      </c>
      <c r="C1254" s="114">
        <v>0.0028155466274258855</v>
      </c>
      <c r="D1254" s="112" t="s">
        <v>2049</v>
      </c>
      <c r="E1254" s="112" t="b">
        <v>0</v>
      </c>
      <c r="F1254" s="112" t="b">
        <v>0</v>
      </c>
      <c r="G1254" s="112" t="b">
        <v>0</v>
      </c>
    </row>
    <row r="1255" spans="1:7" ht="15">
      <c r="A1255" s="112" t="s">
        <v>2083</v>
      </c>
      <c r="B1255" s="112">
        <v>27</v>
      </c>
      <c r="C1255" s="114">
        <v>0.009194518998947507</v>
      </c>
      <c r="D1255" s="112" t="s">
        <v>2049</v>
      </c>
      <c r="E1255" s="112" t="b">
        <v>0</v>
      </c>
      <c r="F1255" s="112" t="b">
        <v>0</v>
      </c>
      <c r="G1255" s="112" t="b">
        <v>0</v>
      </c>
    </row>
    <row r="1256" spans="1:7" ht="15">
      <c r="A1256" s="112" t="s">
        <v>2098</v>
      </c>
      <c r="B1256" s="112">
        <v>24</v>
      </c>
      <c r="C1256" s="114">
        <v>0.003909665754100466</v>
      </c>
      <c r="D1256" s="112" t="s">
        <v>2049</v>
      </c>
      <c r="E1256" s="112" t="b">
        <v>1</v>
      </c>
      <c r="F1256" s="112" t="b">
        <v>0</v>
      </c>
      <c r="G1256" s="112" t="b">
        <v>0</v>
      </c>
    </row>
    <row r="1257" spans="1:7" ht="15">
      <c r="A1257" s="112" t="s">
        <v>2155</v>
      </c>
      <c r="B1257" s="112">
        <v>23</v>
      </c>
      <c r="C1257" s="114">
        <v>0.003924043385890192</v>
      </c>
      <c r="D1257" s="112" t="s">
        <v>2049</v>
      </c>
      <c r="E1257" s="112" t="b">
        <v>0</v>
      </c>
      <c r="F1257" s="112" t="b">
        <v>0</v>
      </c>
      <c r="G1257" s="112" t="b">
        <v>0</v>
      </c>
    </row>
    <row r="1258" spans="1:7" ht="15">
      <c r="A1258" s="112" t="s">
        <v>2158</v>
      </c>
      <c r="B1258" s="112">
        <v>23</v>
      </c>
      <c r="C1258" s="114">
        <v>0.003924043385890192</v>
      </c>
      <c r="D1258" s="112" t="s">
        <v>2049</v>
      </c>
      <c r="E1258" s="112" t="b">
        <v>1</v>
      </c>
      <c r="F1258" s="112" t="b">
        <v>0</v>
      </c>
      <c r="G1258" s="112" t="b">
        <v>0</v>
      </c>
    </row>
    <row r="1259" spans="1:7" ht="15">
      <c r="A1259" s="112" t="s">
        <v>2147</v>
      </c>
      <c r="B1259" s="112">
        <v>23</v>
      </c>
      <c r="C1259" s="114">
        <v>0.003924043385890192</v>
      </c>
      <c r="D1259" s="112" t="s">
        <v>2049</v>
      </c>
      <c r="E1259" s="112" t="b">
        <v>0</v>
      </c>
      <c r="F1259" s="112" t="b">
        <v>0</v>
      </c>
      <c r="G1259" s="112" t="b">
        <v>0</v>
      </c>
    </row>
    <row r="1260" spans="1:7" ht="15">
      <c r="A1260" s="112" t="s">
        <v>2142</v>
      </c>
      <c r="B1260" s="112">
        <v>23</v>
      </c>
      <c r="C1260" s="114">
        <v>0.008879208234963057</v>
      </c>
      <c r="D1260" s="112" t="s">
        <v>2049</v>
      </c>
      <c r="E1260" s="112" t="b">
        <v>0</v>
      </c>
      <c r="F1260" s="112" t="b">
        <v>0</v>
      </c>
      <c r="G1260" s="112" t="b">
        <v>0</v>
      </c>
    </row>
    <row r="1261" spans="1:7" ht="15">
      <c r="A1261" s="112" t="s">
        <v>2161</v>
      </c>
      <c r="B1261" s="112">
        <v>22</v>
      </c>
      <c r="C1261" s="114">
        <v>0.003930544319448972</v>
      </c>
      <c r="D1261" s="112" t="s">
        <v>2049</v>
      </c>
      <c r="E1261" s="112" t="b">
        <v>0</v>
      </c>
      <c r="F1261" s="112" t="b">
        <v>0</v>
      </c>
      <c r="G1261" s="112" t="b">
        <v>0</v>
      </c>
    </row>
    <row r="1262" spans="1:7" ht="15">
      <c r="A1262" s="112" t="s">
        <v>2164</v>
      </c>
      <c r="B1262" s="112">
        <v>21</v>
      </c>
      <c r="C1262" s="114">
        <v>0.003928810281514896</v>
      </c>
      <c r="D1262" s="112" t="s">
        <v>2049</v>
      </c>
      <c r="E1262" s="112" t="b">
        <v>0</v>
      </c>
      <c r="F1262" s="112" t="b">
        <v>0</v>
      </c>
      <c r="G1262" s="112" t="b">
        <v>0</v>
      </c>
    </row>
    <row r="1263" spans="1:7" ht="15">
      <c r="A1263" s="112" t="s">
        <v>2077</v>
      </c>
      <c r="B1263" s="112">
        <v>20</v>
      </c>
      <c r="C1263" s="114">
        <v>0.008939799894129486</v>
      </c>
      <c r="D1263" s="112" t="s">
        <v>2049</v>
      </c>
      <c r="E1263" s="112" t="b">
        <v>0</v>
      </c>
      <c r="F1263" s="112" t="b">
        <v>0</v>
      </c>
      <c r="G1263" s="112" t="b">
        <v>0</v>
      </c>
    </row>
    <row r="1264" spans="1:7" ht="15">
      <c r="A1264" s="112" t="s">
        <v>2169</v>
      </c>
      <c r="B1264" s="112">
        <v>20</v>
      </c>
      <c r="C1264" s="114">
        <v>0.00827940584869475</v>
      </c>
      <c r="D1264" s="112" t="s">
        <v>2049</v>
      </c>
      <c r="E1264" s="112" t="b">
        <v>0</v>
      </c>
      <c r="F1264" s="112" t="b">
        <v>0</v>
      </c>
      <c r="G1264" s="112" t="b">
        <v>0</v>
      </c>
    </row>
    <row r="1265" spans="1:7" ht="15">
      <c r="A1265" s="112" t="s">
        <v>2170</v>
      </c>
      <c r="B1265" s="112">
        <v>20</v>
      </c>
      <c r="C1265" s="114">
        <v>0.00974805688335431</v>
      </c>
      <c r="D1265" s="112" t="s">
        <v>2049</v>
      </c>
      <c r="E1265" s="112" t="b">
        <v>0</v>
      </c>
      <c r="F1265" s="112" t="b">
        <v>0</v>
      </c>
      <c r="G1265" s="112" t="b">
        <v>0</v>
      </c>
    </row>
    <row r="1266" spans="1:7" ht="15">
      <c r="A1266" s="112" t="s">
        <v>2080</v>
      </c>
      <c r="B1266" s="112">
        <v>19</v>
      </c>
      <c r="C1266" s="114">
        <v>0.006107668148957773</v>
      </c>
      <c r="D1266" s="112" t="s">
        <v>2049</v>
      </c>
      <c r="E1266" s="112" t="b">
        <v>0</v>
      </c>
      <c r="F1266" s="112" t="b">
        <v>0</v>
      </c>
      <c r="G1266" s="112" t="b">
        <v>0</v>
      </c>
    </row>
    <row r="1267" spans="1:7" ht="15">
      <c r="A1267" s="112" t="s">
        <v>2153</v>
      </c>
      <c r="B1267" s="112">
        <v>19</v>
      </c>
      <c r="C1267" s="114">
        <v>0.004712449666031191</v>
      </c>
      <c r="D1267" s="112" t="s">
        <v>2049</v>
      </c>
      <c r="E1267" s="112" t="b">
        <v>0</v>
      </c>
      <c r="F1267" s="112" t="b">
        <v>0</v>
      </c>
      <c r="G1267" s="112" t="b">
        <v>0</v>
      </c>
    </row>
    <row r="1268" spans="1:7" ht="15">
      <c r="A1268" s="112" t="s">
        <v>2094</v>
      </c>
      <c r="B1268" s="112">
        <v>18</v>
      </c>
      <c r="C1268" s="114">
        <v>0.005786211930591575</v>
      </c>
      <c r="D1268" s="112" t="s">
        <v>2049</v>
      </c>
      <c r="E1268" s="112" t="b">
        <v>0</v>
      </c>
      <c r="F1268" s="112" t="b">
        <v>0</v>
      </c>
      <c r="G1268" s="112" t="b">
        <v>0</v>
      </c>
    </row>
    <row r="1269" spans="1:7" ht="15">
      <c r="A1269" s="112" t="s">
        <v>2089</v>
      </c>
      <c r="B1269" s="112">
        <v>14</v>
      </c>
      <c r="C1269" s="114">
        <v>0.0050661669495841565</v>
      </c>
      <c r="D1269" s="112" t="s">
        <v>2049</v>
      </c>
      <c r="E1269" s="112" t="b">
        <v>0</v>
      </c>
      <c r="F1269" s="112" t="b">
        <v>0</v>
      </c>
      <c r="G1269" s="112" t="b">
        <v>0</v>
      </c>
    </row>
    <row r="1270" spans="1:7" ht="15">
      <c r="A1270" s="112" t="s">
        <v>2196</v>
      </c>
      <c r="B1270" s="112">
        <v>12</v>
      </c>
      <c r="C1270" s="114">
        <v>0.004632630383458986</v>
      </c>
      <c r="D1270" s="112" t="s">
        <v>2049</v>
      </c>
      <c r="E1270" s="112" t="b">
        <v>0</v>
      </c>
      <c r="F1270" s="112" t="b">
        <v>0</v>
      </c>
      <c r="G1270" s="112" t="b">
        <v>0</v>
      </c>
    </row>
    <row r="1271" spans="1:7" ht="15">
      <c r="A1271" s="112" t="s">
        <v>2202</v>
      </c>
      <c r="B1271" s="112">
        <v>12</v>
      </c>
      <c r="C1271" s="114">
        <v>0.004632630383458986</v>
      </c>
      <c r="D1271" s="112" t="s">
        <v>2049</v>
      </c>
      <c r="E1271" s="112" t="b">
        <v>0</v>
      </c>
      <c r="F1271" s="112" t="b">
        <v>0</v>
      </c>
      <c r="G1271" s="112" t="b">
        <v>0</v>
      </c>
    </row>
    <row r="1272" spans="1:7" ht="15">
      <c r="A1272" s="112" t="s">
        <v>2090</v>
      </c>
      <c r="B1272" s="112">
        <v>12</v>
      </c>
      <c r="C1272" s="114">
        <v>0.00496764350921685</v>
      </c>
      <c r="D1272" s="112" t="s">
        <v>2049</v>
      </c>
      <c r="E1272" s="112" t="b">
        <v>0</v>
      </c>
      <c r="F1272" s="112" t="b">
        <v>0</v>
      </c>
      <c r="G1272" s="112" t="b">
        <v>0</v>
      </c>
    </row>
    <row r="1273" spans="1:7" ht="15">
      <c r="A1273" s="112" t="s">
        <v>2126</v>
      </c>
      <c r="B1273" s="112">
        <v>12</v>
      </c>
      <c r="C1273" s="114">
        <v>0.005848834130012586</v>
      </c>
      <c r="D1273" s="112" t="s">
        <v>2049</v>
      </c>
      <c r="E1273" s="112" t="b">
        <v>0</v>
      </c>
      <c r="F1273" s="112" t="b">
        <v>0</v>
      </c>
      <c r="G1273" s="112" t="b">
        <v>0</v>
      </c>
    </row>
    <row r="1274" spans="1:7" ht="15">
      <c r="A1274" s="112" t="s">
        <v>2184</v>
      </c>
      <c r="B1274" s="112">
        <v>11</v>
      </c>
      <c r="C1274" s="114">
        <v>0.004916889941771218</v>
      </c>
      <c r="D1274" s="112" t="s">
        <v>2049</v>
      </c>
      <c r="E1274" s="112" t="b">
        <v>0</v>
      </c>
      <c r="F1274" s="112" t="b">
        <v>0</v>
      </c>
      <c r="G1274" s="112" t="b">
        <v>0</v>
      </c>
    </row>
    <row r="1275" spans="1:7" ht="15">
      <c r="A1275" s="112" t="s">
        <v>2173</v>
      </c>
      <c r="B1275" s="112">
        <v>11</v>
      </c>
      <c r="C1275" s="114">
        <v>0.0035360184020281848</v>
      </c>
      <c r="D1275" s="112" t="s">
        <v>2049</v>
      </c>
      <c r="E1275" s="112" t="b">
        <v>0</v>
      </c>
      <c r="F1275" s="112" t="b">
        <v>0</v>
      </c>
      <c r="G1275" s="112" t="b">
        <v>0</v>
      </c>
    </row>
    <row r="1276" spans="1:7" ht="15">
      <c r="A1276" s="112" t="s">
        <v>2087</v>
      </c>
      <c r="B1276" s="112">
        <v>10</v>
      </c>
      <c r="C1276" s="114">
        <v>0.004469899947064743</v>
      </c>
      <c r="D1276" s="112" t="s">
        <v>2049</v>
      </c>
      <c r="E1276" s="112" t="b">
        <v>0</v>
      </c>
      <c r="F1276" s="112" t="b">
        <v>0</v>
      </c>
      <c r="G1276" s="112" t="b">
        <v>0</v>
      </c>
    </row>
    <row r="1277" spans="1:7" ht="15">
      <c r="A1277" s="112" t="s">
        <v>2233</v>
      </c>
      <c r="B1277" s="112">
        <v>10</v>
      </c>
      <c r="C1277" s="114">
        <v>0.004139702924347375</v>
      </c>
      <c r="D1277" s="112" t="s">
        <v>2049</v>
      </c>
      <c r="E1277" s="112" t="b">
        <v>0</v>
      </c>
      <c r="F1277" s="112" t="b">
        <v>0</v>
      </c>
      <c r="G1277" s="112" t="b">
        <v>0</v>
      </c>
    </row>
    <row r="1278" spans="1:7" ht="15">
      <c r="A1278" s="112" t="s">
        <v>2273</v>
      </c>
      <c r="B1278" s="112">
        <v>10</v>
      </c>
      <c r="C1278" s="114">
        <v>0.006129366205079912</v>
      </c>
      <c r="D1278" s="112" t="s">
        <v>2049</v>
      </c>
      <c r="E1278" s="112" t="b">
        <v>0</v>
      </c>
      <c r="F1278" s="112" t="b">
        <v>0</v>
      </c>
      <c r="G1278" s="112" t="b">
        <v>0</v>
      </c>
    </row>
    <row r="1279" spans="1:7" ht="15">
      <c r="A1279" s="112" t="s">
        <v>2175</v>
      </c>
      <c r="B1279" s="112">
        <v>9</v>
      </c>
      <c r="C1279" s="114">
        <v>0.003064839666315835</v>
      </c>
      <c r="D1279" s="112" t="s">
        <v>2049</v>
      </c>
      <c r="E1279" s="112" t="b">
        <v>0</v>
      </c>
      <c r="F1279" s="112" t="b">
        <v>0</v>
      </c>
      <c r="G1279" s="112" t="b">
        <v>0</v>
      </c>
    </row>
    <row r="1280" spans="1:7" ht="15">
      <c r="A1280" s="112" t="s">
        <v>2252</v>
      </c>
      <c r="B1280" s="112">
        <v>9</v>
      </c>
      <c r="C1280" s="114">
        <v>0.0034744727875942395</v>
      </c>
      <c r="D1280" s="112" t="s">
        <v>2049</v>
      </c>
      <c r="E1280" s="112" t="b">
        <v>0</v>
      </c>
      <c r="F1280" s="112" t="b">
        <v>0</v>
      </c>
      <c r="G1280" s="112" t="b">
        <v>0</v>
      </c>
    </row>
    <row r="1281" spans="1:7" ht="15">
      <c r="A1281" s="112" t="s">
        <v>2253</v>
      </c>
      <c r="B1281" s="112">
        <v>9</v>
      </c>
      <c r="C1281" s="114">
        <v>0.0034744727875942395</v>
      </c>
      <c r="D1281" s="112" t="s">
        <v>2049</v>
      </c>
      <c r="E1281" s="112" t="b">
        <v>0</v>
      </c>
      <c r="F1281" s="112" t="b">
        <v>0</v>
      </c>
      <c r="G1281" s="112" t="b">
        <v>0</v>
      </c>
    </row>
    <row r="1282" spans="1:7" ht="15">
      <c r="A1282" s="112" t="s">
        <v>2246</v>
      </c>
      <c r="B1282" s="112">
        <v>9</v>
      </c>
      <c r="C1282" s="114">
        <v>0.0037257326319126375</v>
      </c>
      <c r="D1282" s="112" t="s">
        <v>2049</v>
      </c>
      <c r="E1282" s="112" t="b">
        <v>0</v>
      </c>
      <c r="F1282" s="112" t="b">
        <v>0</v>
      </c>
      <c r="G1282" s="112" t="b">
        <v>0</v>
      </c>
    </row>
    <row r="1283" spans="1:7" ht="15">
      <c r="A1283" s="112" t="s">
        <v>2137</v>
      </c>
      <c r="B1283" s="112">
        <v>9</v>
      </c>
      <c r="C1283" s="114">
        <v>0.004386625597509439</v>
      </c>
      <c r="D1283" s="112" t="s">
        <v>2049</v>
      </c>
      <c r="E1283" s="112" t="b">
        <v>0</v>
      </c>
      <c r="F1283" s="112" t="b">
        <v>0</v>
      </c>
      <c r="G1283" s="112" t="b">
        <v>0</v>
      </c>
    </row>
    <row r="1284" spans="1:7" ht="15">
      <c r="A1284" s="112" t="s">
        <v>2299</v>
      </c>
      <c r="B1284" s="112">
        <v>9</v>
      </c>
      <c r="C1284" s="114">
        <v>0.004022909952358269</v>
      </c>
      <c r="D1284" s="112" t="s">
        <v>2049</v>
      </c>
      <c r="E1284" s="112" t="b">
        <v>0</v>
      </c>
      <c r="F1284" s="112" t="b">
        <v>0</v>
      </c>
      <c r="G1284" s="112" t="b">
        <v>0</v>
      </c>
    </row>
    <row r="1285" spans="1:7" ht="15">
      <c r="A1285" s="112" t="s">
        <v>2086</v>
      </c>
      <c r="B1285" s="112">
        <v>9</v>
      </c>
      <c r="C1285" s="114">
        <v>0.0034744727875942395</v>
      </c>
      <c r="D1285" s="112" t="s">
        <v>2049</v>
      </c>
      <c r="E1285" s="112" t="b">
        <v>0</v>
      </c>
      <c r="F1285" s="112" t="b">
        <v>0</v>
      </c>
      <c r="G1285" s="112" t="b">
        <v>0</v>
      </c>
    </row>
    <row r="1286" spans="1:7" ht="15">
      <c r="A1286" s="112" t="s">
        <v>2096</v>
      </c>
      <c r="B1286" s="112">
        <v>8</v>
      </c>
      <c r="C1286" s="114">
        <v>0.0033117623394779</v>
      </c>
      <c r="D1286" s="112" t="s">
        <v>2049</v>
      </c>
      <c r="E1286" s="112" t="b">
        <v>0</v>
      </c>
      <c r="F1286" s="112" t="b">
        <v>0</v>
      </c>
      <c r="G1286" s="112" t="b">
        <v>0</v>
      </c>
    </row>
    <row r="1287" spans="1:7" ht="15">
      <c r="A1287" s="112" t="s">
        <v>2176</v>
      </c>
      <c r="B1287" s="112">
        <v>8</v>
      </c>
      <c r="C1287" s="114">
        <v>0.003088420255639324</v>
      </c>
      <c r="D1287" s="112" t="s">
        <v>2049</v>
      </c>
      <c r="E1287" s="112" t="b">
        <v>0</v>
      </c>
      <c r="F1287" s="112" t="b">
        <v>0</v>
      </c>
      <c r="G1287" s="112" t="b">
        <v>0</v>
      </c>
    </row>
    <row r="1288" spans="1:7" ht="15">
      <c r="A1288" s="112" t="s">
        <v>2203</v>
      </c>
      <c r="B1288" s="112">
        <v>8</v>
      </c>
      <c r="C1288" s="114">
        <v>0.0038992227533417236</v>
      </c>
      <c r="D1288" s="112" t="s">
        <v>2049</v>
      </c>
      <c r="E1288" s="112" t="b">
        <v>0</v>
      </c>
      <c r="F1288" s="112" t="b">
        <v>0</v>
      </c>
      <c r="G1288" s="112" t="b">
        <v>0</v>
      </c>
    </row>
    <row r="1289" spans="1:7" ht="15">
      <c r="A1289" s="112" t="s">
        <v>2132</v>
      </c>
      <c r="B1289" s="112">
        <v>8</v>
      </c>
      <c r="C1289" s="114">
        <v>0.0035759199576517946</v>
      </c>
      <c r="D1289" s="112" t="s">
        <v>2049</v>
      </c>
      <c r="E1289" s="112" t="b">
        <v>0</v>
      </c>
      <c r="F1289" s="112" t="b">
        <v>0</v>
      </c>
      <c r="G1289" s="112" t="b">
        <v>0</v>
      </c>
    </row>
    <row r="1290" spans="1:7" ht="15">
      <c r="A1290" s="112" t="s">
        <v>2171</v>
      </c>
      <c r="B1290" s="112">
        <v>8</v>
      </c>
      <c r="C1290" s="114">
        <v>0.00490349296406393</v>
      </c>
      <c r="D1290" s="112" t="s">
        <v>2049</v>
      </c>
      <c r="E1290" s="112" t="b">
        <v>0</v>
      </c>
      <c r="F1290" s="112" t="b">
        <v>0</v>
      </c>
      <c r="G1290" s="112" t="b">
        <v>0</v>
      </c>
    </row>
    <row r="1291" spans="1:7" ht="15">
      <c r="A1291" s="112" t="s">
        <v>2300</v>
      </c>
      <c r="B1291" s="112">
        <v>6</v>
      </c>
      <c r="C1291" s="114">
        <v>0.002681939968238846</v>
      </c>
      <c r="D1291" s="112" t="s">
        <v>2049</v>
      </c>
      <c r="E1291" s="112" t="b">
        <v>0</v>
      </c>
      <c r="F1291" s="112" t="b">
        <v>0</v>
      </c>
      <c r="G1291" s="112" t="b">
        <v>0</v>
      </c>
    </row>
    <row r="1292" spans="1:7" ht="15">
      <c r="A1292" s="112" t="s">
        <v>2167</v>
      </c>
      <c r="B1292" s="112">
        <v>6</v>
      </c>
      <c r="C1292" s="114">
        <v>0.0032370244126500797</v>
      </c>
      <c r="D1292" s="112" t="s">
        <v>2049</v>
      </c>
      <c r="E1292" s="112" t="b">
        <v>0</v>
      </c>
      <c r="F1292" s="112" t="b">
        <v>0</v>
      </c>
      <c r="G1292" s="112" t="b">
        <v>0</v>
      </c>
    </row>
    <row r="1293" spans="1:7" ht="15">
      <c r="A1293" s="112" t="s">
        <v>2193</v>
      </c>
      <c r="B1293" s="112">
        <v>6</v>
      </c>
      <c r="C1293" s="114">
        <v>0.002681939968238846</v>
      </c>
      <c r="D1293" s="112" t="s">
        <v>2049</v>
      </c>
      <c r="E1293" s="112" t="b">
        <v>0</v>
      </c>
      <c r="F1293" s="112" t="b">
        <v>0</v>
      </c>
      <c r="G1293" s="112" t="b">
        <v>0</v>
      </c>
    </row>
    <row r="1294" spans="1:7" ht="15">
      <c r="A1294" s="112" t="s">
        <v>2292</v>
      </c>
      <c r="B1294" s="112">
        <v>6</v>
      </c>
      <c r="C1294" s="114">
        <v>0.003677619723047947</v>
      </c>
      <c r="D1294" s="112" t="s">
        <v>2049</v>
      </c>
      <c r="E1294" s="112" t="b">
        <v>0</v>
      </c>
      <c r="F1294" s="112" t="b">
        <v>0</v>
      </c>
      <c r="G1294" s="112" t="b">
        <v>0</v>
      </c>
    </row>
    <row r="1295" spans="1:7" ht="15">
      <c r="A1295" s="112" t="s">
        <v>2082</v>
      </c>
      <c r="B1295" s="112">
        <v>6</v>
      </c>
      <c r="C1295" s="114">
        <v>0.0032370244126500797</v>
      </c>
      <c r="D1295" s="112" t="s">
        <v>2049</v>
      </c>
      <c r="E1295" s="112" t="b">
        <v>0</v>
      </c>
      <c r="F1295" s="112" t="b">
        <v>0</v>
      </c>
      <c r="G1295" s="112" t="b">
        <v>0</v>
      </c>
    </row>
    <row r="1296" spans="1:7" ht="15">
      <c r="A1296" s="112" t="s">
        <v>2376</v>
      </c>
      <c r="B1296" s="112">
        <v>6</v>
      </c>
      <c r="C1296" s="114">
        <v>0.003677619723047947</v>
      </c>
      <c r="D1296" s="112" t="s">
        <v>2049</v>
      </c>
      <c r="E1296" s="112" t="b">
        <v>0</v>
      </c>
      <c r="F1296" s="112" t="b">
        <v>0</v>
      </c>
      <c r="G1296" s="112" t="b">
        <v>0</v>
      </c>
    </row>
    <row r="1297" spans="1:7" ht="15">
      <c r="A1297" s="112" t="s">
        <v>2159</v>
      </c>
      <c r="B1297" s="112">
        <v>6</v>
      </c>
      <c r="C1297" s="114">
        <v>0.002483821754608425</v>
      </c>
      <c r="D1297" s="112" t="s">
        <v>2049</v>
      </c>
      <c r="E1297" s="112" t="b">
        <v>0</v>
      </c>
      <c r="F1297" s="112" t="b">
        <v>0</v>
      </c>
      <c r="G1297" s="112" t="b">
        <v>0</v>
      </c>
    </row>
    <row r="1298" spans="1:7" ht="15">
      <c r="A1298" s="112" t="s">
        <v>2418</v>
      </c>
      <c r="B1298" s="112">
        <v>6</v>
      </c>
      <c r="C1298" s="114">
        <v>0.003677619723047947</v>
      </c>
      <c r="D1298" s="112" t="s">
        <v>2049</v>
      </c>
      <c r="E1298" s="112" t="b">
        <v>1</v>
      </c>
      <c r="F1298" s="112" t="b">
        <v>0</v>
      </c>
      <c r="G1298" s="112" t="b">
        <v>0</v>
      </c>
    </row>
    <row r="1299" spans="1:7" ht="15">
      <c r="A1299" s="112" t="s">
        <v>2370</v>
      </c>
      <c r="B1299" s="112">
        <v>6</v>
      </c>
      <c r="C1299" s="114">
        <v>0.0032370244126500797</v>
      </c>
      <c r="D1299" s="112" t="s">
        <v>2049</v>
      </c>
      <c r="E1299" s="112" t="b">
        <v>0</v>
      </c>
      <c r="F1299" s="112" t="b">
        <v>0</v>
      </c>
      <c r="G1299" s="112" t="b">
        <v>0</v>
      </c>
    </row>
    <row r="1300" spans="1:7" ht="15">
      <c r="A1300" s="112" t="s">
        <v>2195</v>
      </c>
      <c r="B1300" s="112">
        <v>5</v>
      </c>
      <c r="C1300" s="114">
        <v>0.0022349499735323714</v>
      </c>
      <c r="D1300" s="112" t="s">
        <v>2049</v>
      </c>
      <c r="E1300" s="112" t="b">
        <v>0</v>
      </c>
      <c r="F1300" s="112" t="b">
        <v>0</v>
      </c>
      <c r="G1300" s="112" t="b">
        <v>0</v>
      </c>
    </row>
    <row r="1301" spans="1:7" ht="15">
      <c r="A1301" s="112" t="s">
        <v>2106</v>
      </c>
      <c r="B1301" s="112">
        <v>5</v>
      </c>
      <c r="C1301" s="114">
        <v>0.0024370142208385774</v>
      </c>
      <c r="D1301" s="112" t="s">
        <v>2049</v>
      </c>
      <c r="E1301" s="112" t="b">
        <v>0</v>
      </c>
      <c r="F1301" s="112" t="b">
        <v>0</v>
      </c>
      <c r="G1301" s="112" t="b">
        <v>0</v>
      </c>
    </row>
    <row r="1302" spans="1:7" ht="15">
      <c r="A1302" s="112" t="s">
        <v>2230</v>
      </c>
      <c r="B1302" s="112">
        <v>5</v>
      </c>
      <c r="C1302" s="114">
        <v>0.0024370142208385774</v>
      </c>
      <c r="D1302" s="112" t="s">
        <v>2049</v>
      </c>
      <c r="E1302" s="112" t="b">
        <v>0</v>
      </c>
      <c r="F1302" s="112" t="b">
        <v>0</v>
      </c>
      <c r="G1302" s="112" t="b">
        <v>0</v>
      </c>
    </row>
    <row r="1303" spans="1:7" ht="15">
      <c r="A1303" s="112" t="s">
        <v>2496</v>
      </c>
      <c r="B1303" s="112">
        <v>5</v>
      </c>
      <c r="C1303" s="114">
        <v>0.0036923519842413347</v>
      </c>
      <c r="D1303" s="112" t="s">
        <v>2049</v>
      </c>
      <c r="E1303" s="112" t="b">
        <v>0</v>
      </c>
      <c r="F1303" s="112" t="b">
        <v>0</v>
      </c>
      <c r="G1303" s="112" t="b">
        <v>0</v>
      </c>
    </row>
    <row r="1304" spans="1:7" ht="15">
      <c r="A1304" s="112" t="s">
        <v>2497</v>
      </c>
      <c r="B1304" s="112">
        <v>5</v>
      </c>
      <c r="C1304" s="114">
        <v>0.0036923519842413347</v>
      </c>
      <c r="D1304" s="112" t="s">
        <v>2049</v>
      </c>
      <c r="E1304" s="112" t="b">
        <v>0</v>
      </c>
      <c r="F1304" s="112" t="b">
        <v>0</v>
      </c>
      <c r="G1304" s="112" t="b">
        <v>0</v>
      </c>
    </row>
    <row r="1305" spans="1:7" ht="15">
      <c r="A1305" s="112" t="s">
        <v>2474</v>
      </c>
      <c r="B1305" s="112">
        <v>5</v>
      </c>
      <c r="C1305" s="114">
        <v>0.0022349499735323714</v>
      </c>
      <c r="D1305" s="112" t="s">
        <v>2049</v>
      </c>
      <c r="E1305" s="112" t="b">
        <v>0</v>
      </c>
      <c r="F1305" s="112" t="b">
        <v>0</v>
      </c>
      <c r="G1305" s="112" t="b">
        <v>0</v>
      </c>
    </row>
    <row r="1306" spans="1:7" ht="15">
      <c r="A1306" s="112" t="s">
        <v>2182</v>
      </c>
      <c r="B1306" s="112">
        <v>5</v>
      </c>
      <c r="C1306" s="114">
        <v>0.0022349499735323714</v>
      </c>
      <c r="D1306" s="112" t="s">
        <v>2049</v>
      </c>
      <c r="E1306" s="112" t="b">
        <v>0</v>
      </c>
      <c r="F1306" s="112" t="b">
        <v>0</v>
      </c>
      <c r="G1306" s="112" t="b">
        <v>0</v>
      </c>
    </row>
    <row r="1307" spans="1:7" ht="15">
      <c r="A1307" s="112" t="s">
        <v>2473</v>
      </c>
      <c r="B1307" s="112">
        <v>5</v>
      </c>
      <c r="C1307" s="114">
        <v>0.0022349499735323714</v>
      </c>
      <c r="D1307" s="112" t="s">
        <v>2049</v>
      </c>
      <c r="E1307" s="112" t="b">
        <v>0</v>
      </c>
      <c r="F1307" s="112" t="b">
        <v>0</v>
      </c>
      <c r="G1307" s="112" t="b">
        <v>0</v>
      </c>
    </row>
    <row r="1308" spans="1:7" ht="15">
      <c r="A1308" s="112" t="s">
        <v>2334</v>
      </c>
      <c r="B1308" s="112">
        <v>5</v>
      </c>
      <c r="C1308" s="114">
        <v>0.0022349499735323714</v>
      </c>
      <c r="D1308" s="112" t="s">
        <v>2049</v>
      </c>
      <c r="E1308" s="112" t="b">
        <v>0</v>
      </c>
      <c r="F1308" s="112" t="b">
        <v>0</v>
      </c>
      <c r="G1308" s="112" t="b">
        <v>0</v>
      </c>
    </row>
    <row r="1309" spans="1:7" ht="15">
      <c r="A1309" s="112" t="s">
        <v>2291</v>
      </c>
      <c r="B1309" s="112">
        <v>5</v>
      </c>
      <c r="C1309" s="114">
        <v>0.003064683102539956</v>
      </c>
      <c r="D1309" s="112" t="s">
        <v>2049</v>
      </c>
      <c r="E1309" s="112" t="b">
        <v>0</v>
      </c>
      <c r="F1309" s="112" t="b">
        <v>0</v>
      </c>
      <c r="G1309" s="112" t="b">
        <v>0</v>
      </c>
    </row>
    <row r="1310" spans="1:7" ht="15">
      <c r="A1310" s="112" t="s">
        <v>2192</v>
      </c>
      <c r="B1310" s="112">
        <v>5</v>
      </c>
      <c r="C1310" s="114">
        <v>0.0022349499735323714</v>
      </c>
      <c r="D1310" s="112" t="s">
        <v>2049</v>
      </c>
      <c r="E1310" s="112" t="b">
        <v>0</v>
      </c>
      <c r="F1310" s="112" t="b">
        <v>0</v>
      </c>
      <c r="G1310" s="112" t="b">
        <v>0</v>
      </c>
    </row>
    <row r="1311" spans="1:7" ht="15">
      <c r="A1311" s="112" t="s">
        <v>2472</v>
      </c>
      <c r="B1311" s="112">
        <v>5</v>
      </c>
      <c r="C1311" s="114">
        <v>0.002697520343875066</v>
      </c>
      <c r="D1311" s="112" t="s">
        <v>2049</v>
      </c>
      <c r="E1311" s="112" t="b">
        <v>0</v>
      </c>
      <c r="F1311" s="112" t="b">
        <v>0</v>
      </c>
      <c r="G1311" s="112" t="b">
        <v>0</v>
      </c>
    </row>
    <row r="1312" spans="1:7" ht="15">
      <c r="A1312" s="112" t="s">
        <v>2428</v>
      </c>
      <c r="B1312" s="112">
        <v>5</v>
      </c>
      <c r="C1312" s="114">
        <v>0.0036923519842413347</v>
      </c>
      <c r="D1312" s="112" t="s">
        <v>2049</v>
      </c>
      <c r="E1312" s="112" t="b">
        <v>0</v>
      </c>
      <c r="F1312" s="112" t="b">
        <v>0</v>
      </c>
      <c r="G1312" s="112" t="b">
        <v>0</v>
      </c>
    </row>
    <row r="1313" spans="1:7" ht="15">
      <c r="A1313" s="112" t="s">
        <v>2335</v>
      </c>
      <c r="B1313" s="112">
        <v>5</v>
      </c>
      <c r="C1313" s="114">
        <v>0.003064683102539956</v>
      </c>
      <c r="D1313" s="112" t="s">
        <v>2049</v>
      </c>
      <c r="E1313" s="112" t="b">
        <v>0</v>
      </c>
      <c r="F1313" s="112" t="b">
        <v>0</v>
      </c>
      <c r="G1313" s="112" t="b">
        <v>0</v>
      </c>
    </row>
    <row r="1314" spans="1:7" ht="15">
      <c r="A1314" s="112" t="s">
        <v>2138</v>
      </c>
      <c r="B1314" s="112">
        <v>5</v>
      </c>
      <c r="C1314" s="114">
        <v>0.0036923519842413347</v>
      </c>
      <c r="D1314" s="112" t="s">
        <v>2049</v>
      </c>
      <c r="E1314" s="112" t="b">
        <v>0</v>
      </c>
      <c r="F1314" s="112" t="b">
        <v>0</v>
      </c>
      <c r="G1314" s="112" t="b">
        <v>0</v>
      </c>
    </row>
    <row r="1315" spans="1:7" ht="15">
      <c r="A1315" s="112" t="s">
        <v>2224</v>
      </c>
      <c r="B1315" s="112">
        <v>4</v>
      </c>
      <c r="C1315" s="114">
        <v>0.0019496113766708618</v>
      </c>
      <c r="D1315" s="112" t="s">
        <v>2049</v>
      </c>
      <c r="E1315" s="112" t="b">
        <v>0</v>
      </c>
      <c r="F1315" s="112" t="b">
        <v>0</v>
      </c>
      <c r="G1315" s="112" t="b">
        <v>0</v>
      </c>
    </row>
    <row r="1316" spans="1:7" ht="15">
      <c r="A1316" s="112" t="s">
        <v>2139</v>
      </c>
      <c r="B1316" s="112">
        <v>4</v>
      </c>
      <c r="C1316" s="114">
        <v>0.002158016275100053</v>
      </c>
      <c r="D1316" s="112" t="s">
        <v>2049</v>
      </c>
      <c r="E1316" s="112" t="b">
        <v>0</v>
      </c>
      <c r="F1316" s="112" t="b">
        <v>0</v>
      </c>
      <c r="G1316" s="112" t="b">
        <v>0</v>
      </c>
    </row>
    <row r="1317" spans="1:7" ht="15">
      <c r="A1317" s="112" t="s">
        <v>2078</v>
      </c>
      <c r="B1317" s="112">
        <v>4</v>
      </c>
      <c r="C1317" s="114">
        <v>0.002158016275100053</v>
      </c>
      <c r="D1317" s="112" t="s">
        <v>2049</v>
      </c>
      <c r="E1317" s="112" t="b">
        <v>0</v>
      </c>
      <c r="F1317" s="112" t="b">
        <v>0</v>
      </c>
      <c r="G1317" s="112" t="b">
        <v>0</v>
      </c>
    </row>
    <row r="1318" spans="1:7" ht="15">
      <c r="A1318" s="112" t="s">
        <v>2351</v>
      </c>
      <c r="B1318" s="112">
        <v>4</v>
      </c>
      <c r="C1318" s="114">
        <v>0.002158016275100053</v>
      </c>
      <c r="D1318" s="112" t="s">
        <v>2049</v>
      </c>
      <c r="E1318" s="112" t="b">
        <v>0</v>
      </c>
      <c r="F1318" s="112" t="b">
        <v>0</v>
      </c>
      <c r="G1318" s="112" t="b">
        <v>0</v>
      </c>
    </row>
    <row r="1319" spans="1:7" ht="15">
      <c r="A1319" s="112" t="s">
        <v>2572</v>
      </c>
      <c r="B1319" s="112">
        <v>4</v>
      </c>
      <c r="C1319" s="114">
        <v>0.0019496113766708618</v>
      </c>
      <c r="D1319" s="112" t="s">
        <v>2049</v>
      </c>
      <c r="E1319" s="112" t="b">
        <v>0</v>
      </c>
      <c r="F1319" s="112" t="b">
        <v>0</v>
      </c>
      <c r="G1319" s="112" t="b">
        <v>0</v>
      </c>
    </row>
    <row r="1320" spans="1:7" ht="15">
      <c r="A1320" s="112" t="s">
        <v>2331</v>
      </c>
      <c r="B1320" s="112">
        <v>4</v>
      </c>
      <c r="C1320" s="114">
        <v>0.0019496113766708618</v>
      </c>
      <c r="D1320" s="112" t="s">
        <v>2049</v>
      </c>
      <c r="E1320" s="112" t="b">
        <v>0</v>
      </c>
      <c r="F1320" s="112" t="b">
        <v>0</v>
      </c>
      <c r="G1320" s="112" t="b">
        <v>0</v>
      </c>
    </row>
    <row r="1321" spans="1:7" ht="15">
      <c r="A1321" s="112" t="s">
        <v>2470</v>
      </c>
      <c r="B1321" s="112">
        <v>4</v>
      </c>
      <c r="C1321" s="114">
        <v>0.002158016275100053</v>
      </c>
      <c r="D1321" s="112" t="s">
        <v>2049</v>
      </c>
      <c r="E1321" s="112" t="b">
        <v>0</v>
      </c>
      <c r="F1321" s="112" t="b">
        <v>0</v>
      </c>
      <c r="G1321" s="112" t="b">
        <v>0</v>
      </c>
    </row>
    <row r="1322" spans="1:7" ht="15">
      <c r="A1322" s="112" t="s">
        <v>2417</v>
      </c>
      <c r="B1322" s="112">
        <v>4</v>
      </c>
      <c r="C1322" s="114">
        <v>0.0019496113766708618</v>
      </c>
      <c r="D1322" s="112" t="s">
        <v>2049</v>
      </c>
      <c r="E1322" s="112" t="b">
        <v>0</v>
      </c>
      <c r="F1322" s="112" t="b">
        <v>0</v>
      </c>
      <c r="G1322" s="112" t="b">
        <v>0</v>
      </c>
    </row>
    <row r="1323" spans="1:7" ht="15">
      <c r="A1323" s="112" t="s">
        <v>2573</v>
      </c>
      <c r="B1323" s="112">
        <v>4</v>
      </c>
      <c r="C1323" s="114">
        <v>0.002158016275100053</v>
      </c>
      <c r="D1323" s="112" t="s">
        <v>2049</v>
      </c>
      <c r="E1323" s="112" t="b">
        <v>0</v>
      </c>
      <c r="F1323" s="112" t="b">
        <v>0</v>
      </c>
      <c r="G1323" s="112" t="b">
        <v>0</v>
      </c>
    </row>
    <row r="1324" spans="1:7" ht="15">
      <c r="A1324" s="112" t="s">
        <v>2493</v>
      </c>
      <c r="B1324" s="112">
        <v>4</v>
      </c>
      <c r="C1324" s="114">
        <v>0.002158016275100053</v>
      </c>
      <c r="D1324" s="112" t="s">
        <v>2049</v>
      </c>
      <c r="E1324" s="112" t="b">
        <v>0</v>
      </c>
      <c r="F1324" s="112" t="b">
        <v>0</v>
      </c>
      <c r="G1324" s="112" t="b">
        <v>0</v>
      </c>
    </row>
    <row r="1325" spans="1:7" ht="15">
      <c r="A1325" s="112" t="s">
        <v>2613</v>
      </c>
      <c r="B1325" s="112">
        <v>4</v>
      </c>
      <c r="C1325" s="114">
        <v>0.002451746482031965</v>
      </c>
      <c r="D1325" s="112" t="s">
        <v>2049</v>
      </c>
      <c r="E1325" s="112" t="b">
        <v>0</v>
      </c>
      <c r="F1325" s="112" t="b">
        <v>0</v>
      </c>
      <c r="G1325" s="112" t="b">
        <v>0</v>
      </c>
    </row>
    <row r="1326" spans="1:7" ht="15">
      <c r="A1326" s="112" t="s">
        <v>2488</v>
      </c>
      <c r="B1326" s="112">
        <v>4</v>
      </c>
      <c r="C1326" s="114">
        <v>0.002953881587393068</v>
      </c>
      <c r="D1326" s="112" t="s">
        <v>2049</v>
      </c>
      <c r="E1326" s="112" t="b">
        <v>0</v>
      </c>
      <c r="F1326" s="112" t="b">
        <v>0</v>
      </c>
      <c r="G1326" s="112" t="b">
        <v>0</v>
      </c>
    </row>
    <row r="1327" spans="1:7" ht="15">
      <c r="A1327" s="112" t="s">
        <v>2457</v>
      </c>
      <c r="B1327" s="112">
        <v>4</v>
      </c>
      <c r="C1327" s="114">
        <v>0.002953881587393068</v>
      </c>
      <c r="D1327" s="112" t="s">
        <v>2049</v>
      </c>
      <c r="E1327" s="112" t="b">
        <v>0</v>
      </c>
      <c r="F1327" s="112" t="b">
        <v>0</v>
      </c>
      <c r="G1327" s="112" t="b">
        <v>0</v>
      </c>
    </row>
    <row r="1328" spans="1:7" ht="15">
      <c r="A1328" s="112" t="s">
        <v>2612</v>
      </c>
      <c r="B1328" s="112">
        <v>4</v>
      </c>
      <c r="C1328" s="114">
        <v>0.002451746482031965</v>
      </c>
      <c r="D1328" s="112" t="s">
        <v>2049</v>
      </c>
      <c r="E1328" s="112" t="b">
        <v>0</v>
      </c>
      <c r="F1328" s="112" t="b">
        <v>0</v>
      </c>
      <c r="G1328" s="112" t="b">
        <v>0</v>
      </c>
    </row>
    <row r="1329" spans="1:7" ht="15">
      <c r="A1329" s="112" t="s">
        <v>2218</v>
      </c>
      <c r="B1329" s="112">
        <v>4</v>
      </c>
      <c r="C1329" s="114">
        <v>0.0019496113766708618</v>
      </c>
      <c r="D1329" s="112" t="s">
        <v>2049</v>
      </c>
      <c r="E1329" s="112" t="b">
        <v>0</v>
      </c>
      <c r="F1329" s="112" t="b">
        <v>0</v>
      </c>
      <c r="G1329" s="112" t="b">
        <v>0</v>
      </c>
    </row>
    <row r="1330" spans="1:7" ht="15">
      <c r="A1330" s="112" t="s">
        <v>2117</v>
      </c>
      <c r="B1330" s="112">
        <v>4</v>
      </c>
      <c r="C1330" s="114">
        <v>0.0019496113766708618</v>
      </c>
      <c r="D1330" s="112" t="s">
        <v>2049</v>
      </c>
      <c r="E1330" s="112" t="b">
        <v>0</v>
      </c>
      <c r="F1330" s="112" t="b">
        <v>0</v>
      </c>
      <c r="G1330" s="112" t="b">
        <v>0</v>
      </c>
    </row>
    <row r="1331" spans="1:7" ht="15">
      <c r="A1331" s="112" t="s">
        <v>2575</v>
      </c>
      <c r="B1331" s="112">
        <v>4</v>
      </c>
      <c r="C1331" s="114">
        <v>0.002451746482031965</v>
      </c>
      <c r="D1331" s="112" t="s">
        <v>2049</v>
      </c>
      <c r="E1331" s="112" t="b">
        <v>0</v>
      </c>
      <c r="F1331" s="112" t="b">
        <v>0</v>
      </c>
      <c r="G1331" s="112" t="b">
        <v>0</v>
      </c>
    </row>
    <row r="1332" spans="1:7" ht="15">
      <c r="A1332" s="112" t="s">
        <v>2272</v>
      </c>
      <c r="B1332" s="112">
        <v>4</v>
      </c>
      <c r="C1332" s="114">
        <v>0.002451746482031965</v>
      </c>
      <c r="D1332" s="112" t="s">
        <v>2049</v>
      </c>
      <c r="E1332" s="112" t="b">
        <v>0</v>
      </c>
      <c r="F1332" s="112" t="b">
        <v>0</v>
      </c>
      <c r="G1332" s="112" t="b">
        <v>0</v>
      </c>
    </row>
    <row r="1333" spans="1:7" ht="15">
      <c r="A1333" s="112" t="s">
        <v>2127</v>
      </c>
      <c r="B1333" s="112">
        <v>4</v>
      </c>
      <c r="C1333" s="114">
        <v>0.0019496113766708618</v>
      </c>
      <c r="D1333" s="112" t="s">
        <v>2049</v>
      </c>
      <c r="E1333" s="112" t="b">
        <v>0</v>
      </c>
      <c r="F1333" s="112" t="b">
        <v>0</v>
      </c>
      <c r="G1333" s="112" t="b">
        <v>0</v>
      </c>
    </row>
    <row r="1334" spans="1:7" ht="15">
      <c r="A1334" s="112" t="s">
        <v>2268</v>
      </c>
      <c r="B1334" s="112">
        <v>4</v>
      </c>
      <c r="C1334" s="114">
        <v>0.002158016275100053</v>
      </c>
      <c r="D1334" s="112" t="s">
        <v>2049</v>
      </c>
      <c r="E1334" s="112" t="b">
        <v>0</v>
      </c>
      <c r="F1334" s="112" t="b">
        <v>0</v>
      </c>
      <c r="G1334" s="112" t="b">
        <v>0</v>
      </c>
    </row>
    <row r="1335" spans="1:7" ht="15">
      <c r="A1335" s="112" t="s">
        <v>2364</v>
      </c>
      <c r="B1335" s="112">
        <v>4</v>
      </c>
      <c r="C1335" s="114">
        <v>0.002451746482031965</v>
      </c>
      <c r="D1335" s="112" t="s">
        <v>2049</v>
      </c>
      <c r="E1335" s="112" t="b">
        <v>0</v>
      </c>
      <c r="F1335" s="112" t="b">
        <v>0</v>
      </c>
      <c r="G1335" s="112" t="b">
        <v>0</v>
      </c>
    </row>
    <row r="1336" spans="1:7" ht="15">
      <c r="A1336" s="112" t="s">
        <v>2565</v>
      </c>
      <c r="B1336" s="112">
        <v>4</v>
      </c>
      <c r="C1336" s="114">
        <v>0.002451746482031965</v>
      </c>
      <c r="D1336" s="112" t="s">
        <v>2049</v>
      </c>
      <c r="E1336" s="112" t="b">
        <v>0</v>
      </c>
      <c r="F1336" s="112" t="b">
        <v>0</v>
      </c>
      <c r="G1336" s="112" t="b">
        <v>0</v>
      </c>
    </row>
    <row r="1337" spans="1:7" ht="15">
      <c r="A1337" s="112" t="s">
        <v>2571</v>
      </c>
      <c r="B1337" s="112">
        <v>4</v>
      </c>
      <c r="C1337" s="114">
        <v>0.002158016275100053</v>
      </c>
      <c r="D1337" s="112" t="s">
        <v>2049</v>
      </c>
      <c r="E1337" s="112" t="b">
        <v>0</v>
      </c>
      <c r="F1337" s="112" t="b">
        <v>0</v>
      </c>
      <c r="G1337" s="112" t="b">
        <v>0</v>
      </c>
    </row>
    <row r="1338" spans="1:7" ht="15">
      <c r="A1338" s="112" t="s">
        <v>2133</v>
      </c>
      <c r="B1338" s="112">
        <v>4</v>
      </c>
      <c r="C1338" s="114">
        <v>0.002953881587393068</v>
      </c>
      <c r="D1338" s="112" t="s">
        <v>2049</v>
      </c>
      <c r="E1338" s="112" t="b">
        <v>0</v>
      </c>
      <c r="F1338" s="112" t="b">
        <v>0</v>
      </c>
      <c r="G1338" s="112" t="b">
        <v>0</v>
      </c>
    </row>
    <row r="1339" spans="1:7" ht="15">
      <c r="A1339" s="112" t="s">
        <v>2369</v>
      </c>
      <c r="B1339" s="112">
        <v>4</v>
      </c>
      <c r="C1339" s="114">
        <v>0.0019496113766708618</v>
      </c>
      <c r="D1339" s="112" t="s">
        <v>2049</v>
      </c>
      <c r="E1339" s="112" t="b">
        <v>0</v>
      </c>
      <c r="F1339" s="112" t="b">
        <v>0</v>
      </c>
      <c r="G1339" s="112" t="b">
        <v>0</v>
      </c>
    </row>
    <row r="1340" spans="1:7" ht="15">
      <c r="A1340" s="112" t="s">
        <v>2288</v>
      </c>
      <c r="B1340" s="112">
        <v>4</v>
      </c>
      <c r="C1340" s="114">
        <v>0.002451746482031965</v>
      </c>
      <c r="D1340" s="112" t="s">
        <v>2049</v>
      </c>
      <c r="E1340" s="112" t="b">
        <v>0</v>
      </c>
      <c r="F1340" s="112" t="b">
        <v>0</v>
      </c>
      <c r="G1340" s="112" t="b">
        <v>0</v>
      </c>
    </row>
    <row r="1341" spans="1:7" ht="15">
      <c r="A1341" s="112" t="s">
        <v>2081</v>
      </c>
      <c r="B1341" s="112">
        <v>3</v>
      </c>
      <c r="C1341" s="114">
        <v>0.0016185122063250399</v>
      </c>
      <c r="D1341" s="112" t="s">
        <v>2049</v>
      </c>
      <c r="E1341" s="112" t="b">
        <v>0</v>
      </c>
      <c r="F1341" s="112" t="b">
        <v>0</v>
      </c>
      <c r="G1341" s="112" t="b">
        <v>0</v>
      </c>
    </row>
    <row r="1342" spans="1:7" ht="15">
      <c r="A1342" s="112" t="s">
        <v>2225</v>
      </c>
      <c r="B1342" s="112">
        <v>3</v>
      </c>
      <c r="C1342" s="114">
        <v>0.0016185122063250399</v>
      </c>
      <c r="D1342" s="112" t="s">
        <v>2049</v>
      </c>
      <c r="E1342" s="112" t="b">
        <v>0</v>
      </c>
      <c r="F1342" s="112" t="b">
        <v>0</v>
      </c>
      <c r="G1342" s="112" t="b">
        <v>0</v>
      </c>
    </row>
    <row r="1343" spans="1:7" ht="15">
      <c r="A1343" s="112" t="s">
        <v>2267</v>
      </c>
      <c r="B1343" s="112">
        <v>3</v>
      </c>
      <c r="C1343" s="114">
        <v>0.0016185122063250399</v>
      </c>
      <c r="D1343" s="112" t="s">
        <v>2049</v>
      </c>
      <c r="E1343" s="112" t="b">
        <v>0</v>
      </c>
      <c r="F1343" s="112" t="b">
        <v>0</v>
      </c>
      <c r="G1343" s="112" t="b">
        <v>0</v>
      </c>
    </row>
    <row r="1344" spans="1:7" ht="15">
      <c r="A1344" s="112" t="s">
        <v>2692</v>
      </c>
      <c r="B1344" s="112">
        <v>3</v>
      </c>
      <c r="C1344" s="114">
        <v>0.0016185122063250399</v>
      </c>
      <c r="D1344" s="112" t="s">
        <v>2049</v>
      </c>
      <c r="E1344" s="112" t="b">
        <v>0</v>
      </c>
      <c r="F1344" s="112" t="b">
        <v>0</v>
      </c>
      <c r="G1344" s="112" t="b">
        <v>0</v>
      </c>
    </row>
    <row r="1345" spans="1:7" ht="15">
      <c r="A1345" s="112" t="s">
        <v>2718</v>
      </c>
      <c r="B1345" s="112">
        <v>3</v>
      </c>
      <c r="C1345" s="114">
        <v>0.0016185122063250399</v>
      </c>
      <c r="D1345" s="112" t="s">
        <v>2049</v>
      </c>
      <c r="E1345" s="112" t="b">
        <v>0</v>
      </c>
      <c r="F1345" s="112" t="b">
        <v>0</v>
      </c>
      <c r="G1345" s="112" t="b">
        <v>0</v>
      </c>
    </row>
    <row r="1346" spans="1:7" ht="15">
      <c r="A1346" s="112" t="s">
        <v>2210</v>
      </c>
      <c r="B1346" s="112">
        <v>3</v>
      </c>
      <c r="C1346" s="114">
        <v>0.0016185122063250399</v>
      </c>
      <c r="D1346" s="112" t="s">
        <v>2049</v>
      </c>
      <c r="E1346" s="112" t="b">
        <v>0</v>
      </c>
      <c r="F1346" s="112" t="b">
        <v>0</v>
      </c>
      <c r="G1346" s="112" t="b">
        <v>0</v>
      </c>
    </row>
    <row r="1347" spans="1:7" ht="15">
      <c r="A1347" s="112" t="s">
        <v>2460</v>
      </c>
      <c r="B1347" s="112">
        <v>3</v>
      </c>
      <c r="C1347" s="114">
        <v>0.0016185122063250399</v>
      </c>
      <c r="D1347" s="112" t="s">
        <v>2049</v>
      </c>
      <c r="E1347" s="112" t="b">
        <v>0</v>
      </c>
      <c r="F1347" s="112" t="b">
        <v>0</v>
      </c>
      <c r="G1347" s="112" t="b">
        <v>0</v>
      </c>
    </row>
    <row r="1348" spans="1:7" ht="15">
      <c r="A1348" s="112" t="s">
        <v>2798</v>
      </c>
      <c r="B1348" s="112">
        <v>3</v>
      </c>
      <c r="C1348" s="114">
        <v>0.0016185122063250399</v>
      </c>
      <c r="D1348" s="112" t="s">
        <v>2049</v>
      </c>
      <c r="E1348" s="112" t="b">
        <v>0</v>
      </c>
      <c r="F1348" s="112" t="b">
        <v>0</v>
      </c>
      <c r="G1348" s="112" t="b">
        <v>0</v>
      </c>
    </row>
    <row r="1349" spans="1:7" ht="15">
      <c r="A1349" s="112" t="s">
        <v>2724</v>
      </c>
      <c r="B1349" s="112">
        <v>3</v>
      </c>
      <c r="C1349" s="114">
        <v>0.0018388098615239735</v>
      </c>
      <c r="D1349" s="112" t="s">
        <v>2049</v>
      </c>
      <c r="E1349" s="112" t="b">
        <v>0</v>
      </c>
      <c r="F1349" s="112" t="b">
        <v>0</v>
      </c>
      <c r="G1349" s="112" t="b">
        <v>0</v>
      </c>
    </row>
    <row r="1350" spans="1:7" ht="15">
      <c r="A1350" s="112" t="s">
        <v>2802</v>
      </c>
      <c r="B1350" s="112">
        <v>3</v>
      </c>
      <c r="C1350" s="114">
        <v>0.002215411190544801</v>
      </c>
      <c r="D1350" s="112" t="s">
        <v>2049</v>
      </c>
      <c r="E1350" s="112" t="b">
        <v>0</v>
      </c>
      <c r="F1350" s="112" t="b">
        <v>0</v>
      </c>
      <c r="G1350" s="112" t="b">
        <v>0</v>
      </c>
    </row>
    <row r="1351" spans="1:7" ht="15">
      <c r="A1351" s="112" t="s">
        <v>2407</v>
      </c>
      <c r="B1351" s="112">
        <v>3</v>
      </c>
      <c r="C1351" s="114">
        <v>0.0016185122063250399</v>
      </c>
      <c r="D1351" s="112" t="s">
        <v>2049</v>
      </c>
      <c r="E1351" s="112" t="b">
        <v>0</v>
      </c>
      <c r="F1351" s="112" t="b">
        <v>1</v>
      </c>
      <c r="G1351" s="112" t="b">
        <v>0</v>
      </c>
    </row>
    <row r="1352" spans="1:7" ht="15">
      <c r="A1352" s="112" t="s">
        <v>2236</v>
      </c>
      <c r="B1352" s="112">
        <v>3</v>
      </c>
      <c r="C1352" s="114">
        <v>0.0016185122063250399</v>
      </c>
      <c r="D1352" s="112" t="s">
        <v>2049</v>
      </c>
      <c r="E1352" s="112" t="b">
        <v>0</v>
      </c>
      <c r="F1352" s="112" t="b">
        <v>0</v>
      </c>
      <c r="G1352" s="112" t="b">
        <v>0</v>
      </c>
    </row>
    <row r="1353" spans="1:7" ht="15">
      <c r="A1353" s="112" t="s">
        <v>2800</v>
      </c>
      <c r="B1353" s="112">
        <v>3</v>
      </c>
      <c r="C1353" s="114">
        <v>0.002215411190544801</v>
      </c>
      <c r="D1353" s="112" t="s">
        <v>2049</v>
      </c>
      <c r="E1353" s="112" t="b">
        <v>0</v>
      </c>
      <c r="F1353" s="112" t="b">
        <v>0</v>
      </c>
      <c r="G1353" s="112" t="b">
        <v>0</v>
      </c>
    </row>
    <row r="1354" spans="1:7" ht="15">
      <c r="A1354" s="112" t="s">
        <v>2606</v>
      </c>
      <c r="B1354" s="112">
        <v>3</v>
      </c>
      <c r="C1354" s="114">
        <v>0.0018388098615239735</v>
      </c>
      <c r="D1354" s="112" t="s">
        <v>2049</v>
      </c>
      <c r="E1354" s="112" t="b">
        <v>0</v>
      </c>
      <c r="F1354" s="112" t="b">
        <v>0</v>
      </c>
      <c r="G1354" s="112" t="b">
        <v>0</v>
      </c>
    </row>
    <row r="1355" spans="1:7" ht="15">
      <c r="A1355" s="112" t="s">
        <v>2310</v>
      </c>
      <c r="B1355" s="112">
        <v>3</v>
      </c>
      <c r="C1355" s="114">
        <v>0.0018388098615239735</v>
      </c>
      <c r="D1355" s="112" t="s">
        <v>2049</v>
      </c>
      <c r="E1355" s="112" t="b">
        <v>0</v>
      </c>
      <c r="F1355" s="112" t="b">
        <v>0</v>
      </c>
      <c r="G1355" s="112" t="b">
        <v>0</v>
      </c>
    </row>
    <row r="1356" spans="1:7" ht="15">
      <c r="A1356" s="112" t="s">
        <v>2569</v>
      </c>
      <c r="B1356" s="112">
        <v>3</v>
      </c>
      <c r="C1356" s="114">
        <v>0.0018388098615239735</v>
      </c>
      <c r="D1356" s="112" t="s">
        <v>2049</v>
      </c>
      <c r="E1356" s="112" t="b">
        <v>0</v>
      </c>
      <c r="F1356" s="112" t="b">
        <v>0</v>
      </c>
      <c r="G1356" s="112" t="b">
        <v>0</v>
      </c>
    </row>
    <row r="1357" spans="1:7" ht="15">
      <c r="A1357" s="112" t="s">
        <v>2578</v>
      </c>
      <c r="B1357" s="112">
        <v>3</v>
      </c>
      <c r="C1357" s="114">
        <v>0.0018388098615239735</v>
      </c>
      <c r="D1357" s="112" t="s">
        <v>2049</v>
      </c>
      <c r="E1357" s="112" t="b">
        <v>0</v>
      </c>
      <c r="F1357" s="112" t="b">
        <v>0</v>
      </c>
      <c r="G1357" s="112" t="b">
        <v>0</v>
      </c>
    </row>
    <row r="1358" spans="1:7" ht="15">
      <c r="A1358" s="112" t="s">
        <v>2471</v>
      </c>
      <c r="B1358" s="112">
        <v>3</v>
      </c>
      <c r="C1358" s="114">
        <v>0.0018388098615239735</v>
      </c>
      <c r="D1358" s="112" t="s">
        <v>2049</v>
      </c>
      <c r="E1358" s="112" t="b">
        <v>0</v>
      </c>
      <c r="F1358" s="112" t="b">
        <v>0</v>
      </c>
      <c r="G1358" s="112" t="b">
        <v>0</v>
      </c>
    </row>
    <row r="1359" spans="1:7" ht="15">
      <c r="A1359" s="112" t="s">
        <v>2614</v>
      </c>
      <c r="B1359" s="112">
        <v>3</v>
      </c>
      <c r="C1359" s="114">
        <v>0.002215411190544801</v>
      </c>
      <c r="D1359" s="112" t="s">
        <v>2049</v>
      </c>
      <c r="E1359" s="112" t="b">
        <v>0</v>
      </c>
      <c r="F1359" s="112" t="b">
        <v>0</v>
      </c>
      <c r="G1359" s="112" t="b">
        <v>0</v>
      </c>
    </row>
    <row r="1360" spans="1:7" ht="15">
      <c r="A1360" s="112" t="s">
        <v>2399</v>
      </c>
      <c r="B1360" s="112">
        <v>3</v>
      </c>
      <c r="C1360" s="114">
        <v>0.002215411190544801</v>
      </c>
      <c r="D1360" s="112" t="s">
        <v>2049</v>
      </c>
      <c r="E1360" s="112" t="b">
        <v>0</v>
      </c>
      <c r="F1360" s="112" t="b">
        <v>0</v>
      </c>
      <c r="G1360" s="112" t="b">
        <v>0</v>
      </c>
    </row>
    <row r="1361" spans="1:7" ht="15">
      <c r="A1361" s="112" t="s">
        <v>2258</v>
      </c>
      <c r="B1361" s="112">
        <v>3</v>
      </c>
      <c r="C1361" s="114">
        <v>0.002215411190544801</v>
      </c>
      <c r="D1361" s="112" t="s">
        <v>2049</v>
      </c>
      <c r="E1361" s="112" t="b">
        <v>0</v>
      </c>
      <c r="F1361" s="112" t="b">
        <v>0</v>
      </c>
      <c r="G1361" s="112" t="b">
        <v>0</v>
      </c>
    </row>
    <row r="1362" spans="1:7" ht="15">
      <c r="A1362" s="112" t="s">
        <v>2271</v>
      </c>
      <c r="B1362" s="112">
        <v>3</v>
      </c>
      <c r="C1362" s="114">
        <v>0.0018388098615239735</v>
      </c>
      <c r="D1362" s="112" t="s">
        <v>2049</v>
      </c>
      <c r="E1362" s="112" t="b">
        <v>0</v>
      </c>
      <c r="F1362" s="112" t="b">
        <v>0</v>
      </c>
      <c r="G1362" s="112" t="b">
        <v>0</v>
      </c>
    </row>
    <row r="1363" spans="1:7" ht="15">
      <c r="A1363" s="112" t="s">
        <v>2185</v>
      </c>
      <c r="B1363" s="112">
        <v>3</v>
      </c>
      <c r="C1363" s="114">
        <v>0.0016185122063250399</v>
      </c>
      <c r="D1363" s="112" t="s">
        <v>2049</v>
      </c>
      <c r="E1363" s="112" t="b">
        <v>0</v>
      </c>
      <c r="F1363" s="112" t="b">
        <v>0</v>
      </c>
      <c r="G1363" s="112" t="b">
        <v>0</v>
      </c>
    </row>
    <row r="1364" spans="1:7" ht="15">
      <c r="A1364" s="112" t="s">
        <v>2368</v>
      </c>
      <c r="B1364" s="112">
        <v>3</v>
      </c>
      <c r="C1364" s="114">
        <v>0.0016185122063250399</v>
      </c>
      <c r="D1364" s="112" t="s">
        <v>2049</v>
      </c>
      <c r="E1364" s="112" t="b">
        <v>0</v>
      </c>
      <c r="F1364" s="112" t="b">
        <v>0</v>
      </c>
      <c r="G1364" s="112" t="b">
        <v>0</v>
      </c>
    </row>
    <row r="1365" spans="1:7" ht="15">
      <c r="A1365" s="112" t="s">
        <v>2713</v>
      </c>
      <c r="B1365" s="112">
        <v>3</v>
      </c>
      <c r="C1365" s="114">
        <v>0.0018388098615239735</v>
      </c>
      <c r="D1365" s="112" t="s">
        <v>2049</v>
      </c>
      <c r="E1365" s="112" t="b">
        <v>0</v>
      </c>
      <c r="F1365" s="112" t="b">
        <v>0</v>
      </c>
      <c r="G1365" s="112" t="b">
        <v>0</v>
      </c>
    </row>
    <row r="1366" spans="1:7" ht="15">
      <c r="A1366" s="112" t="s">
        <v>2247</v>
      </c>
      <c r="B1366" s="112">
        <v>3</v>
      </c>
      <c r="C1366" s="114">
        <v>0.0018388098615239735</v>
      </c>
      <c r="D1366" s="112" t="s">
        <v>2049</v>
      </c>
      <c r="E1366" s="112" t="b">
        <v>0</v>
      </c>
      <c r="F1366" s="112" t="b">
        <v>0</v>
      </c>
      <c r="G1366" s="112" t="b">
        <v>0</v>
      </c>
    </row>
    <row r="1367" spans="1:7" ht="15">
      <c r="A1367" s="112" t="s">
        <v>2795</v>
      </c>
      <c r="B1367" s="112">
        <v>3</v>
      </c>
      <c r="C1367" s="114">
        <v>0.002215411190544801</v>
      </c>
      <c r="D1367" s="112" t="s">
        <v>2049</v>
      </c>
      <c r="E1367" s="112" t="b">
        <v>0</v>
      </c>
      <c r="F1367" s="112" t="b">
        <v>0</v>
      </c>
      <c r="G1367" s="112" t="b">
        <v>0</v>
      </c>
    </row>
    <row r="1368" spans="1:7" ht="15">
      <c r="A1368" s="112" t="s">
        <v>2796</v>
      </c>
      <c r="B1368" s="112">
        <v>3</v>
      </c>
      <c r="C1368" s="114">
        <v>0.002215411190544801</v>
      </c>
      <c r="D1368" s="112" t="s">
        <v>2049</v>
      </c>
      <c r="E1368" s="112" t="b">
        <v>0</v>
      </c>
      <c r="F1368" s="112" t="b">
        <v>0</v>
      </c>
      <c r="G1368" s="112" t="b">
        <v>0</v>
      </c>
    </row>
    <row r="1369" spans="1:7" ht="15">
      <c r="A1369" s="112" t="s">
        <v>2325</v>
      </c>
      <c r="B1369" s="112">
        <v>3</v>
      </c>
      <c r="C1369" s="114">
        <v>0.002215411190544801</v>
      </c>
      <c r="D1369" s="112" t="s">
        <v>2049</v>
      </c>
      <c r="E1369" s="112" t="b">
        <v>0</v>
      </c>
      <c r="F1369" s="112" t="b">
        <v>0</v>
      </c>
      <c r="G1369" s="112" t="b">
        <v>0</v>
      </c>
    </row>
    <row r="1370" spans="1:7" ht="15">
      <c r="A1370" s="112" t="s">
        <v>2327</v>
      </c>
      <c r="B1370" s="112">
        <v>3</v>
      </c>
      <c r="C1370" s="114">
        <v>0.002215411190544801</v>
      </c>
      <c r="D1370" s="112" t="s">
        <v>2049</v>
      </c>
      <c r="E1370" s="112" t="b">
        <v>0</v>
      </c>
      <c r="F1370" s="112" t="b">
        <v>0</v>
      </c>
      <c r="G1370" s="112" t="b">
        <v>0</v>
      </c>
    </row>
    <row r="1371" spans="1:7" ht="15">
      <c r="A1371" s="112" t="s">
        <v>2294</v>
      </c>
      <c r="B1371" s="112">
        <v>3</v>
      </c>
      <c r="C1371" s="114">
        <v>0.002215411190544801</v>
      </c>
      <c r="D1371" s="112" t="s">
        <v>2049</v>
      </c>
      <c r="E1371" s="112" t="b">
        <v>0</v>
      </c>
      <c r="F1371" s="112" t="b">
        <v>0</v>
      </c>
      <c r="G1371" s="112" t="b">
        <v>0</v>
      </c>
    </row>
    <row r="1372" spans="1:7" ht="15">
      <c r="A1372" s="112" t="s">
        <v>2295</v>
      </c>
      <c r="B1372" s="112">
        <v>3</v>
      </c>
      <c r="C1372" s="114">
        <v>0.002215411190544801</v>
      </c>
      <c r="D1372" s="112" t="s">
        <v>2049</v>
      </c>
      <c r="E1372" s="112" t="b">
        <v>0</v>
      </c>
      <c r="F1372" s="112" t="b">
        <v>0</v>
      </c>
      <c r="G1372" s="112" t="b">
        <v>0</v>
      </c>
    </row>
    <row r="1373" spans="1:7" ht="15">
      <c r="A1373" s="112" t="s">
        <v>2219</v>
      </c>
      <c r="B1373" s="112">
        <v>3</v>
      </c>
      <c r="C1373" s="114">
        <v>0.0016185122063250399</v>
      </c>
      <c r="D1373" s="112" t="s">
        <v>2049</v>
      </c>
      <c r="E1373" s="112" t="b">
        <v>0</v>
      </c>
      <c r="F1373" s="112" t="b">
        <v>0</v>
      </c>
      <c r="G1373" s="112" t="b">
        <v>0</v>
      </c>
    </row>
    <row r="1374" spans="1:7" ht="15">
      <c r="A1374" s="112" t="s">
        <v>2422</v>
      </c>
      <c r="B1374" s="112">
        <v>3</v>
      </c>
      <c r="C1374" s="114">
        <v>0.002215411190544801</v>
      </c>
      <c r="D1374" s="112" t="s">
        <v>2049</v>
      </c>
      <c r="E1374" s="112" t="b">
        <v>0</v>
      </c>
      <c r="F1374" s="112" t="b">
        <v>0</v>
      </c>
      <c r="G1374" s="112" t="b">
        <v>0</v>
      </c>
    </row>
    <row r="1375" spans="1:7" ht="15">
      <c r="A1375" s="112" t="s">
        <v>2754</v>
      </c>
      <c r="B1375" s="112">
        <v>3</v>
      </c>
      <c r="C1375" s="114">
        <v>0.002215411190544801</v>
      </c>
      <c r="D1375" s="112" t="s">
        <v>2049</v>
      </c>
      <c r="E1375" s="112" t="b">
        <v>0</v>
      </c>
      <c r="F1375" s="112" t="b">
        <v>0</v>
      </c>
      <c r="G1375" s="112" t="b">
        <v>0</v>
      </c>
    </row>
    <row r="1376" spans="1:7" ht="15">
      <c r="A1376" s="112" t="s">
        <v>2093</v>
      </c>
      <c r="B1376" s="112">
        <v>3</v>
      </c>
      <c r="C1376" s="114">
        <v>0.0018388098615239735</v>
      </c>
      <c r="D1376" s="112" t="s">
        <v>2049</v>
      </c>
      <c r="E1376" s="112" t="b">
        <v>0</v>
      </c>
      <c r="F1376" s="112" t="b">
        <v>0</v>
      </c>
      <c r="G1376" s="112" t="b">
        <v>0</v>
      </c>
    </row>
    <row r="1377" spans="1:7" ht="15">
      <c r="A1377" s="112" t="s">
        <v>2121</v>
      </c>
      <c r="B1377" s="112">
        <v>3</v>
      </c>
      <c r="C1377" s="114">
        <v>0.0016185122063250399</v>
      </c>
      <c r="D1377" s="112" t="s">
        <v>2049</v>
      </c>
      <c r="E1377" s="112" t="b">
        <v>0</v>
      </c>
      <c r="F1377" s="112" t="b">
        <v>0</v>
      </c>
      <c r="G1377" s="112" t="b">
        <v>0</v>
      </c>
    </row>
    <row r="1378" spans="1:7" ht="15">
      <c r="A1378" s="112" t="s">
        <v>2708</v>
      </c>
      <c r="B1378" s="112">
        <v>3</v>
      </c>
      <c r="C1378" s="114">
        <v>0.0016185122063250399</v>
      </c>
      <c r="D1378" s="112" t="s">
        <v>2049</v>
      </c>
      <c r="E1378" s="112" t="b">
        <v>0</v>
      </c>
      <c r="F1378" s="112" t="b">
        <v>0</v>
      </c>
      <c r="G1378" s="112" t="b">
        <v>0</v>
      </c>
    </row>
    <row r="1379" spans="1:7" ht="15">
      <c r="A1379" s="112" t="s">
        <v>2570</v>
      </c>
      <c r="B1379" s="112">
        <v>3</v>
      </c>
      <c r="C1379" s="114">
        <v>0.0018388098615239735</v>
      </c>
      <c r="D1379" s="112" t="s">
        <v>2049</v>
      </c>
      <c r="E1379" s="112" t="b">
        <v>0</v>
      </c>
      <c r="F1379" s="112" t="b">
        <v>0</v>
      </c>
      <c r="G1379" s="112" t="b">
        <v>0</v>
      </c>
    </row>
    <row r="1380" spans="1:7" ht="15">
      <c r="A1380" s="112" t="s">
        <v>2564</v>
      </c>
      <c r="B1380" s="112">
        <v>3</v>
      </c>
      <c r="C1380" s="114">
        <v>0.0018388098615239735</v>
      </c>
      <c r="D1380" s="112" t="s">
        <v>2049</v>
      </c>
      <c r="E1380" s="112" t="b">
        <v>0</v>
      </c>
      <c r="F1380" s="112" t="b">
        <v>0</v>
      </c>
      <c r="G1380" s="112" t="b">
        <v>0</v>
      </c>
    </row>
    <row r="1381" spans="1:7" ht="15">
      <c r="A1381" s="112" t="s">
        <v>2707</v>
      </c>
      <c r="B1381" s="112">
        <v>3</v>
      </c>
      <c r="C1381" s="114">
        <v>0.0018388098615239735</v>
      </c>
      <c r="D1381" s="112" t="s">
        <v>2049</v>
      </c>
      <c r="E1381" s="112" t="b">
        <v>0</v>
      </c>
      <c r="F1381" s="112" t="b">
        <v>0</v>
      </c>
      <c r="G1381" s="112" t="b">
        <v>0</v>
      </c>
    </row>
    <row r="1382" spans="1:7" ht="15">
      <c r="A1382" s="112" t="s">
        <v>2350</v>
      </c>
      <c r="B1382" s="112">
        <v>3</v>
      </c>
      <c r="C1382" s="114">
        <v>0.0016185122063250399</v>
      </c>
      <c r="D1382" s="112" t="s">
        <v>2049</v>
      </c>
      <c r="E1382" s="112" t="b">
        <v>0</v>
      </c>
      <c r="F1382" s="112" t="b">
        <v>0</v>
      </c>
      <c r="G1382" s="112" t="b">
        <v>0</v>
      </c>
    </row>
    <row r="1383" spans="1:7" ht="15">
      <c r="A1383" s="112" t="s">
        <v>2447</v>
      </c>
      <c r="B1383" s="112">
        <v>3</v>
      </c>
      <c r="C1383" s="114">
        <v>0.0018388098615239735</v>
      </c>
      <c r="D1383" s="112" t="s">
        <v>2049</v>
      </c>
      <c r="E1383" s="112" t="b">
        <v>0</v>
      </c>
      <c r="F1383" s="112" t="b">
        <v>0</v>
      </c>
      <c r="G1383" s="112" t="b">
        <v>0</v>
      </c>
    </row>
    <row r="1384" spans="1:7" ht="15">
      <c r="A1384" s="112" t="s">
        <v>2709</v>
      </c>
      <c r="B1384" s="112">
        <v>3</v>
      </c>
      <c r="C1384" s="114">
        <v>0.0018388098615239735</v>
      </c>
      <c r="D1384" s="112" t="s">
        <v>2049</v>
      </c>
      <c r="E1384" s="112" t="b">
        <v>1</v>
      </c>
      <c r="F1384" s="112" t="b">
        <v>0</v>
      </c>
      <c r="G1384" s="112" t="b">
        <v>0</v>
      </c>
    </row>
    <row r="1385" spans="1:7" ht="15">
      <c r="A1385" s="112" t="s">
        <v>2715</v>
      </c>
      <c r="B1385" s="112">
        <v>3</v>
      </c>
      <c r="C1385" s="114">
        <v>0.002215411190544801</v>
      </c>
      <c r="D1385" s="112" t="s">
        <v>2049</v>
      </c>
      <c r="E1385" s="112" t="b">
        <v>0</v>
      </c>
      <c r="F1385" s="112" t="b">
        <v>1</v>
      </c>
      <c r="G1385" s="112" t="b">
        <v>0</v>
      </c>
    </row>
    <row r="1386" spans="1:7" ht="15">
      <c r="A1386" s="112" t="s">
        <v>2716</v>
      </c>
      <c r="B1386" s="112">
        <v>3</v>
      </c>
      <c r="C1386" s="114">
        <v>0.002215411190544801</v>
      </c>
      <c r="D1386" s="112" t="s">
        <v>2049</v>
      </c>
      <c r="E1386" s="112" t="b">
        <v>0</v>
      </c>
      <c r="F1386" s="112" t="b">
        <v>0</v>
      </c>
      <c r="G1386" s="112" t="b">
        <v>0</v>
      </c>
    </row>
    <row r="1387" spans="1:7" ht="15">
      <c r="A1387" s="112" t="s">
        <v>2935</v>
      </c>
      <c r="B1387" s="112">
        <v>2</v>
      </c>
      <c r="C1387" s="114">
        <v>0.0012258732410159825</v>
      </c>
      <c r="D1387" s="112" t="s">
        <v>2049</v>
      </c>
      <c r="E1387" s="112" t="b">
        <v>1</v>
      </c>
      <c r="F1387" s="112" t="b">
        <v>0</v>
      </c>
      <c r="G1387" s="112" t="b">
        <v>0</v>
      </c>
    </row>
    <row r="1388" spans="1:7" ht="15">
      <c r="A1388" s="112" t="s">
        <v>2691</v>
      </c>
      <c r="B1388" s="112">
        <v>2</v>
      </c>
      <c r="C1388" s="114">
        <v>0.0012258732410159825</v>
      </c>
      <c r="D1388" s="112" t="s">
        <v>2049</v>
      </c>
      <c r="E1388" s="112" t="b">
        <v>0</v>
      </c>
      <c r="F1388" s="112" t="b">
        <v>0</v>
      </c>
      <c r="G1388" s="112" t="b">
        <v>0</v>
      </c>
    </row>
    <row r="1389" spans="1:7" ht="15">
      <c r="A1389" s="112" t="s">
        <v>2154</v>
      </c>
      <c r="B1389" s="112">
        <v>2</v>
      </c>
      <c r="C1389" s="114">
        <v>0.0012258732410159825</v>
      </c>
      <c r="D1389" s="112" t="s">
        <v>2049</v>
      </c>
      <c r="E1389" s="112" t="b">
        <v>0</v>
      </c>
      <c r="F1389" s="112" t="b">
        <v>0</v>
      </c>
      <c r="G1389" s="112" t="b">
        <v>0</v>
      </c>
    </row>
    <row r="1390" spans="1:7" ht="15">
      <c r="A1390" s="112" t="s">
        <v>3239</v>
      </c>
      <c r="B1390" s="112">
        <v>2</v>
      </c>
      <c r="C1390" s="114">
        <v>0.001476940793696534</v>
      </c>
      <c r="D1390" s="112" t="s">
        <v>2049</v>
      </c>
      <c r="E1390" s="112" t="b">
        <v>0</v>
      </c>
      <c r="F1390" s="112" t="b">
        <v>0</v>
      </c>
      <c r="G1390" s="112" t="b">
        <v>0</v>
      </c>
    </row>
    <row r="1391" spans="1:7" ht="15">
      <c r="A1391" s="112" t="s">
        <v>3240</v>
      </c>
      <c r="B1391" s="112">
        <v>2</v>
      </c>
      <c r="C1391" s="114">
        <v>0.001476940793696534</v>
      </c>
      <c r="D1391" s="112" t="s">
        <v>2049</v>
      </c>
      <c r="E1391" s="112" t="b">
        <v>0</v>
      </c>
      <c r="F1391" s="112" t="b">
        <v>0</v>
      </c>
      <c r="G1391" s="112" t="b">
        <v>0</v>
      </c>
    </row>
    <row r="1392" spans="1:7" ht="15">
      <c r="A1392" s="112" t="s">
        <v>3230</v>
      </c>
      <c r="B1392" s="112">
        <v>2</v>
      </c>
      <c r="C1392" s="114">
        <v>0.0012258732410159825</v>
      </c>
      <c r="D1392" s="112" t="s">
        <v>2049</v>
      </c>
      <c r="E1392" s="112" t="b">
        <v>0</v>
      </c>
      <c r="F1392" s="112" t="b">
        <v>0</v>
      </c>
      <c r="G1392" s="112" t="b">
        <v>0</v>
      </c>
    </row>
    <row r="1393" spans="1:7" ht="15">
      <c r="A1393" s="112" t="s">
        <v>2720</v>
      </c>
      <c r="B1393" s="112">
        <v>2</v>
      </c>
      <c r="C1393" s="114">
        <v>0.0012258732410159825</v>
      </c>
      <c r="D1393" s="112" t="s">
        <v>2049</v>
      </c>
      <c r="E1393" s="112" t="b">
        <v>0</v>
      </c>
      <c r="F1393" s="112" t="b">
        <v>0</v>
      </c>
      <c r="G1393" s="112" t="b">
        <v>0</v>
      </c>
    </row>
    <row r="1394" spans="1:7" ht="15">
      <c r="A1394" s="112" t="s">
        <v>3228</v>
      </c>
      <c r="B1394" s="112">
        <v>2</v>
      </c>
      <c r="C1394" s="114">
        <v>0.0012258732410159825</v>
      </c>
      <c r="D1394" s="112" t="s">
        <v>2049</v>
      </c>
      <c r="E1394" s="112" t="b">
        <v>0</v>
      </c>
      <c r="F1394" s="112" t="b">
        <v>0</v>
      </c>
      <c r="G1394" s="112" t="b">
        <v>0</v>
      </c>
    </row>
    <row r="1395" spans="1:7" ht="15">
      <c r="A1395" s="112" t="s">
        <v>2703</v>
      </c>
      <c r="B1395" s="112">
        <v>2</v>
      </c>
      <c r="C1395" s="114">
        <v>0.001476940793696534</v>
      </c>
      <c r="D1395" s="112" t="s">
        <v>2049</v>
      </c>
      <c r="E1395" s="112" t="b">
        <v>0</v>
      </c>
      <c r="F1395" s="112" t="b">
        <v>0</v>
      </c>
      <c r="G1395" s="112" t="b">
        <v>0</v>
      </c>
    </row>
    <row r="1396" spans="1:7" ht="15">
      <c r="A1396" s="112" t="s">
        <v>3232</v>
      </c>
      <c r="B1396" s="112">
        <v>2</v>
      </c>
      <c r="C1396" s="114">
        <v>0.0012258732410159825</v>
      </c>
      <c r="D1396" s="112" t="s">
        <v>2049</v>
      </c>
      <c r="E1396" s="112" t="b">
        <v>0</v>
      </c>
      <c r="F1396" s="112" t="b">
        <v>0</v>
      </c>
      <c r="G1396" s="112" t="b">
        <v>0</v>
      </c>
    </row>
    <row r="1397" spans="1:7" ht="15">
      <c r="A1397" s="112" t="s">
        <v>3091</v>
      </c>
      <c r="B1397" s="112">
        <v>2</v>
      </c>
      <c r="C1397" s="114">
        <v>0.0012258732410159825</v>
      </c>
      <c r="D1397" s="112" t="s">
        <v>2049</v>
      </c>
      <c r="E1397" s="112" t="b">
        <v>0</v>
      </c>
      <c r="F1397" s="112" t="b">
        <v>0</v>
      </c>
      <c r="G1397" s="112" t="b">
        <v>0</v>
      </c>
    </row>
    <row r="1398" spans="1:7" ht="15">
      <c r="A1398" s="112" t="s">
        <v>3229</v>
      </c>
      <c r="B1398" s="112">
        <v>2</v>
      </c>
      <c r="C1398" s="114">
        <v>0.0012258732410159825</v>
      </c>
      <c r="D1398" s="112" t="s">
        <v>2049</v>
      </c>
      <c r="E1398" s="112" t="b">
        <v>0</v>
      </c>
      <c r="F1398" s="112" t="b">
        <v>0</v>
      </c>
      <c r="G1398" s="112" t="b">
        <v>0</v>
      </c>
    </row>
    <row r="1399" spans="1:7" ht="15">
      <c r="A1399" s="112" t="s">
        <v>3231</v>
      </c>
      <c r="B1399" s="112">
        <v>2</v>
      </c>
      <c r="C1399" s="114">
        <v>0.0012258732410159825</v>
      </c>
      <c r="D1399" s="112" t="s">
        <v>2049</v>
      </c>
      <c r="E1399" s="112" t="b">
        <v>0</v>
      </c>
      <c r="F1399" s="112" t="b">
        <v>0</v>
      </c>
      <c r="G1399" s="112" t="b">
        <v>0</v>
      </c>
    </row>
    <row r="1400" spans="1:7" ht="15">
      <c r="A1400" s="112" t="s">
        <v>3236</v>
      </c>
      <c r="B1400" s="112">
        <v>2</v>
      </c>
      <c r="C1400" s="114">
        <v>0.001476940793696534</v>
      </c>
      <c r="D1400" s="112" t="s">
        <v>2049</v>
      </c>
      <c r="E1400" s="112" t="b">
        <v>0</v>
      </c>
      <c r="F1400" s="112" t="b">
        <v>0</v>
      </c>
      <c r="G1400" s="112" t="b">
        <v>0</v>
      </c>
    </row>
    <row r="1401" spans="1:7" ht="15">
      <c r="A1401" s="112" t="s">
        <v>3237</v>
      </c>
      <c r="B1401" s="112">
        <v>2</v>
      </c>
      <c r="C1401" s="114">
        <v>0.001476940793696534</v>
      </c>
      <c r="D1401" s="112" t="s">
        <v>2049</v>
      </c>
      <c r="E1401" s="112" t="b">
        <v>0</v>
      </c>
      <c r="F1401" s="112" t="b">
        <v>0</v>
      </c>
      <c r="G1401" s="112" t="b">
        <v>0</v>
      </c>
    </row>
    <row r="1402" spans="1:7" ht="15">
      <c r="A1402" s="112" t="s">
        <v>2991</v>
      </c>
      <c r="B1402" s="112">
        <v>2</v>
      </c>
      <c r="C1402" s="114">
        <v>0.0012258732410159825</v>
      </c>
      <c r="D1402" s="112" t="s">
        <v>2049</v>
      </c>
      <c r="E1402" s="112" t="b">
        <v>0</v>
      </c>
      <c r="F1402" s="112" t="b">
        <v>0</v>
      </c>
      <c r="G1402" s="112" t="b">
        <v>0</v>
      </c>
    </row>
    <row r="1403" spans="1:7" ht="15">
      <c r="A1403" s="112" t="s">
        <v>2403</v>
      </c>
      <c r="B1403" s="112">
        <v>2</v>
      </c>
      <c r="C1403" s="114">
        <v>0.0012258732410159825</v>
      </c>
      <c r="D1403" s="112" t="s">
        <v>2049</v>
      </c>
      <c r="E1403" s="112" t="b">
        <v>0</v>
      </c>
      <c r="F1403" s="112" t="b">
        <v>0</v>
      </c>
      <c r="G1403" s="112" t="b">
        <v>0</v>
      </c>
    </row>
    <row r="1404" spans="1:7" ht="15">
      <c r="A1404" s="112" t="s">
        <v>2799</v>
      </c>
      <c r="B1404" s="112">
        <v>2</v>
      </c>
      <c r="C1404" s="114">
        <v>0.0012258732410159825</v>
      </c>
      <c r="D1404" s="112" t="s">
        <v>2049</v>
      </c>
      <c r="E1404" s="112" t="b">
        <v>0</v>
      </c>
      <c r="F1404" s="112" t="b">
        <v>0</v>
      </c>
      <c r="G1404" s="112" t="b">
        <v>0</v>
      </c>
    </row>
    <row r="1405" spans="1:7" ht="15">
      <c r="A1405" s="112" t="s">
        <v>3007</v>
      </c>
      <c r="B1405" s="112">
        <v>2</v>
      </c>
      <c r="C1405" s="114">
        <v>0.0012258732410159825</v>
      </c>
      <c r="D1405" s="112" t="s">
        <v>2049</v>
      </c>
      <c r="E1405" s="112" t="b">
        <v>0</v>
      </c>
      <c r="F1405" s="112" t="b">
        <v>0</v>
      </c>
      <c r="G1405" s="112" t="b">
        <v>0</v>
      </c>
    </row>
    <row r="1406" spans="1:7" ht="15">
      <c r="A1406" s="112" t="s">
        <v>3235</v>
      </c>
      <c r="B1406" s="112">
        <v>2</v>
      </c>
      <c r="C1406" s="114">
        <v>0.001476940793696534</v>
      </c>
      <c r="D1406" s="112" t="s">
        <v>2049</v>
      </c>
      <c r="E1406" s="112" t="b">
        <v>0</v>
      </c>
      <c r="F1406" s="112" t="b">
        <v>0</v>
      </c>
      <c r="G1406" s="112" t="b">
        <v>0</v>
      </c>
    </row>
    <row r="1407" spans="1:7" ht="15">
      <c r="A1407" s="112" t="s">
        <v>2143</v>
      </c>
      <c r="B1407" s="112">
        <v>2</v>
      </c>
      <c r="C1407" s="114">
        <v>0.0012258732410159825</v>
      </c>
      <c r="D1407" s="112" t="s">
        <v>2049</v>
      </c>
      <c r="E1407" s="112" t="b">
        <v>0</v>
      </c>
      <c r="F1407" s="112" t="b">
        <v>0</v>
      </c>
      <c r="G1407" s="112" t="b">
        <v>0</v>
      </c>
    </row>
    <row r="1408" spans="1:7" ht="15">
      <c r="A1408" s="112" t="s">
        <v>2981</v>
      </c>
      <c r="B1408" s="112">
        <v>2</v>
      </c>
      <c r="C1408" s="114">
        <v>0.001476940793696534</v>
      </c>
      <c r="D1408" s="112" t="s">
        <v>2049</v>
      </c>
      <c r="E1408" s="112" t="b">
        <v>0</v>
      </c>
      <c r="F1408" s="112" t="b">
        <v>0</v>
      </c>
      <c r="G1408" s="112" t="b">
        <v>0</v>
      </c>
    </row>
    <row r="1409" spans="1:7" ht="15">
      <c r="A1409" s="112" t="s">
        <v>2982</v>
      </c>
      <c r="B1409" s="112">
        <v>2</v>
      </c>
      <c r="C1409" s="114">
        <v>0.001476940793696534</v>
      </c>
      <c r="D1409" s="112" t="s">
        <v>2049</v>
      </c>
      <c r="E1409" s="112" t="b">
        <v>0</v>
      </c>
      <c r="F1409" s="112" t="b">
        <v>0</v>
      </c>
      <c r="G1409" s="112" t="b">
        <v>0</v>
      </c>
    </row>
    <row r="1410" spans="1:7" ht="15">
      <c r="A1410" s="112" t="s">
        <v>2577</v>
      </c>
      <c r="B1410" s="112">
        <v>2</v>
      </c>
      <c r="C1410" s="114">
        <v>0.0012258732410159825</v>
      </c>
      <c r="D1410" s="112" t="s">
        <v>2049</v>
      </c>
      <c r="E1410" s="112" t="b">
        <v>0</v>
      </c>
      <c r="F1410" s="112" t="b">
        <v>0</v>
      </c>
      <c r="G1410" s="112" t="b">
        <v>0</v>
      </c>
    </row>
    <row r="1411" spans="1:7" ht="15">
      <c r="A1411" s="112" t="s">
        <v>3009</v>
      </c>
      <c r="B1411" s="112">
        <v>2</v>
      </c>
      <c r="C1411" s="114">
        <v>0.0012258732410159825</v>
      </c>
      <c r="D1411" s="112" t="s">
        <v>2049</v>
      </c>
      <c r="E1411" s="112" t="b">
        <v>0</v>
      </c>
      <c r="F1411" s="112" t="b">
        <v>0</v>
      </c>
      <c r="G1411" s="112" t="b">
        <v>0</v>
      </c>
    </row>
    <row r="1412" spans="1:7" ht="15">
      <c r="A1412" s="112" t="s">
        <v>3014</v>
      </c>
      <c r="B1412" s="112">
        <v>2</v>
      </c>
      <c r="C1412" s="114">
        <v>0.0012258732410159825</v>
      </c>
      <c r="D1412" s="112" t="s">
        <v>2049</v>
      </c>
      <c r="E1412" s="112" t="b">
        <v>0</v>
      </c>
      <c r="F1412" s="112" t="b">
        <v>0</v>
      </c>
      <c r="G1412" s="112" t="b">
        <v>0</v>
      </c>
    </row>
    <row r="1413" spans="1:7" ht="15">
      <c r="A1413" s="112" t="s">
        <v>3015</v>
      </c>
      <c r="B1413" s="112">
        <v>2</v>
      </c>
      <c r="C1413" s="114">
        <v>0.0012258732410159825</v>
      </c>
      <c r="D1413" s="112" t="s">
        <v>2049</v>
      </c>
      <c r="E1413" s="112" t="b">
        <v>0</v>
      </c>
      <c r="F1413" s="112" t="b">
        <v>0</v>
      </c>
      <c r="G1413" s="112" t="b">
        <v>0</v>
      </c>
    </row>
    <row r="1414" spans="1:7" ht="15">
      <c r="A1414" s="112" t="s">
        <v>3233</v>
      </c>
      <c r="B1414" s="112">
        <v>2</v>
      </c>
      <c r="C1414" s="114">
        <v>0.001476940793696534</v>
      </c>
      <c r="D1414" s="112" t="s">
        <v>2049</v>
      </c>
      <c r="E1414" s="112" t="b">
        <v>0</v>
      </c>
      <c r="F1414" s="112" t="b">
        <v>0</v>
      </c>
      <c r="G1414" s="112" t="b">
        <v>0</v>
      </c>
    </row>
    <row r="1415" spans="1:7" ht="15">
      <c r="A1415" s="112" t="s">
        <v>2710</v>
      </c>
      <c r="B1415" s="112">
        <v>2</v>
      </c>
      <c r="C1415" s="114">
        <v>0.0012258732410159825</v>
      </c>
      <c r="D1415" s="112" t="s">
        <v>2049</v>
      </c>
      <c r="E1415" s="112" t="b">
        <v>0</v>
      </c>
      <c r="F1415" s="112" t="b">
        <v>0</v>
      </c>
      <c r="G1415" s="112" t="b">
        <v>0</v>
      </c>
    </row>
    <row r="1416" spans="1:7" ht="15">
      <c r="A1416" s="112" t="s">
        <v>2767</v>
      </c>
      <c r="B1416" s="112">
        <v>2</v>
      </c>
      <c r="C1416" s="114">
        <v>0.0012258732410159825</v>
      </c>
      <c r="D1416" s="112" t="s">
        <v>2049</v>
      </c>
      <c r="E1416" s="112" t="b">
        <v>0</v>
      </c>
      <c r="F1416" s="112" t="b">
        <v>0</v>
      </c>
      <c r="G1416" s="112" t="b">
        <v>0</v>
      </c>
    </row>
    <row r="1417" spans="1:7" ht="15">
      <c r="A1417" s="112" t="s">
        <v>2758</v>
      </c>
      <c r="B1417" s="112">
        <v>2</v>
      </c>
      <c r="C1417" s="114">
        <v>0.001476940793696534</v>
      </c>
      <c r="D1417" s="112" t="s">
        <v>2049</v>
      </c>
      <c r="E1417" s="112" t="b">
        <v>0</v>
      </c>
      <c r="F1417" s="112" t="b">
        <v>0</v>
      </c>
      <c r="G1417" s="112" t="b">
        <v>0</v>
      </c>
    </row>
    <row r="1418" spans="1:7" ht="15">
      <c r="A1418" s="112" t="s">
        <v>2757</v>
      </c>
      <c r="B1418" s="112">
        <v>2</v>
      </c>
      <c r="C1418" s="114">
        <v>0.001476940793696534</v>
      </c>
      <c r="D1418" s="112" t="s">
        <v>2049</v>
      </c>
      <c r="E1418" s="112" t="b">
        <v>0</v>
      </c>
      <c r="F1418" s="112" t="b">
        <v>0</v>
      </c>
      <c r="G1418" s="112" t="b">
        <v>0</v>
      </c>
    </row>
    <row r="1419" spans="1:7" ht="15">
      <c r="A1419" s="112" t="s">
        <v>2579</v>
      </c>
      <c r="B1419" s="112">
        <v>2</v>
      </c>
      <c r="C1419" s="114">
        <v>0.0012258732410159825</v>
      </c>
      <c r="D1419" s="112" t="s">
        <v>2049</v>
      </c>
      <c r="E1419" s="112" t="b">
        <v>0</v>
      </c>
      <c r="F1419" s="112" t="b">
        <v>1</v>
      </c>
      <c r="G1419" s="112" t="b">
        <v>0</v>
      </c>
    </row>
    <row r="1420" spans="1:7" ht="15">
      <c r="A1420" s="112" t="s">
        <v>3021</v>
      </c>
      <c r="B1420" s="112">
        <v>2</v>
      </c>
      <c r="C1420" s="114">
        <v>0.0012258732410159825</v>
      </c>
      <c r="D1420" s="112" t="s">
        <v>2049</v>
      </c>
      <c r="E1420" s="112" t="b">
        <v>0</v>
      </c>
      <c r="F1420" s="112" t="b">
        <v>0</v>
      </c>
      <c r="G1420" s="112" t="b">
        <v>0</v>
      </c>
    </row>
    <row r="1421" spans="1:7" ht="15">
      <c r="A1421" s="112" t="s">
        <v>3224</v>
      </c>
      <c r="B1421" s="112">
        <v>2</v>
      </c>
      <c r="C1421" s="114">
        <v>0.0012258732410159825</v>
      </c>
      <c r="D1421" s="112" t="s">
        <v>2049</v>
      </c>
      <c r="E1421" s="112" t="b">
        <v>0</v>
      </c>
      <c r="F1421" s="112" t="b">
        <v>0</v>
      </c>
      <c r="G1421" s="112" t="b">
        <v>0</v>
      </c>
    </row>
    <row r="1422" spans="1:7" ht="15">
      <c r="A1422" s="112" t="s">
        <v>2996</v>
      </c>
      <c r="B1422" s="112">
        <v>2</v>
      </c>
      <c r="C1422" s="114">
        <v>0.0012258732410159825</v>
      </c>
      <c r="D1422" s="112" t="s">
        <v>2049</v>
      </c>
      <c r="E1422" s="112" t="b">
        <v>0</v>
      </c>
      <c r="F1422" s="112" t="b">
        <v>0</v>
      </c>
      <c r="G1422" s="112" t="b">
        <v>0</v>
      </c>
    </row>
    <row r="1423" spans="1:7" ht="15">
      <c r="A1423" s="112" t="s">
        <v>2576</v>
      </c>
      <c r="B1423" s="112">
        <v>2</v>
      </c>
      <c r="C1423" s="114">
        <v>0.0012258732410159825</v>
      </c>
      <c r="D1423" s="112" t="s">
        <v>2049</v>
      </c>
      <c r="E1423" s="112" t="b">
        <v>0</v>
      </c>
      <c r="F1423" s="112" t="b">
        <v>0</v>
      </c>
      <c r="G1423" s="112" t="b">
        <v>0</v>
      </c>
    </row>
    <row r="1424" spans="1:7" ht="15">
      <c r="A1424" s="112" t="s">
        <v>2631</v>
      </c>
      <c r="B1424" s="112">
        <v>2</v>
      </c>
      <c r="C1424" s="114">
        <v>0.001476940793696534</v>
      </c>
      <c r="D1424" s="112" t="s">
        <v>2049</v>
      </c>
      <c r="E1424" s="112" t="b">
        <v>0</v>
      </c>
      <c r="F1424" s="112" t="b">
        <v>0</v>
      </c>
      <c r="G1424" s="112" t="b">
        <v>0</v>
      </c>
    </row>
    <row r="1425" spans="1:7" ht="15">
      <c r="A1425" s="112" t="s">
        <v>2685</v>
      </c>
      <c r="B1425" s="112">
        <v>2</v>
      </c>
      <c r="C1425" s="114">
        <v>0.0012258732410159825</v>
      </c>
      <c r="D1425" s="112" t="s">
        <v>2049</v>
      </c>
      <c r="E1425" s="112" t="b">
        <v>0</v>
      </c>
      <c r="F1425" s="112" t="b">
        <v>0</v>
      </c>
      <c r="G1425" s="112" t="b">
        <v>0</v>
      </c>
    </row>
    <row r="1426" spans="1:7" ht="15">
      <c r="A1426" s="112" t="s">
        <v>3226</v>
      </c>
      <c r="B1426" s="112">
        <v>2</v>
      </c>
      <c r="C1426" s="114">
        <v>0.001476940793696534</v>
      </c>
      <c r="D1426" s="112" t="s">
        <v>2049</v>
      </c>
      <c r="E1426" s="112" t="b">
        <v>0</v>
      </c>
      <c r="F1426" s="112" t="b">
        <v>0</v>
      </c>
      <c r="G1426" s="112" t="b">
        <v>0</v>
      </c>
    </row>
    <row r="1427" spans="1:7" ht="15">
      <c r="A1427" s="112" t="s">
        <v>2787</v>
      </c>
      <c r="B1427" s="112">
        <v>2</v>
      </c>
      <c r="C1427" s="114">
        <v>0.001476940793696534</v>
      </c>
      <c r="D1427" s="112" t="s">
        <v>2049</v>
      </c>
      <c r="E1427" s="112" t="b">
        <v>0</v>
      </c>
      <c r="F1427" s="112" t="b">
        <v>0</v>
      </c>
      <c r="G1427" s="112" t="b">
        <v>0</v>
      </c>
    </row>
    <row r="1428" spans="1:7" ht="15">
      <c r="A1428" s="112" t="s">
        <v>3227</v>
      </c>
      <c r="B1428" s="112">
        <v>2</v>
      </c>
      <c r="C1428" s="114">
        <v>0.001476940793696534</v>
      </c>
      <c r="D1428" s="112" t="s">
        <v>2049</v>
      </c>
      <c r="E1428" s="112" t="b">
        <v>0</v>
      </c>
      <c r="F1428" s="112" t="b">
        <v>0</v>
      </c>
      <c r="G1428" s="112" t="b">
        <v>0</v>
      </c>
    </row>
    <row r="1429" spans="1:7" ht="15">
      <c r="A1429" s="112" t="s">
        <v>3208</v>
      </c>
      <c r="B1429" s="112">
        <v>2</v>
      </c>
      <c r="C1429" s="114">
        <v>0.0012258732410159825</v>
      </c>
      <c r="D1429" s="112" t="s">
        <v>2049</v>
      </c>
      <c r="E1429" s="112" t="b">
        <v>0</v>
      </c>
      <c r="F1429" s="112" t="b">
        <v>0</v>
      </c>
      <c r="G1429" s="112" t="b">
        <v>0</v>
      </c>
    </row>
    <row r="1430" spans="1:7" ht="15">
      <c r="A1430" s="112" t="s">
        <v>2181</v>
      </c>
      <c r="B1430" s="112">
        <v>2</v>
      </c>
      <c r="C1430" s="114">
        <v>0.0012258732410159825</v>
      </c>
      <c r="D1430" s="112" t="s">
        <v>2049</v>
      </c>
      <c r="E1430" s="112" t="b">
        <v>1</v>
      </c>
      <c r="F1430" s="112" t="b">
        <v>0</v>
      </c>
      <c r="G1430" s="112" t="b">
        <v>0</v>
      </c>
    </row>
    <row r="1431" spans="1:7" ht="15">
      <c r="A1431" s="112" t="s">
        <v>2756</v>
      </c>
      <c r="B1431" s="112">
        <v>2</v>
      </c>
      <c r="C1431" s="114">
        <v>0.0012258732410159825</v>
      </c>
      <c r="D1431" s="112" t="s">
        <v>2049</v>
      </c>
      <c r="E1431" s="112" t="b">
        <v>0</v>
      </c>
      <c r="F1431" s="112" t="b">
        <v>0</v>
      </c>
      <c r="G1431" s="112" t="b">
        <v>0</v>
      </c>
    </row>
    <row r="1432" spans="1:7" ht="15">
      <c r="A1432" s="112" t="s">
        <v>2712</v>
      </c>
      <c r="B1432" s="112">
        <v>2</v>
      </c>
      <c r="C1432" s="114">
        <v>0.0012258732410159825</v>
      </c>
      <c r="D1432" s="112" t="s">
        <v>2049</v>
      </c>
      <c r="E1432" s="112" t="b">
        <v>0</v>
      </c>
      <c r="F1432" s="112" t="b">
        <v>0</v>
      </c>
      <c r="G1432" s="112" t="b">
        <v>0</v>
      </c>
    </row>
    <row r="1433" spans="1:7" ht="15">
      <c r="A1433" s="112" t="s">
        <v>3225</v>
      </c>
      <c r="B1433" s="112">
        <v>2</v>
      </c>
      <c r="C1433" s="114">
        <v>0.001476940793696534</v>
      </c>
      <c r="D1433" s="112" t="s">
        <v>2049</v>
      </c>
      <c r="E1433" s="112" t="b">
        <v>0</v>
      </c>
      <c r="F1433" s="112" t="b">
        <v>0</v>
      </c>
      <c r="G1433" s="112" t="b">
        <v>0</v>
      </c>
    </row>
    <row r="1434" spans="1:7" ht="15">
      <c r="A1434" s="112" t="s">
        <v>3215</v>
      </c>
      <c r="B1434" s="112">
        <v>2</v>
      </c>
      <c r="C1434" s="114">
        <v>0.0012258732410159825</v>
      </c>
      <c r="D1434" s="112" t="s">
        <v>2049</v>
      </c>
      <c r="E1434" s="112" t="b">
        <v>0</v>
      </c>
      <c r="F1434" s="112" t="b">
        <v>0</v>
      </c>
      <c r="G1434" s="112" t="b">
        <v>0</v>
      </c>
    </row>
    <row r="1435" spans="1:7" ht="15">
      <c r="A1435" s="112" t="s">
        <v>3217</v>
      </c>
      <c r="B1435" s="112">
        <v>2</v>
      </c>
      <c r="C1435" s="114">
        <v>0.0012258732410159825</v>
      </c>
      <c r="D1435" s="112" t="s">
        <v>2049</v>
      </c>
      <c r="E1435" s="112" t="b">
        <v>0</v>
      </c>
      <c r="F1435" s="112" t="b">
        <v>0</v>
      </c>
      <c r="G1435" s="112" t="b">
        <v>0</v>
      </c>
    </row>
    <row r="1436" spans="1:7" ht="15">
      <c r="A1436" s="112" t="s">
        <v>3210</v>
      </c>
      <c r="B1436" s="112">
        <v>2</v>
      </c>
      <c r="C1436" s="114">
        <v>0.0012258732410159825</v>
      </c>
      <c r="D1436" s="112" t="s">
        <v>2049</v>
      </c>
      <c r="E1436" s="112" t="b">
        <v>0</v>
      </c>
      <c r="F1436" s="112" t="b">
        <v>0</v>
      </c>
      <c r="G1436" s="112" t="b">
        <v>0</v>
      </c>
    </row>
    <row r="1437" spans="1:7" ht="15">
      <c r="A1437" s="112" t="s">
        <v>3209</v>
      </c>
      <c r="B1437" s="112">
        <v>2</v>
      </c>
      <c r="C1437" s="114">
        <v>0.0012258732410159825</v>
      </c>
      <c r="D1437" s="112" t="s">
        <v>2049</v>
      </c>
      <c r="E1437" s="112" t="b">
        <v>0</v>
      </c>
      <c r="F1437" s="112" t="b">
        <v>0</v>
      </c>
      <c r="G1437" s="112" t="b">
        <v>0</v>
      </c>
    </row>
    <row r="1438" spans="1:7" ht="15">
      <c r="A1438" s="112" t="s">
        <v>2427</v>
      </c>
      <c r="B1438" s="112">
        <v>2</v>
      </c>
      <c r="C1438" s="114">
        <v>0.001476940793696534</v>
      </c>
      <c r="D1438" s="112" t="s">
        <v>2049</v>
      </c>
      <c r="E1438" s="112" t="b">
        <v>0</v>
      </c>
      <c r="F1438" s="112" t="b">
        <v>0</v>
      </c>
      <c r="G1438" s="112" t="b">
        <v>0</v>
      </c>
    </row>
    <row r="1439" spans="1:7" ht="15">
      <c r="A1439" s="112" t="s">
        <v>2609</v>
      </c>
      <c r="B1439" s="112">
        <v>2</v>
      </c>
      <c r="C1439" s="114">
        <v>0.001476940793696534</v>
      </c>
      <c r="D1439" s="112" t="s">
        <v>2049</v>
      </c>
      <c r="E1439" s="112" t="b">
        <v>0</v>
      </c>
      <c r="F1439" s="112" t="b">
        <v>0</v>
      </c>
      <c r="G1439" s="112" t="b">
        <v>0</v>
      </c>
    </row>
    <row r="1440" spans="1:7" ht="15">
      <c r="A1440" s="112" t="s">
        <v>2610</v>
      </c>
      <c r="B1440" s="112">
        <v>2</v>
      </c>
      <c r="C1440" s="114">
        <v>0.001476940793696534</v>
      </c>
      <c r="D1440" s="112" t="s">
        <v>2049</v>
      </c>
      <c r="E1440" s="112" t="b">
        <v>0</v>
      </c>
      <c r="F1440" s="112" t="b">
        <v>0</v>
      </c>
      <c r="G1440" s="112" t="b">
        <v>0</v>
      </c>
    </row>
    <row r="1441" spans="1:7" ht="15">
      <c r="A1441" s="112" t="s">
        <v>2326</v>
      </c>
      <c r="B1441" s="112">
        <v>2</v>
      </c>
      <c r="C1441" s="114">
        <v>0.0012258732410159825</v>
      </c>
      <c r="D1441" s="112" t="s">
        <v>2049</v>
      </c>
      <c r="E1441" s="112" t="b">
        <v>0</v>
      </c>
      <c r="F1441" s="112" t="b">
        <v>0</v>
      </c>
      <c r="G1441" s="112" t="b">
        <v>0</v>
      </c>
    </row>
    <row r="1442" spans="1:7" ht="15">
      <c r="A1442" s="112" t="s">
        <v>2543</v>
      </c>
      <c r="B1442" s="112">
        <v>2</v>
      </c>
      <c r="C1442" s="114">
        <v>0.0012258732410159825</v>
      </c>
      <c r="D1442" s="112" t="s">
        <v>2049</v>
      </c>
      <c r="E1442" s="112" t="b">
        <v>0</v>
      </c>
      <c r="F1442" s="112" t="b">
        <v>0</v>
      </c>
      <c r="G1442" s="112" t="b">
        <v>0</v>
      </c>
    </row>
    <row r="1443" spans="1:7" ht="15">
      <c r="A1443" s="112" t="s">
        <v>2453</v>
      </c>
      <c r="B1443" s="112">
        <v>2</v>
      </c>
      <c r="C1443" s="114">
        <v>0.0012258732410159825</v>
      </c>
      <c r="D1443" s="112" t="s">
        <v>2049</v>
      </c>
      <c r="E1443" s="112" t="b">
        <v>1</v>
      </c>
      <c r="F1443" s="112" t="b">
        <v>0</v>
      </c>
      <c r="G1443" s="112" t="b">
        <v>0</v>
      </c>
    </row>
    <row r="1444" spans="1:7" ht="15">
      <c r="A1444" s="112" t="s">
        <v>2454</v>
      </c>
      <c r="B1444" s="112">
        <v>2</v>
      </c>
      <c r="C1444" s="114">
        <v>0.0012258732410159825</v>
      </c>
      <c r="D1444" s="112" t="s">
        <v>2049</v>
      </c>
      <c r="E1444" s="112" t="b">
        <v>0</v>
      </c>
      <c r="F1444" s="112" t="b">
        <v>0</v>
      </c>
      <c r="G1444" s="112" t="b">
        <v>0</v>
      </c>
    </row>
    <row r="1445" spans="1:7" ht="15">
      <c r="A1445" s="112" t="s">
        <v>2688</v>
      </c>
      <c r="B1445" s="112">
        <v>2</v>
      </c>
      <c r="C1445" s="114">
        <v>0.001476940793696534</v>
      </c>
      <c r="D1445" s="112" t="s">
        <v>2049</v>
      </c>
      <c r="E1445" s="112" t="b">
        <v>0</v>
      </c>
      <c r="F1445" s="112" t="b">
        <v>0</v>
      </c>
      <c r="G1445" s="112" t="b">
        <v>0</v>
      </c>
    </row>
    <row r="1446" spans="1:7" ht="15">
      <c r="A1446" s="112" t="s">
        <v>2416</v>
      </c>
      <c r="B1446" s="112">
        <v>2</v>
      </c>
      <c r="C1446" s="114">
        <v>0.001476940793696534</v>
      </c>
      <c r="D1446" s="112" t="s">
        <v>2049</v>
      </c>
      <c r="E1446" s="112" t="b">
        <v>0</v>
      </c>
      <c r="F1446" s="112" t="b">
        <v>0</v>
      </c>
      <c r="G1446" s="112" t="b">
        <v>0</v>
      </c>
    </row>
    <row r="1447" spans="1:7" ht="15">
      <c r="A1447" s="112" t="s">
        <v>2607</v>
      </c>
      <c r="B1447" s="112">
        <v>2</v>
      </c>
      <c r="C1447" s="114">
        <v>0.001476940793696534</v>
      </c>
      <c r="D1447" s="112" t="s">
        <v>2049</v>
      </c>
      <c r="E1447" s="112" t="b">
        <v>0</v>
      </c>
      <c r="F1447" s="112" t="b">
        <v>0</v>
      </c>
      <c r="G1447" s="112" t="b">
        <v>0</v>
      </c>
    </row>
    <row r="1448" spans="1:7" ht="15">
      <c r="A1448" s="112" t="s">
        <v>2204</v>
      </c>
      <c r="B1448" s="112">
        <v>2</v>
      </c>
      <c r="C1448" s="114">
        <v>0.0012258732410159825</v>
      </c>
      <c r="D1448" s="112" t="s">
        <v>2049</v>
      </c>
      <c r="E1448" s="112" t="b">
        <v>0</v>
      </c>
      <c r="F1448" s="112" t="b">
        <v>0</v>
      </c>
      <c r="G1448" s="112" t="b">
        <v>0</v>
      </c>
    </row>
    <row r="1449" spans="1:7" ht="15">
      <c r="A1449" s="112" t="s">
        <v>2495</v>
      </c>
      <c r="B1449" s="112">
        <v>2</v>
      </c>
      <c r="C1449" s="114">
        <v>0.001476940793696534</v>
      </c>
      <c r="D1449" s="112" t="s">
        <v>2049</v>
      </c>
      <c r="E1449" s="112" t="b">
        <v>1</v>
      </c>
      <c r="F1449" s="112" t="b">
        <v>0</v>
      </c>
      <c r="G1449" s="112" t="b">
        <v>0</v>
      </c>
    </row>
    <row r="1450" spans="1:7" ht="15">
      <c r="A1450" s="112" t="s">
        <v>2566</v>
      </c>
      <c r="B1450" s="112">
        <v>2</v>
      </c>
      <c r="C1450" s="114">
        <v>0.0012258732410159825</v>
      </c>
      <c r="D1450" s="112" t="s">
        <v>2049</v>
      </c>
      <c r="E1450" s="112" t="b">
        <v>0</v>
      </c>
      <c r="F1450" s="112" t="b">
        <v>0</v>
      </c>
      <c r="G1450" s="112" t="b">
        <v>0</v>
      </c>
    </row>
    <row r="1451" spans="1:7" ht="15">
      <c r="A1451" s="112" t="s">
        <v>2374</v>
      </c>
      <c r="B1451" s="112">
        <v>2</v>
      </c>
      <c r="C1451" s="114">
        <v>0.001476940793696534</v>
      </c>
      <c r="D1451" s="112" t="s">
        <v>2049</v>
      </c>
      <c r="E1451" s="112" t="b">
        <v>0</v>
      </c>
      <c r="F1451" s="112" t="b">
        <v>0</v>
      </c>
      <c r="G1451" s="112" t="b">
        <v>0</v>
      </c>
    </row>
    <row r="1452" spans="1:7" ht="15">
      <c r="A1452" s="112" t="s">
        <v>2717</v>
      </c>
      <c r="B1452" s="112">
        <v>2</v>
      </c>
      <c r="C1452" s="114">
        <v>0.0012258732410159825</v>
      </c>
      <c r="D1452" s="112" t="s">
        <v>2049</v>
      </c>
      <c r="E1452" s="112" t="b">
        <v>0</v>
      </c>
      <c r="F1452" s="112" t="b">
        <v>0</v>
      </c>
      <c r="G1452" s="112" t="b">
        <v>0</v>
      </c>
    </row>
    <row r="1453" spans="1:7" ht="15">
      <c r="A1453" s="112" t="s">
        <v>3218</v>
      </c>
      <c r="B1453" s="112">
        <v>2</v>
      </c>
      <c r="C1453" s="114">
        <v>0.001476940793696534</v>
      </c>
      <c r="D1453" s="112" t="s">
        <v>2049</v>
      </c>
      <c r="E1453" s="112" t="b">
        <v>0</v>
      </c>
      <c r="F1453" s="112" t="b">
        <v>0</v>
      </c>
      <c r="G1453" s="112" t="b">
        <v>0</v>
      </c>
    </row>
    <row r="1454" spans="1:7" ht="15">
      <c r="A1454" s="112" t="s">
        <v>3220</v>
      </c>
      <c r="B1454" s="112">
        <v>2</v>
      </c>
      <c r="C1454" s="114">
        <v>0.001476940793696534</v>
      </c>
      <c r="D1454" s="112" t="s">
        <v>2049</v>
      </c>
      <c r="E1454" s="112" t="b">
        <v>0</v>
      </c>
      <c r="F1454" s="112" t="b">
        <v>0</v>
      </c>
      <c r="G1454" s="112" t="b">
        <v>0</v>
      </c>
    </row>
    <row r="1455" spans="1:7" ht="15">
      <c r="A1455" s="112" t="s">
        <v>2459</v>
      </c>
      <c r="B1455" s="112">
        <v>2</v>
      </c>
      <c r="C1455" s="114">
        <v>0.0012258732410159825</v>
      </c>
      <c r="D1455" s="112" t="s">
        <v>2049</v>
      </c>
      <c r="E1455" s="112" t="b">
        <v>0</v>
      </c>
      <c r="F1455" s="112" t="b">
        <v>0</v>
      </c>
      <c r="G1455" s="112" t="b">
        <v>0</v>
      </c>
    </row>
    <row r="1456" spans="1:7" ht="15">
      <c r="A1456" s="112" t="s">
        <v>2365</v>
      </c>
      <c r="B1456" s="112">
        <v>2</v>
      </c>
      <c r="C1456" s="114">
        <v>0.0012258732410159825</v>
      </c>
      <c r="D1456" s="112" t="s">
        <v>2049</v>
      </c>
      <c r="E1456" s="112" t="b">
        <v>0</v>
      </c>
      <c r="F1456" s="112" t="b">
        <v>0</v>
      </c>
      <c r="G1456" s="112" t="b">
        <v>0</v>
      </c>
    </row>
    <row r="1457" spans="1:7" ht="15">
      <c r="A1457" s="112" t="s">
        <v>2725</v>
      </c>
      <c r="B1457" s="112">
        <v>2</v>
      </c>
      <c r="C1457" s="114">
        <v>0.0012258732410159825</v>
      </c>
      <c r="D1457" s="112" t="s">
        <v>2049</v>
      </c>
      <c r="E1457" s="112" t="b">
        <v>0</v>
      </c>
      <c r="F1457" s="112" t="b">
        <v>0</v>
      </c>
      <c r="G1457" s="112" t="b">
        <v>0</v>
      </c>
    </row>
    <row r="1458" spans="1:7" ht="15">
      <c r="A1458" s="112" t="s">
        <v>3033</v>
      </c>
      <c r="B1458" s="112">
        <v>2</v>
      </c>
      <c r="C1458" s="114">
        <v>0.0012258732410159825</v>
      </c>
      <c r="D1458" s="112" t="s">
        <v>2049</v>
      </c>
      <c r="E1458" s="112" t="b">
        <v>0</v>
      </c>
      <c r="F1458" s="112" t="b">
        <v>0</v>
      </c>
      <c r="G1458" s="112" t="b">
        <v>0</v>
      </c>
    </row>
    <row r="1459" spans="1:7" ht="15">
      <c r="A1459" s="112" t="s">
        <v>3216</v>
      </c>
      <c r="B1459" s="112">
        <v>2</v>
      </c>
      <c r="C1459" s="114">
        <v>0.001476940793696534</v>
      </c>
      <c r="D1459" s="112" t="s">
        <v>2049</v>
      </c>
      <c r="E1459" s="112" t="b">
        <v>0</v>
      </c>
      <c r="F1459" s="112" t="b">
        <v>0</v>
      </c>
      <c r="G1459" s="112" t="b">
        <v>0</v>
      </c>
    </row>
    <row r="1460" spans="1:7" ht="15">
      <c r="A1460" s="112" t="s">
        <v>2190</v>
      </c>
      <c r="B1460" s="112">
        <v>2</v>
      </c>
      <c r="C1460" s="114">
        <v>0.0012258732410159825</v>
      </c>
      <c r="D1460" s="112" t="s">
        <v>2049</v>
      </c>
      <c r="E1460" s="112" t="b">
        <v>0</v>
      </c>
      <c r="F1460" s="112" t="b">
        <v>0</v>
      </c>
      <c r="G1460" s="112" t="b">
        <v>0</v>
      </c>
    </row>
    <row r="1461" spans="1:7" ht="15">
      <c r="A1461" s="112" t="s">
        <v>2476</v>
      </c>
      <c r="B1461" s="112">
        <v>2</v>
      </c>
      <c r="C1461" s="114">
        <v>0.0012258732410159825</v>
      </c>
      <c r="D1461" s="112" t="s">
        <v>2049</v>
      </c>
      <c r="E1461" s="112" t="b">
        <v>0</v>
      </c>
      <c r="F1461" s="112" t="b">
        <v>0</v>
      </c>
      <c r="G1461" s="112" t="b">
        <v>0</v>
      </c>
    </row>
    <row r="1462" spans="1:7" ht="15">
      <c r="A1462" s="112" t="s">
        <v>2477</v>
      </c>
      <c r="B1462" s="112">
        <v>2</v>
      </c>
      <c r="C1462" s="114">
        <v>0.0012258732410159825</v>
      </c>
      <c r="D1462" s="112" t="s">
        <v>2049</v>
      </c>
      <c r="E1462" s="112" t="b">
        <v>0</v>
      </c>
      <c r="F1462" s="112" t="b">
        <v>0</v>
      </c>
      <c r="G1462" s="112" t="b">
        <v>0</v>
      </c>
    </row>
    <row r="1463" spans="1:7" ht="15">
      <c r="A1463" s="112" t="s">
        <v>2732</v>
      </c>
      <c r="B1463" s="112">
        <v>2</v>
      </c>
      <c r="C1463" s="114">
        <v>0.0012258732410159825</v>
      </c>
      <c r="D1463" s="112" t="s">
        <v>2049</v>
      </c>
      <c r="E1463" s="112" t="b">
        <v>0</v>
      </c>
      <c r="F1463" s="112" t="b">
        <v>0</v>
      </c>
      <c r="G1463" s="112" t="b">
        <v>0</v>
      </c>
    </row>
    <row r="1464" spans="1:7" ht="15">
      <c r="A1464" s="112" t="s">
        <v>2584</v>
      </c>
      <c r="B1464" s="112">
        <v>2</v>
      </c>
      <c r="C1464" s="114">
        <v>0.0012258732410159825</v>
      </c>
      <c r="D1464" s="112" t="s">
        <v>2049</v>
      </c>
      <c r="E1464" s="112" t="b">
        <v>0</v>
      </c>
      <c r="F1464" s="112" t="b">
        <v>0</v>
      </c>
      <c r="G1464" s="112" t="b">
        <v>0</v>
      </c>
    </row>
    <row r="1465" spans="1:7" ht="15">
      <c r="A1465" s="112" t="s">
        <v>2637</v>
      </c>
      <c r="B1465" s="112">
        <v>2</v>
      </c>
      <c r="C1465" s="114">
        <v>0.0012258732410159825</v>
      </c>
      <c r="D1465" s="112" t="s">
        <v>2049</v>
      </c>
      <c r="E1465" s="112" t="b">
        <v>0</v>
      </c>
      <c r="F1465" s="112" t="b">
        <v>0</v>
      </c>
      <c r="G1465" s="112" t="b">
        <v>0</v>
      </c>
    </row>
    <row r="1466" spans="1:7" ht="15">
      <c r="A1466" s="112" t="s">
        <v>3214</v>
      </c>
      <c r="B1466" s="112">
        <v>2</v>
      </c>
      <c r="C1466" s="114">
        <v>0.001476940793696534</v>
      </c>
      <c r="D1466" s="112" t="s">
        <v>2049</v>
      </c>
      <c r="E1466" s="112" t="b">
        <v>0</v>
      </c>
      <c r="F1466" s="112" t="b">
        <v>0</v>
      </c>
      <c r="G1466" s="112" t="b">
        <v>0</v>
      </c>
    </row>
    <row r="1467" spans="1:7" ht="15">
      <c r="A1467" s="112" t="s">
        <v>2574</v>
      </c>
      <c r="B1467" s="112">
        <v>2</v>
      </c>
      <c r="C1467" s="114">
        <v>0.0012258732410159825</v>
      </c>
      <c r="D1467" s="112" t="s">
        <v>2049</v>
      </c>
      <c r="E1467" s="112" t="b">
        <v>0</v>
      </c>
      <c r="F1467" s="112" t="b">
        <v>0</v>
      </c>
      <c r="G1467" s="112" t="b">
        <v>0</v>
      </c>
    </row>
    <row r="1468" spans="1:7" ht="15">
      <c r="A1468" s="112" t="s">
        <v>2241</v>
      </c>
      <c r="B1468" s="112">
        <v>2</v>
      </c>
      <c r="C1468" s="114">
        <v>0.0012258732410159825</v>
      </c>
      <c r="D1468" s="112" t="s">
        <v>2049</v>
      </c>
      <c r="E1468" s="112" t="b">
        <v>0</v>
      </c>
      <c r="F1468" s="112" t="b">
        <v>0</v>
      </c>
      <c r="G1468" s="112" t="b">
        <v>0</v>
      </c>
    </row>
    <row r="1469" spans="1:7" ht="15">
      <c r="A1469" s="112" t="s">
        <v>3008</v>
      </c>
      <c r="B1469" s="112">
        <v>2</v>
      </c>
      <c r="C1469" s="114">
        <v>0.0012258732410159825</v>
      </c>
      <c r="D1469" s="112" t="s">
        <v>2049</v>
      </c>
      <c r="E1469" s="112" t="b">
        <v>0</v>
      </c>
      <c r="F1469" s="112" t="b">
        <v>0</v>
      </c>
      <c r="G1469" s="112" t="b">
        <v>0</v>
      </c>
    </row>
    <row r="1470" spans="1:7" ht="15">
      <c r="A1470" s="112" t="s">
        <v>2794</v>
      </c>
      <c r="B1470" s="112">
        <v>2</v>
      </c>
      <c r="C1470" s="114">
        <v>0.001476940793696534</v>
      </c>
      <c r="D1470" s="112" t="s">
        <v>2049</v>
      </c>
      <c r="E1470" s="112" t="b">
        <v>0</v>
      </c>
      <c r="F1470" s="112" t="b">
        <v>0</v>
      </c>
      <c r="G1470" s="112" t="b">
        <v>0</v>
      </c>
    </row>
    <row r="1471" spans="1:7" ht="15">
      <c r="A1471" s="112" t="s">
        <v>2775</v>
      </c>
      <c r="B1471" s="112">
        <v>2</v>
      </c>
      <c r="C1471" s="114">
        <v>0.001476940793696534</v>
      </c>
      <c r="D1471" s="112" t="s">
        <v>2049</v>
      </c>
      <c r="E1471" s="112" t="b">
        <v>0</v>
      </c>
      <c r="F1471" s="112" t="b">
        <v>0</v>
      </c>
      <c r="G1471" s="112" t="b">
        <v>0</v>
      </c>
    </row>
    <row r="1472" spans="1:7" ht="15">
      <c r="A1472" s="112" t="s">
        <v>3203</v>
      </c>
      <c r="B1472" s="112">
        <v>2</v>
      </c>
      <c r="C1472" s="114">
        <v>0.001476940793696534</v>
      </c>
      <c r="D1472" s="112" t="s">
        <v>2049</v>
      </c>
      <c r="E1472" s="112" t="b">
        <v>0</v>
      </c>
      <c r="F1472" s="112" t="b">
        <v>0</v>
      </c>
      <c r="G1472" s="112" t="b">
        <v>0</v>
      </c>
    </row>
    <row r="1473" spans="1:7" ht="15">
      <c r="A1473" s="112" t="s">
        <v>3204</v>
      </c>
      <c r="B1473" s="112">
        <v>2</v>
      </c>
      <c r="C1473" s="114">
        <v>0.001476940793696534</v>
      </c>
      <c r="D1473" s="112" t="s">
        <v>2049</v>
      </c>
      <c r="E1473" s="112" t="b">
        <v>0</v>
      </c>
      <c r="F1473" s="112" t="b">
        <v>0</v>
      </c>
      <c r="G1473" s="112" t="b">
        <v>0</v>
      </c>
    </row>
    <row r="1474" spans="1:7" ht="15">
      <c r="A1474" s="112" t="s">
        <v>3205</v>
      </c>
      <c r="B1474" s="112">
        <v>2</v>
      </c>
      <c r="C1474" s="114">
        <v>0.001476940793696534</v>
      </c>
      <c r="D1474" s="112" t="s">
        <v>2049</v>
      </c>
      <c r="E1474" s="112" t="b">
        <v>0</v>
      </c>
      <c r="F1474" s="112" t="b">
        <v>0</v>
      </c>
      <c r="G1474" s="112" t="b">
        <v>0</v>
      </c>
    </row>
    <row r="1475" spans="1:7" ht="15">
      <c r="A1475" s="112" t="s">
        <v>2723</v>
      </c>
      <c r="B1475" s="112">
        <v>2</v>
      </c>
      <c r="C1475" s="114">
        <v>0.0012258732410159825</v>
      </c>
      <c r="D1475" s="112" t="s">
        <v>2049</v>
      </c>
      <c r="E1475" s="112" t="b">
        <v>0</v>
      </c>
      <c r="F1475" s="112" t="b">
        <v>0</v>
      </c>
      <c r="G1475" s="112" t="b">
        <v>0</v>
      </c>
    </row>
    <row r="1476" spans="1:7" ht="15">
      <c r="A1476" s="112" t="s">
        <v>2315</v>
      </c>
      <c r="B1476" s="112">
        <v>2</v>
      </c>
      <c r="C1476" s="114">
        <v>0.0012258732410159825</v>
      </c>
      <c r="D1476" s="112" t="s">
        <v>2049</v>
      </c>
      <c r="E1476" s="112" t="b">
        <v>0</v>
      </c>
      <c r="F1476" s="112" t="b">
        <v>0</v>
      </c>
      <c r="G1476" s="112" t="b">
        <v>0</v>
      </c>
    </row>
    <row r="1477" spans="1:7" ht="15">
      <c r="A1477" s="112" t="s">
        <v>2183</v>
      </c>
      <c r="B1477" s="112">
        <v>2</v>
      </c>
      <c r="C1477" s="114">
        <v>0.0012258732410159825</v>
      </c>
      <c r="D1477" s="112" t="s">
        <v>2049</v>
      </c>
      <c r="E1477" s="112" t="b">
        <v>0</v>
      </c>
      <c r="F1477" s="112" t="b">
        <v>1</v>
      </c>
      <c r="G1477" s="112" t="b">
        <v>0</v>
      </c>
    </row>
    <row r="1478" spans="1:7" ht="15">
      <c r="A1478" s="112" t="s">
        <v>2743</v>
      </c>
      <c r="B1478" s="112">
        <v>2</v>
      </c>
      <c r="C1478" s="114">
        <v>0.0012258732410159825</v>
      </c>
      <c r="D1478" s="112" t="s">
        <v>2049</v>
      </c>
      <c r="E1478" s="112" t="b">
        <v>0</v>
      </c>
      <c r="F1478" s="112" t="b">
        <v>0</v>
      </c>
      <c r="G1478" s="112" t="b">
        <v>0</v>
      </c>
    </row>
    <row r="1479" spans="1:7" ht="15">
      <c r="A1479" s="112" t="s">
        <v>2419</v>
      </c>
      <c r="B1479" s="112">
        <v>2</v>
      </c>
      <c r="C1479" s="114">
        <v>0.0012258732410159825</v>
      </c>
      <c r="D1479" s="112" t="s">
        <v>2049</v>
      </c>
      <c r="E1479" s="112" t="b">
        <v>0</v>
      </c>
      <c r="F1479" s="112" t="b">
        <v>0</v>
      </c>
      <c r="G1479" s="112" t="b">
        <v>0</v>
      </c>
    </row>
    <row r="1480" spans="1:7" ht="15">
      <c r="A1480" s="112" t="s">
        <v>2420</v>
      </c>
      <c r="B1480" s="112">
        <v>2</v>
      </c>
      <c r="C1480" s="114">
        <v>0.0012258732410159825</v>
      </c>
      <c r="D1480" s="112" t="s">
        <v>2049</v>
      </c>
      <c r="E1480" s="112" t="b">
        <v>0</v>
      </c>
      <c r="F1480" s="112" t="b">
        <v>0</v>
      </c>
      <c r="G1480" s="112" t="b">
        <v>0</v>
      </c>
    </row>
    <row r="1481" spans="1:7" ht="15">
      <c r="A1481" s="112" t="s">
        <v>2455</v>
      </c>
      <c r="B1481" s="112">
        <v>2</v>
      </c>
      <c r="C1481" s="114">
        <v>0.0012258732410159825</v>
      </c>
      <c r="D1481" s="112" t="s">
        <v>2049</v>
      </c>
      <c r="E1481" s="112" t="b">
        <v>0</v>
      </c>
      <c r="F1481" s="112" t="b">
        <v>0</v>
      </c>
      <c r="G1481" s="112" t="b">
        <v>0</v>
      </c>
    </row>
    <row r="1482" spans="1:7" ht="15">
      <c r="A1482" s="112" t="s">
        <v>2560</v>
      </c>
      <c r="B1482" s="112">
        <v>2</v>
      </c>
      <c r="C1482" s="114">
        <v>0.0012258732410159825</v>
      </c>
      <c r="D1482" s="112" t="s">
        <v>2049</v>
      </c>
      <c r="E1482" s="112" t="b">
        <v>0</v>
      </c>
      <c r="F1482" s="112" t="b">
        <v>0</v>
      </c>
      <c r="G1482" s="112" t="b">
        <v>0</v>
      </c>
    </row>
    <row r="1483" spans="1:7" ht="15">
      <c r="A1483" s="112" t="s">
        <v>2220</v>
      </c>
      <c r="B1483" s="112">
        <v>2</v>
      </c>
      <c r="C1483" s="114">
        <v>0.0012258732410159825</v>
      </c>
      <c r="D1483" s="112" t="s">
        <v>2049</v>
      </c>
      <c r="E1483" s="112" t="b">
        <v>0</v>
      </c>
      <c r="F1483" s="112" t="b">
        <v>1</v>
      </c>
      <c r="G1483" s="112" t="b">
        <v>0</v>
      </c>
    </row>
    <row r="1484" spans="1:7" ht="15">
      <c r="A1484" s="112" t="s">
        <v>2550</v>
      </c>
      <c r="B1484" s="112">
        <v>2</v>
      </c>
      <c r="C1484" s="114">
        <v>0.001476940793696534</v>
      </c>
      <c r="D1484" s="112" t="s">
        <v>2049</v>
      </c>
      <c r="E1484" s="112" t="b">
        <v>0</v>
      </c>
      <c r="F1484" s="112" t="b">
        <v>0</v>
      </c>
      <c r="G1484" s="112" t="b">
        <v>0</v>
      </c>
    </row>
    <row r="1485" spans="1:7" ht="15">
      <c r="A1485" s="112" t="s">
        <v>3094</v>
      </c>
      <c r="B1485" s="112">
        <v>2</v>
      </c>
      <c r="C1485" s="114">
        <v>0.001476940793696534</v>
      </c>
      <c r="D1485" s="112" t="s">
        <v>2049</v>
      </c>
      <c r="E1485" s="112" t="b">
        <v>0</v>
      </c>
      <c r="F1485" s="112" t="b">
        <v>0</v>
      </c>
      <c r="G1485" s="112" t="b">
        <v>0</v>
      </c>
    </row>
    <row r="1486" spans="1:7" ht="15">
      <c r="A1486" s="112" t="s">
        <v>2580</v>
      </c>
      <c r="B1486" s="112">
        <v>2</v>
      </c>
      <c r="C1486" s="114">
        <v>0.0012258732410159825</v>
      </c>
      <c r="D1486" s="112" t="s">
        <v>2049</v>
      </c>
      <c r="E1486" s="112" t="b">
        <v>0</v>
      </c>
      <c r="F1486" s="112" t="b">
        <v>0</v>
      </c>
      <c r="G1486" s="112" t="b">
        <v>0</v>
      </c>
    </row>
    <row r="1487" spans="1:7" ht="15">
      <c r="A1487" s="112" t="s">
        <v>2458</v>
      </c>
      <c r="B1487" s="112">
        <v>2</v>
      </c>
      <c r="C1487" s="114">
        <v>0.0012258732410159825</v>
      </c>
      <c r="D1487" s="112" t="s">
        <v>2049</v>
      </c>
      <c r="E1487" s="112" t="b">
        <v>0</v>
      </c>
      <c r="F1487" s="112" t="b">
        <v>0</v>
      </c>
      <c r="G1487" s="112" t="b">
        <v>0</v>
      </c>
    </row>
    <row r="1488" spans="1:7" ht="15">
      <c r="A1488" s="112" t="s">
        <v>3004</v>
      </c>
      <c r="B1488" s="112">
        <v>2</v>
      </c>
      <c r="C1488" s="114">
        <v>0.0012258732410159825</v>
      </c>
      <c r="D1488" s="112" t="s">
        <v>2049</v>
      </c>
      <c r="E1488" s="112" t="b">
        <v>0</v>
      </c>
      <c r="F1488" s="112" t="b">
        <v>0</v>
      </c>
      <c r="G1488" s="112" t="b">
        <v>0</v>
      </c>
    </row>
    <row r="1489" spans="1:7" ht="15">
      <c r="A1489" s="112" t="s">
        <v>3029</v>
      </c>
      <c r="B1489" s="112">
        <v>2</v>
      </c>
      <c r="C1489" s="114">
        <v>0.0012258732410159825</v>
      </c>
      <c r="D1489" s="112" t="s">
        <v>2049</v>
      </c>
      <c r="E1489" s="112" t="b">
        <v>0</v>
      </c>
      <c r="F1489" s="112" t="b">
        <v>0</v>
      </c>
      <c r="G1489" s="112" t="b">
        <v>0</v>
      </c>
    </row>
    <row r="1490" spans="1:7" ht="15">
      <c r="A1490" s="112" t="s">
        <v>3026</v>
      </c>
      <c r="B1490" s="112">
        <v>2</v>
      </c>
      <c r="C1490" s="114">
        <v>0.0012258732410159825</v>
      </c>
      <c r="D1490" s="112" t="s">
        <v>2049</v>
      </c>
      <c r="E1490" s="112" t="b">
        <v>0</v>
      </c>
      <c r="F1490" s="112" t="b">
        <v>0</v>
      </c>
      <c r="G1490" s="112" t="b">
        <v>0</v>
      </c>
    </row>
    <row r="1491" spans="1:7" ht="15">
      <c r="A1491" s="112" t="s">
        <v>3027</v>
      </c>
      <c r="B1491" s="112">
        <v>2</v>
      </c>
      <c r="C1491" s="114">
        <v>0.0012258732410159825</v>
      </c>
      <c r="D1491" s="112" t="s">
        <v>2049</v>
      </c>
      <c r="E1491" s="112" t="b">
        <v>0</v>
      </c>
      <c r="F1491" s="112" t="b">
        <v>0</v>
      </c>
      <c r="G1491" s="112" t="b">
        <v>0</v>
      </c>
    </row>
    <row r="1492" spans="1:7" ht="15">
      <c r="A1492" s="112" t="s">
        <v>2140</v>
      </c>
      <c r="B1492" s="112">
        <v>2</v>
      </c>
      <c r="C1492" s="114">
        <v>0.001476940793696534</v>
      </c>
      <c r="D1492" s="112" t="s">
        <v>2049</v>
      </c>
      <c r="E1492" s="112" t="b">
        <v>0</v>
      </c>
      <c r="F1492" s="112" t="b">
        <v>0</v>
      </c>
      <c r="G1492" s="112" t="b">
        <v>0</v>
      </c>
    </row>
    <row r="1493" spans="1:7" ht="15">
      <c r="A1493" s="112" t="s">
        <v>3019</v>
      </c>
      <c r="B1493" s="112">
        <v>2</v>
      </c>
      <c r="C1493" s="114">
        <v>0.0012258732410159825</v>
      </c>
      <c r="D1493" s="112" t="s">
        <v>2049</v>
      </c>
      <c r="E1493" s="112" t="b">
        <v>0</v>
      </c>
      <c r="F1493" s="112" t="b">
        <v>0</v>
      </c>
      <c r="G1493" s="112" t="b">
        <v>0</v>
      </c>
    </row>
    <row r="1494" spans="1:7" ht="15">
      <c r="A1494" s="112" t="s">
        <v>3020</v>
      </c>
      <c r="B1494" s="112">
        <v>2</v>
      </c>
      <c r="C1494" s="114">
        <v>0.0012258732410159825</v>
      </c>
      <c r="D1494" s="112" t="s">
        <v>2049</v>
      </c>
      <c r="E1494" s="112" t="b">
        <v>0</v>
      </c>
      <c r="F1494" s="112" t="b">
        <v>0</v>
      </c>
      <c r="G1494" s="112" t="b">
        <v>0</v>
      </c>
    </row>
    <row r="1495" spans="1:7" ht="15">
      <c r="A1495" s="112" t="s">
        <v>2546</v>
      </c>
      <c r="B1495" s="112">
        <v>2</v>
      </c>
      <c r="C1495" s="114">
        <v>0.0012258732410159825</v>
      </c>
      <c r="D1495" s="112" t="s">
        <v>2049</v>
      </c>
      <c r="E1495" s="112" t="b">
        <v>0</v>
      </c>
      <c r="F1495" s="112" t="b">
        <v>0</v>
      </c>
      <c r="G1495" s="112" t="b">
        <v>0</v>
      </c>
    </row>
    <row r="1496" spans="1:7" ht="15">
      <c r="A1496" s="112" t="s">
        <v>3035</v>
      </c>
      <c r="B1496" s="112">
        <v>2</v>
      </c>
      <c r="C1496" s="114">
        <v>0.001476940793696534</v>
      </c>
      <c r="D1496" s="112" t="s">
        <v>2049</v>
      </c>
      <c r="E1496" s="112" t="b">
        <v>0</v>
      </c>
      <c r="F1496" s="112" t="b">
        <v>0</v>
      </c>
      <c r="G1496" s="112" t="b">
        <v>0</v>
      </c>
    </row>
    <row r="1497" spans="1:7" ht="15">
      <c r="A1497" s="112" t="s">
        <v>2160</v>
      </c>
      <c r="B1497" s="112">
        <v>2</v>
      </c>
      <c r="C1497" s="114">
        <v>0.0012258732410159825</v>
      </c>
      <c r="D1497" s="112" t="s">
        <v>2049</v>
      </c>
      <c r="E1497" s="112" t="b">
        <v>0</v>
      </c>
      <c r="F1497" s="112" t="b">
        <v>1</v>
      </c>
      <c r="G1497" s="112" t="b">
        <v>0</v>
      </c>
    </row>
    <row r="1498" spans="1:7" ht="15">
      <c r="A1498" s="112" t="s">
        <v>3028</v>
      </c>
      <c r="B1498" s="112">
        <v>2</v>
      </c>
      <c r="C1498" s="114">
        <v>0.001476940793696534</v>
      </c>
      <c r="D1498" s="112" t="s">
        <v>2049</v>
      </c>
      <c r="E1498" s="112" t="b">
        <v>0</v>
      </c>
      <c r="F1498" s="112" t="b">
        <v>0</v>
      </c>
      <c r="G1498" s="112" t="b">
        <v>0</v>
      </c>
    </row>
    <row r="1499" spans="1:7" ht="15">
      <c r="A1499" s="112" t="s">
        <v>3030</v>
      </c>
      <c r="B1499" s="112">
        <v>2</v>
      </c>
      <c r="C1499" s="114">
        <v>0.001476940793696534</v>
      </c>
      <c r="D1499" s="112" t="s">
        <v>2049</v>
      </c>
      <c r="E1499" s="112" t="b">
        <v>0</v>
      </c>
      <c r="F1499" s="112" t="b">
        <v>0</v>
      </c>
      <c r="G1499" s="112" t="b">
        <v>0</v>
      </c>
    </row>
    <row r="1500" spans="1:7" ht="15">
      <c r="A1500" s="112" t="s">
        <v>2721</v>
      </c>
      <c r="B1500" s="112">
        <v>2</v>
      </c>
      <c r="C1500" s="114">
        <v>0.0012258732410159825</v>
      </c>
      <c r="D1500" s="112" t="s">
        <v>2049</v>
      </c>
      <c r="E1500" s="112" t="b">
        <v>0</v>
      </c>
      <c r="F1500" s="112" t="b">
        <v>0</v>
      </c>
      <c r="G1500" s="112" t="b">
        <v>0</v>
      </c>
    </row>
    <row r="1501" spans="1:7" ht="15">
      <c r="A1501" s="112" t="s">
        <v>2165</v>
      </c>
      <c r="B1501" s="112">
        <v>2</v>
      </c>
      <c r="C1501" s="114">
        <v>0.0012258732410159825</v>
      </c>
      <c r="D1501" s="112" t="s">
        <v>2049</v>
      </c>
      <c r="E1501" s="112" t="b">
        <v>0</v>
      </c>
      <c r="F1501" s="112" t="b">
        <v>0</v>
      </c>
      <c r="G1501" s="112" t="b">
        <v>0</v>
      </c>
    </row>
    <row r="1502" spans="1:7" ht="15">
      <c r="A1502" s="112" t="s">
        <v>3016</v>
      </c>
      <c r="B1502" s="112">
        <v>2</v>
      </c>
      <c r="C1502" s="114">
        <v>0.001476940793696534</v>
      </c>
      <c r="D1502" s="112" t="s">
        <v>2049</v>
      </c>
      <c r="E1502" s="112" t="b">
        <v>0</v>
      </c>
      <c r="F1502" s="112" t="b">
        <v>0</v>
      </c>
      <c r="G1502" s="112" t="b">
        <v>0</v>
      </c>
    </row>
    <row r="1503" spans="1:7" ht="15">
      <c r="A1503" s="112" t="s">
        <v>3017</v>
      </c>
      <c r="B1503" s="112">
        <v>2</v>
      </c>
      <c r="C1503" s="114">
        <v>0.001476940793696534</v>
      </c>
      <c r="D1503" s="112" t="s">
        <v>2049</v>
      </c>
      <c r="E1503" s="112" t="b">
        <v>0</v>
      </c>
      <c r="F1503" s="112" t="b">
        <v>0</v>
      </c>
      <c r="G1503" s="112" t="b">
        <v>0</v>
      </c>
    </row>
    <row r="1504" spans="1:7" ht="15">
      <c r="A1504" s="112" t="s">
        <v>3018</v>
      </c>
      <c r="B1504" s="112">
        <v>2</v>
      </c>
      <c r="C1504" s="114">
        <v>0.001476940793696534</v>
      </c>
      <c r="D1504" s="112" t="s">
        <v>2049</v>
      </c>
      <c r="E1504" s="112" t="b">
        <v>0</v>
      </c>
      <c r="F1504" s="112" t="b">
        <v>0</v>
      </c>
      <c r="G1504" s="112" t="b">
        <v>0</v>
      </c>
    </row>
    <row r="1505" spans="1:7" ht="15">
      <c r="A1505" s="112" t="s">
        <v>2993</v>
      </c>
      <c r="B1505" s="112">
        <v>2</v>
      </c>
      <c r="C1505" s="114">
        <v>0.0012258732410159825</v>
      </c>
      <c r="D1505" s="112" t="s">
        <v>2049</v>
      </c>
      <c r="E1505" s="112" t="b">
        <v>0</v>
      </c>
      <c r="F1505" s="112" t="b">
        <v>0</v>
      </c>
      <c r="G1505" s="112" t="b">
        <v>0</v>
      </c>
    </row>
    <row r="1506" spans="1:7" ht="15">
      <c r="A1506" s="112" t="s">
        <v>2998</v>
      </c>
      <c r="B1506" s="112">
        <v>2</v>
      </c>
      <c r="C1506" s="114">
        <v>0.0012258732410159825</v>
      </c>
      <c r="D1506" s="112" t="s">
        <v>2049</v>
      </c>
      <c r="E1506" s="112" t="b">
        <v>0</v>
      </c>
      <c r="F1506" s="112" t="b">
        <v>0</v>
      </c>
      <c r="G1506" s="112" t="b">
        <v>0</v>
      </c>
    </row>
    <row r="1507" spans="1:7" ht="15">
      <c r="A1507" s="112" t="s">
        <v>2997</v>
      </c>
      <c r="B1507" s="112">
        <v>2</v>
      </c>
      <c r="C1507" s="114">
        <v>0.0012258732410159825</v>
      </c>
      <c r="D1507" s="112" t="s">
        <v>2049</v>
      </c>
      <c r="E1507" s="112" t="b">
        <v>0</v>
      </c>
      <c r="F1507" s="112" t="b">
        <v>0</v>
      </c>
      <c r="G1507" s="112" t="b">
        <v>0</v>
      </c>
    </row>
    <row r="1508" spans="1:7" ht="15">
      <c r="A1508" s="112" t="s">
        <v>2446</v>
      </c>
      <c r="B1508" s="112">
        <v>2</v>
      </c>
      <c r="C1508" s="114">
        <v>0.0012258732410159825</v>
      </c>
      <c r="D1508" s="112" t="s">
        <v>2049</v>
      </c>
      <c r="E1508" s="112" t="b">
        <v>0</v>
      </c>
      <c r="F1508" s="112" t="b">
        <v>1</v>
      </c>
      <c r="G1508" s="112" t="b">
        <v>0</v>
      </c>
    </row>
    <row r="1509" spans="1:7" ht="15">
      <c r="A1509" s="112" t="s">
        <v>2244</v>
      </c>
      <c r="B1509" s="112">
        <v>2</v>
      </c>
      <c r="C1509" s="114">
        <v>0.0012258732410159825</v>
      </c>
      <c r="D1509" s="112" t="s">
        <v>2049</v>
      </c>
      <c r="E1509" s="112" t="b">
        <v>0</v>
      </c>
      <c r="F1509" s="112" t="b">
        <v>0</v>
      </c>
      <c r="G1509" s="112" t="b">
        <v>0</v>
      </c>
    </row>
    <row r="1510" spans="1:7" ht="15">
      <c r="A1510" s="112" t="s">
        <v>2349</v>
      </c>
      <c r="B1510" s="112">
        <v>2</v>
      </c>
      <c r="C1510" s="114">
        <v>0.001476940793696534</v>
      </c>
      <c r="D1510" s="112" t="s">
        <v>2049</v>
      </c>
      <c r="E1510" s="112" t="b">
        <v>0</v>
      </c>
      <c r="F1510" s="112" t="b">
        <v>1</v>
      </c>
      <c r="G1510" s="112" t="b">
        <v>0</v>
      </c>
    </row>
    <row r="1511" spans="1:7" ht="15">
      <c r="A1511" s="112" t="s">
        <v>3000</v>
      </c>
      <c r="B1511" s="112">
        <v>2</v>
      </c>
      <c r="C1511" s="114">
        <v>0.0012258732410159825</v>
      </c>
      <c r="D1511" s="112" t="s">
        <v>2049</v>
      </c>
      <c r="E1511" s="112" t="b">
        <v>0</v>
      </c>
      <c r="F1511" s="112" t="b">
        <v>0</v>
      </c>
      <c r="G1511" s="112" t="b">
        <v>0</v>
      </c>
    </row>
    <row r="1512" spans="1:7" ht="15">
      <c r="A1512" s="112" t="s">
        <v>3006</v>
      </c>
      <c r="B1512" s="112">
        <v>2</v>
      </c>
      <c r="C1512" s="114">
        <v>0.001476940793696534</v>
      </c>
      <c r="D1512" s="112" t="s">
        <v>2049</v>
      </c>
      <c r="E1512" s="112" t="b">
        <v>0</v>
      </c>
      <c r="F1512" s="112" t="b">
        <v>0</v>
      </c>
      <c r="G1512" s="112" t="b">
        <v>0</v>
      </c>
    </row>
    <row r="1513" spans="1:7" ht="15">
      <c r="A1513" s="112" t="s">
        <v>2298</v>
      </c>
      <c r="B1513" s="112">
        <v>2</v>
      </c>
      <c r="C1513" s="114">
        <v>0.0012258732410159825</v>
      </c>
      <c r="D1513" s="112" t="s">
        <v>2049</v>
      </c>
      <c r="E1513" s="112" t="b">
        <v>0</v>
      </c>
      <c r="F1513" s="112" t="b">
        <v>0</v>
      </c>
      <c r="G1513" s="112" t="b">
        <v>0</v>
      </c>
    </row>
    <row r="1514" spans="1:7" ht="15">
      <c r="A1514" s="112" t="s">
        <v>3005</v>
      </c>
      <c r="B1514" s="112">
        <v>2</v>
      </c>
      <c r="C1514" s="114">
        <v>0.001476940793696534</v>
      </c>
      <c r="D1514" s="112" t="s">
        <v>2049</v>
      </c>
      <c r="E1514" s="112" t="b">
        <v>0</v>
      </c>
      <c r="F1514" s="112" t="b">
        <v>0</v>
      </c>
      <c r="G1514" s="112" t="b">
        <v>0</v>
      </c>
    </row>
    <row r="1515" spans="1:7" ht="15">
      <c r="A1515" s="112" t="s">
        <v>2714</v>
      </c>
      <c r="B1515" s="112">
        <v>2</v>
      </c>
      <c r="C1515" s="114">
        <v>0.0012258732410159825</v>
      </c>
      <c r="D1515" s="112" t="s">
        <v>2049</v>
      </c>
      <c r="E1515" s="112" t="b">
        <v>0</v>
      </c>
      <c r="F1515" s="112" t="b">
        <v>0</v>
      </c>
      <c r="G1515" s="112" t="b">
        <v>0</v>
      </c>
    </row>
    <row r="1516" spans="1:7" ht="15">
      <c r="A1516" s="112" t="s">
        <v>2984</v>
      </c>
      <c r="B1516" s="112">
        <v>2</v>
      </c>
      <c r="C1516" s="114">
        <v>0.0012258732410159825</v>
      </c>
      <c r="D1516" s="112" t="s">
        <v>2049</v>
      </c>
      <c r="E1516" s="112" t="b">
        <v>0</v>
      </c>
      <c r="F1516" s="112" t="b">
        <v>0</v>
      </c>
      <c r="G1516" s="112" t="b">
        <v>0</v>
      </c>
    </row>
    <row r="1517" spans="1:7" ht="15">
      <c r="A1517" s="112" t="s">
        <v>2999</v>
      </c>
      <c r="B1517" s="112">
        <v>2</v>
      </c>
      <c r="C1517" s="114">
        <v>0.001476940793696534</v>
      </c>
      <c r="D1517" s="112" t="s">
        <v>2049</v>
      </c>
      <c r="E1517" s="112" t="b">
        <v>0</v>
      </c>
      <c r="F1517" s="112" t="b">
        <v>0</v>
      </c>
      <c r="G1517" s="112" t="b">
        <v>0</v>
      </c>
    </row>
    <row r="1518" spans="1:7" ht="15">
      <c r="A1518" s="112" t="s">
        <v>2989</v>
      </c>
      <c r="B1518" s="112">
        <v>2</v>
      </c>
      <c r="C1518" s="114">
        <v>0.001476940793696534</v>
      </c>
      <c r="D1518" s="112" t="s">
        <v>2049</v>
      </c>
      <c r="E1518" s="112" t="b">
        <v>0</v>
      </c>
      <c r="F1518" s="112" t="b">
        <v>0</v>
      </c>
      <c r="G1518" s="112" t="b">
        <v>0</v>
      </c>
    </row>
    <row r="1519" spans="1:7" ht="15">
      <c r="A1519" s="112" t="s">
        <v>2990</v>
      </c>
      <c r="B1519" s="112">
        <v>2</v>
      </c>
      <c r="C1519" s="114">
        <v>0.001476940793696534</v>
      </c>
      <c r="D1519" s="112" t="s">
        <v>2049</v>
      </c>
      <c r="E1519" s="112" t="b">
        <v>0</v>
      </c>
      <c r="F1519" s="112" t="b">
        <v>0</v>
      </c>
      <c r="G1519" s="112" t="b">
        <v>0</v>
      </c>
    </row>
    <row r="1520" spans="1:7" ht="15">
      <c r="A1520" s="112" t="s">
        <v>2992</v>
      </c>
      <c r="B1520" s="112">
        <v>2</v>
      </c>
      <c r="C1520" s="114">
        <v>0.001476940793696534</v>
      </c>
      <c r="D1520" s="112" t="s">
        <v>2049</v>
      </c>
      <c r="E1520" s="112" t="b">
        <v>0</v>
      </c>
      <c r="F1520" s="112" t="b">
        <v>0</v>
      </c>
      <c r="G1520" s="112" t="b">
        <v>0</v>
      </c>
    </row>
    <row r="1521" spans="1:7" ht="15">
      <c r="A1521" s="112" t="s">
        <v>2987</v>
      </c>
      <c r="B1521" s="112">
        <v>2</v>
      </c>
      <c r="C1521" s="114">
        <v>0.001476940793696534</v>
      </c>
      <c r="D1521" s="112" t="s">
        <v>2049</v>
      </c>
      <c r="E1521" s="112" t="b">
        <v>1</v>
      </c>
      <c r="F1521" s="112" t="b">
        <v>0</v>
      </c>
      <c r="G1521" s="112" t="b">
        <v>0</v>
      </c>
    </row>
    <row r="1522" spans="1:7" ht="15">
      <c r="A1522" s="112" t="s">
        <v>2988</v>
      </c>
      <c r="B1522" s="112">
        <v>2</v>
      </c>
      <c r="C1522" s="114">
        <v>0.001476940793696534</v>
      </c>
      <c r="D1522" s="112" t="s">
        <v>2049</v>
      </c>
      <c r="E1522" s="112" t="b">
        <v>0</v>
      </c>
      <c r="F1522" s="112" t="b">
        <v>0</v>
      </c>
      <c r="G1522" s="112" t="b">
        <v>0</v>
      </c>
    </row>
    <row r="1523" spans="1:7" ht="15">
      <c r="A1523" s="112" t="s">
        <v>2985</v>
      </c>
      <c r="B1523" s="112">
        <v>2</v>
      </c>
      <c r="C1523" s="114">
        <v>0.001476940793696534</v>
      </c>
      <c r="D1523" s="112" t="s">
        <v>2049</v>
      </c>
      <c r="E1523" s="112" t="b">
        <v>0</v>
      </c>
      <c r="F1523" s="112" t="b">
        <v>0</v>
      </c>
      <c r="G1523" s="112" t="b">
        <v>0</v>
      </c>
    </row>
    <row r="1524" spans="1:7" ht="15">
      <c r="A1524" s="112" t="s">
        <v>2411</v>
      </c>
      <c r="B1524" s="112">
        <v>2</v>
      </c>
      <c r="C1524" s="114">
        <v>0.001476940793696534</v>
      </c>
      <c r="D1524" s="112" t="s">
        <v>2049</v>
      </c>
      <c r="E1524" s="112" t="b">
        <v>0</v>
      </c>
      <c r="F1524" s="112" t="b">
        <v>0</v>
      </c>
      <c r="G1524" s="112" t="b">
        <v>0</v>
      </c>
    </row>
    <row r="1525" spans="1:7" ht="15">
      <c r="A1525" s="112" t="s">
        <v>2282</v>
      </c>
      <c r="B1525" s="112">
        <v>2</v>
      </c>
      <c r="C1525" s="114">
        <v>0.001476940793696534</v>
      </c>
      <c r="D1525" s="112" t="s">
        <v>2049</v>
      </c>
      <c r="E1525" s="112" t="b">
        <v>0</v>
      </c>
      <c r="F1525" s="112" t="b">
        <v>0</v>
      </c>
      <c r="G1525" s="112" t="b">
        <v>0</v>
      </c>
    </row>
    <row r="1526" spans="1:7" ht="15">
      <c r="A1526" s="112" t="s">
        <v>2077</v>
      </c>
      <c r="B1526" s="112">
        <v>369</v>
      </c>
      <c r="C1526" s="114">
        <v>0.0069346027041733305</v>
      </c>
      <c r="D1526" s="112" t="s">
        <v>2050</v>
      </c>
      <c r="E1526" s="112" t="b">
        <v>0</v>
      </c>
      <c r="F1526" s="112" t="b">
        <v>0</v>
      </c>
      <c r="G1526" s="112" t="b">
        <v>0</v>
      </c>
    </row>
    <row r="1527" spans="1:7" ht="15">
      <c r="A1527" s="112" t="s">
        <v>2093</v>
      </c>
      <c r="B1527" s="112">
        <v>82</v>
      </c>
      <c r="C1527" s="114">
        <v>0.0061754711999556485</v>
      </c>
      <c r="D1527" s="112" t="s">
        <v>2050</v>
      </c>
      <c r="E1527" s="112" t="b">
        <v>0</v>
      </c>
      <c r="F1527" s="112" t="b">
        <v>0</v>
      </c>
      <c r="G1527" s="112" t="b">
        <v>0</v>
      </c>
    </row>
    <row r="1528" spans="1:7" ht="15">
      <c r="A1528" s="112" t="s">
        <v>2102</v>
      </c>
      <c r="B1528" s="112">
        <v>52</v>
      </c>
      <c r="C1528" s="114">
        <v>0.003129683123770068</v>
      </c>
      <c r="D1528" s="112" t="s">
        <v>2050</v>
      </c>
      <c r="E1528" s="112" t="b">
        <v>0</v>
      </c>
      <c r="F1528" s="112" t="b">
        <v>0</v>
      </c>
      <c r="G1528" s="112" t="b">
        <v>0</v>
      </c>
    </row>
    <row r="1529" spans="1:7" ht="15">
      <c r="A1529" s="112" t="s">
        <v>2081</v>
      </c>
      <c r="B1529" s="112">
        <v>48</v>
      </c>
      <c r="C1529" s="114">
        <v>0.002538816977074086</v>
      </c>
      <c r="D1529" s="112" t="s">
        <v>2050</v>
      </c>
      <c r="E1529" s="112" t="b">
        <v>0</v>
      </c>
      <c r="F1529" s="112" t="b">
        <v>0</v>
      </c>
      <c r="G1529" s="112" t="b">
        <v>0</v>
      </c>
    </row>
    <row r="1530" spans="1:7" ht="15">
      <c r="A1530" s="112" t="s">
        <v>2114</v>
      </c>
      <c r="B1530" s="112">
        <v>44</v>
      </c>
      <c r="C1530" s="114">
        <v>0.002976872271692247</v>
      </c>
      <c r="D1530" s="112" t="s">
        <v>2050</v>
      </c>
      <c r="E1530" s="112" t="b">
        <v>0</v>
      </c>
      <c r="F1530" s="112" t="b">
        <v>0</v>
      </c>
      <c r="G1530" s="112" t="b">
        <v>0</v>
      </c>
    </row>
    <row r="1531" spans="1:7" ht="15">
      <c r="A1531" s="112" t="s">
        <v>2110</v>
      </c>
      <c r="B1531" s="112">
        <v>43</v>
      </c>
      <c r="C1531" s="114">
        <v>0.002588007198502172</v>
      </c>
      <c r="D1531" s="112" t="s">
        <v>2050</v>
      </c>
      <c r="E1531" s="112" t="b">
        <v>0</v>
      </c>
      <c r="F1531" s="112" t="b">
        <v>0</v>
      </c>
      <c r="G1531" s="112" t="b">
        <v>0</v>
      </c>
    </row>
    <row r="1532" spans="1:7" ht="15">
      <c r="A1532" s="112" t="s">
        <v>2111</v>
      </c>
      <c r="B1532" s="112">
        <v>43</v>
      </c>
      <c r="C1532" s="114">
        <v>0.002588007198502172</v>
      </c>
      <c r="D1532" s="112" t="s">
        <v>2050</v>
      </c>
      <c r="E1532" s="112" t="b">
        <v>0</v>
      </c>
      <c r="F1532" s="112" t="b">
        <v>0</v>
      </c>
      <c r="G1532" s="112" t="b">
        <v>0</v>
      </c>
    </row>
    <row r="1533" spans="1:7" ht="15">
      <c r="A1533" s="112" t="s">
        <v>2115</v>
      </c>
      <c r="B1533" s="112">
        <v>43</v>
      </c>
      <c r="C1533" s="114">
        <v>0.0029092160836992416</v>
      </c>
      <c r="D1533" s="112" t="s">
        <v>2050</v>
      </c>
      <c r="E1533" s="112" t="b">
        <v>0</v>
      </c>
      <c r="F1533" s="112" t="b">
        <v>0</v>
      </c>
      <c r="G1533" s="112" t="b">
        <v>0</v>
      </c>
    </row>
    <row r="1534" spans="1:7" ht="15">
      <c r="A1534" s="112" t="s">
        <v>2116</v>
      </c>
      <c r="B1534" s="112">
        <v>43</v>
      </c>
      <c r="C1534" s="114">
        <v>0.0029092160836992416</v>
      </c>
      <c r="D1534" s="112" t="s">
        <v>2050</v>
      </c>
      <c r="E1534" s="112" t="b">
        <v>0</v>
      </c>
      <c r="F1534" s="112" t="b">
        <v>0</v>
      </c>
      <c r="G1534" s="112" t="b">
        <v>0</v>
      </c>
    </row>
    <row r="1535" spans="1:7" ht="15">
      <c r="A1535" s="112" t="s">
        <v>2124</v>
      </c>
      <c r="B1535" s="112">
        <v>41</v>
      </c>
      <c r="C1535" s="114">
        <v>0.0027739037077132303</v>
      </c>
      <c r="D1535" s="112" t="s">
        <v>2050</v>
      </c>
      <c r="E1535" s="112" t="b">
        <v>0</v>
      </c>
      <c r="F1535" s="112" t="b">
        <v>0</v>
      </c>
      <c r="G1535" s="112" t="b">
        <v>0</v>
      </c>
    </row>
    <row r="1536" spans="1:7" ht="15">
      <c r="A1536" s="112" t="s">
        <v>2125</v>
      </c>
      <c r="B1536" s="112">
        <v>41</v>
      </c>
      <c r="C1536" s="114">
        <v>0.0027739037077132303</v>
      </c>
      <c r="D1536" s="112" t="s">
        <v>2050</v>
      </c>
      <c r="E1536" s="112" t="b">
        <v>0</v>
      </c>
      <c r="F1536" s="112" t="b">
        <v>0</v>
      </c>
      <c r="G1536" s="112" t="b">
        <v>0</v>
      </c>
    </row>
    <row r="1537" spans="1:7" ht="15">
      <c r="A1537" s="112" t="s">
        <v>2119</v>
      </c>
      <c r="B1537" s="112">
        <v>40</v>
      </c>
      <c r="C1537" s="114">
        <v>0.003012424975588121</v>
      </c>
      <c r="D1537" s="112" t="s">
        <v>2050</v>
      </c>
      <c r="E1537" s="112" t="b">
        <v>0</v>
      </c>
      <c r="F1537" s="112" t="b">
        <v>0</v>
      </c>
      <c r="G1537" s="112" t="b">
        <v>0</v>
      </c>
    </row>
    <row r="1538" spans="1:7" ht="15">
      <c r="A1538" s="112" t="s">
        <v>2120</v>
      </c>
      <c r="B1538" s="112">
        <v>40</v>
      </c>
      <c r="C1538" s="114">
        <v>0.0033263545773429596</v>
      </c>
      <c r="D1538" s="112" t="s">
        <v>2050</v>
      </c>
      <c r="E1538" s="112" t="b">
        <v>0</v>
      </c>
      <c r="F1538" s="112" t="b">
        <v>0</v>
      </c>
      <c r="G1538" s="112" t="b">
        <v>0</v>
      </c>
    </row>
    <row r="1539" spans="1:7" ht="15">
      <c r="A1539" s="112" t="s">
        <v>2129</v>
      </c>
      <c r="B1539" s="112">
        <v>40</v>
      </c>
      <c r="C1539" s="114">
        <v>0.0033263545773429596</v>
      </c>
      <c r="D1539" s="112" t="s">
        <v>2050</v>
      </c>
      <c r="E1539" s="112" t="b">
        <v>0</v>
      </c>
      <c r="F1539" s="112" t="b">
        <v>0</v>
      </c>
      <c r="G1539" s="112" t="b">
        <v>0</v>
      </c>
    </row>
    <row r="1540" spans="1:7" ht="15">
      <c r="A1540" s="112" t="s">
        <v>2105</v>
      </c>
      <c r="B1540" s="112">
        <v>39</v>
      </c>
      <c r="C1540" s="114">
        <v>0.0032431957129093855</v>
      </c>
      <c r="D1540" s="112" t="s">
        <v>2050</v>
      </c>
      <c r="E1540" s="112" t="b">
        <v>0</v>
      </c>
      <c r="F1540" s="112" t="b">
        <v>0</v>
      </c>
      <c r="G1540" s="112" t="b">
        <v>0</v>
      </c>
    </row>
    <row r="1541" spans="1:7" ht="15">
      <c r="A1541" s="112" t="s">
        <v>2128</v>
      </c>
      <c r="B1541" s="112">
        <v>39</v>
      </c>
      <c r="C1541" s="114">
        <v>0.0032431957129093855</v>
      </c>
      <c r="D1541" s="112" t="s">
        <v>2050</v>
      </c>
      <c r="E1541" s="112" t="b">
        <v>0</v>
      </c>
      <c r="F1541" s="112" t="b">
        <v>0</v>
      </c>
      <c r="G1541" s="112" t="b">
        <v>0</v>
      </c>
    </row>
    <row r="1542" spans="1:7" ht="15">
      <c r="A1542" s="112" t="s">
        <v>2121</v>
      </c>
      <c r="B1542" s="112">
        <v>39</v>
      </c>
      <c r="C1542" s="114">
        <v>0.0032431957129093855</v>
      </c>
      <c r="D1542" s="112" t="s">
        <v>2050</v>
      </c>
      <c r="E1542" s="112" t="b">
        <v>0</v>
      </c>
      <c r="F1542" s="112" t="b">
        <v>0</v>
      </c>
      <c r="G1542" s="112" t="b">
        <v>0</v>
      </c>
    </row>
    <row r="1543" spans="1:7" ht="15">
      <c r="A1543" s="112" t="s">
        <v>2078</v>
      </c>
      <c r="B1543" s="112">
        <v>19</v>
      </c>
      <c r="C1543" s="114">
        <v>0.01907513449553544</v>
      </c>
      <c r="D1543" s="112" t="s">
        <v>2050</v>
      </c>
      <c r="E1543" s="112" t="b">
        <v>0</v>
      </c>
      <c r="F1543" s="112" t="b">
        <v>0</v>
      </c>
      <c r="G1543" s="112" t="b">
        <v>0</v>
      </c>
    </row>
    <row r="1544" spans="1:7" ht="15">
      <c r="A1544" s="112" t="s">
        <v>2232</v>
      </c>
      <c r="B1544" s="112">
        <v>12</v>
      </c>
      <c r="C1544" s="114">
        <v>0.007960761676353685</v>
      </c>
      <c r="D1544" s="112" t="s">
        <v>2050</v>
      </c>
      <c r="E1544" s="112" t="b">
        <v>0</v>
      </c>
      <c r="F1544" s="112" t="b">
        <v>0</v>
      </c>
      <c r="G1544" s="112" t="b">
        <v>0</v>
      </c>
    </row>
    <row r="1545" spans="1:7" ht="15">
      <c r="A1545" s="112" t="s">
        <v>2466</v>
      </c>
      <c r="B1545" s="112">
        <v>5</v>
      </c>
      <c r="C1545" s="114">
        <v>0.00439132377365551</v>
      </c>
      <c r="D1545" s="112" t="s">
        <v>2050</v>
      </c>
      <c r="E1545" s="112" t="b">
        <v>0</v>
      </c>
      <c r="F1545" s="112" t="b">
        <v>0</v>
      </c>
      <c r="G1545" s="112" t="b">
        <v>0</v>
      </c>
    </row>
    <row r="1546" spans="1:7" ht="15">
      <c r="A1546" s="112" t="s">
        <v>2286</v>
      </c>
      <c r="B1546" s="112">
        <v>5</v>
      </c>
      <c r="C1546" s="114">
        <v>0.003599572347472939</v>
      </c>
      <c r="D1546" s="112" t="s">
        <v>2050</v>
      </c>
      <c r="E1546" s="112" t="b">
        <v>0</v>
      </c>
      <c r="F1546" s="112" t="b">
        <v>0</v>
      </c>
      <c r="G1546" s="112" t="b">
        <v>0</v>
      </c>
    </row>
    <row r="1547" spans="1:7" ht="15">
      <c r="A1547" s="112" t="s">
        <v>2084</v>
      </c>
      <c r="B1547" s="112">
        <v>5</v>
      </c>
      <c r="C1547" s="114">
        <v>0.0039454324938257455</v>
      </c>
      <c r="D1547" s="112" t="s">
        <v>2050</v>
      </c>
      <c r="E1547" s="112" t="b">
        <v>0</v>
      </c>
      <c r="F1547" s="112" t="b">
        <v>1</v>
      </c>
      <c r="G1547" s="112" t="b">
        <v>0</v>
      </c>
    </row>
    <row r="1548" spans="1:7" ht="15">
      <c r="A1548" s="112" t="s">
        <v>2465</v>
      </c>
      <c r="B1548" s="112">
        <v>5</v>
      </c>
      <c r="C1548" s="114">
        <v>0.006094111977508695</v>
      </c>
      <c r="D1548" s="112" t="s">
        <v>2050</v>
      </c>
      <c r="E1548" s="112" t="b">
        <v>0</v>
      </c>
      <c r="F1548" s="112" t="b">
        <v>0</v>
      </c>
      <c r="G1548" s="112" t="b">
        <v>0</v>
      </c>
    </row>
    <row r="1549" spans="1:7" ht="15">
      <c r="A1549" s="112" t="s">
        <v>2416</v>
      </c>
      <c r="B1549" s="112">
        <v>4</v>
      </c>
      <c r="C1549" s="114">
        <v>0.004875289582006956</v>
      </c>
      <c r="D1549" s="112" t="s">
        <v>2050</v>
      </c>
      <c r="E1549" s="112" t="b">
        <v>0</v>
      </c>
      <c r="F1549" s="112" t="b">
        <v>0</v>
      </c>
      <c r="G1549" s="112" t="b">
        <v>0</v>
      </c>
    </row>
    <row r="1550" spans="1:7" ht="15">
      <c r="A1550" s="112" t="s">
        <v>2561</v>
      </c>
      <c r="B1550" s="112">
        <v>4</v>
      </c>
      <c r="C1550" s="114">
        <v>0.004875289582006956</v>
      </c>
      <c r="D1550" s="112" t="s">
        <v>2050</v>
      </c>
      <c r="E1550" s="112" t="b">
        <v>0</v>
      </c>
      <c r="F1550" s="112" t="b">
        <v>0</v>
      </c>
      <c r="G1550" s="112" t="b">
        <v>0</v>
      </c>
    </row>
    <row r="1551" spans="1:7" ht="15">
      <c r="A1551" s="112" t="s">
        <v>2355</v>
      </c>
      <c r="B1551" s="112">
        <v>4</v>
      </c>
      <c r="C1551" s="114">
        <v>0.003513059018924408</v>
      </c>
      <c r="D1551" s="112" t="s">
        <v>2050</v>
      </c>
      <c r="E1551" s="112" t="b">
        <v>0</v>
      </c>
      <c r="F1551" s="112" t="b">
        <v>0</v>
      </c>
      <c r="G1551" s="112" t="b">
        <v>0</v>
      </c>
    </row>
    <row r="1552" spans="1:7" ht="15">
      <c r="A1552" s="112" t="s">
        <v>2556</v>
      </c>
      <c r="B1552" s="112">
        <v>4</v>
      </c>
      <c r="C1552" s="114">
        <v>0.004015817788533777</v>
      </c>
      <c r="D1552" s="112" t="s">
        <v>2050</v>
      </c>
      <c r="E1552" s="112" t="b">
        <v>0</v>
      </c>
      <c r="F1552" s="112" t="b">
        <v>0</v>
      </c>
      <c r="G1552" s="112" t="b">
        <v>0</v>
      </c>
    </row>
    <row r="1553" spans="1:7" ht="15">
      <c r="A1553" s="112" t="s">
        <v>2467</v>
      </c>
      <c r="B1553" s="112">
        <v>4</v>
      </c>
      <c r="C1553" s="114">
        <v>0.004875289582006956</v>
      </c>
      <c r="D1553" s="112" t="s">
        <v>2050</v>
      </c>
      <c r="E1553" s="112" t="b">
        <v>0</v>
      </c>
      <c r="F1553" s="112" t="b">
        <v>0</v>
      </c>
      <c r="G1553" s="112" t="b">
        <v>0</v>
      </c>
    </row>
    <row r="1554" spans="1:7" ht="15">
      <c r="A1554" s="112" t="s">
        <v>2087</v>
      </c>
      <c r="B1554" s="112">
        <v>4</v>
      </c>
      <c r="C1554" s="114">
        <v>0.004015817788533777</v>
      </c>
      <c r="D1554" s="112" t="s">
        <v>2050</v>
      </c>
      <c r="E1554" s="112" t="b">
        <v>0</v>
      </c>
      <c r="F1554" s="112" t="b">
        <v>0</v>
      </c>
      <c r="G1554" s="112" t="b">
        <v>0</v>
      </c>
    </row>
    <row r="1555" spans="1:7" ht="15">
      <c r="A1555" s="112" t="s">
        <v>2406</v>
      </c>
      <c r="B1555" s="112">
        <v>4</v>
      </c>
      <c r="C1555" s="114">
        <v>0.004875289582006956</v>
      </c>
      <c r="D1555" s="112" t="s">
        <v>2050</v>
      </c>
      <c r="E1555" s="112" t="b">
        <v>0</v>
      </c>
      <c r="F1555" s="112" t="b">
        <v>0</v>
      </c>
      <c r="G1555" s="112" t="b">
        <v>0</v>
      </c>
    </row>
    <row r="1556" spans="1:7" ht="15">
      <c r="A1556" s="112" t="s">
        <v>2101</v>
      </c>
      <c r="B1556" s="112">
        <v>4</v>
      </c>
      <c r="C1556" s="114">
        <v>0.004875289582006956</v>
      </c>
      <c r="D1556" s="112" t="s">
        <v>2050</v>
      </c>
      <c r="E1556" s="112" t="b">
        <v>0</v>
      </c>
      <c r="F1556" s="112" t="b">
        <v>0</v>
      </c>
      <c r="G1556" s="112" t="b">
        <v>0</v>
      </c>
    </row>
    <row r="1557" spans="1:7" ht="15">
      <c r="A1557" s="112" t="s">
        <v>2080</v>
      </c>
      <c r="B1557" s="112">
        <v>3</v>
      </c>
      <c r="C1557" s="114">
        <v>0.003656467186505217</v>
      </c>
      <c r="D1557" s="112" t="s">
        <v>2050</v>
      </c>
      <c r="E1557" s="112" t="b">
        <v>0</v>
      </c>
      <c r="F1557" s="112" t="b">
        <v>0</v>
      </c>
      <c r="G1557" s="112" t="b">
        <v>0</v>
      </c>
    </row>
    <row r="1558" spans="1:7" ht="15">
      <c r="A1558" s="112" t="s">
        <v>2706</v>
      </c>
      <c r="B1558" s="112">
        <v>3</v>
      </c>
      <c r="C1558" s="114">
        <v>0.003656467186505217</v>
      </c>
      <c r="D1558" s="112" t="s">
        <v>2050</v>
      </c>
      <c r="E1558" s="112" t="b">
        <v>0</v>
      </c>
      <c r="F1558" s="112" t="b">
        <v>0</v>
      </c>
      <c r="G1558" s="112" t="b">
        <v>0</v>
      </c>
    </row>
    <row r="1559" spans="1:7" ht="15">
      <c r="A1559" s="112" t="s">
        <v>2704</v>
      </c>
      <c r="B1559" s="112">
        <v>3</v>
      </c>
      <c r="C1559" s="114">
        <v>0.003656467186505217</v>
      </c>
      <c r="D1559" s="112" t="s">
        <v>2050</v>
      </c>
      <c r="E1559" s="112" t="b">
        <v>0</v>
      </c>
      <c r="F1559" s="112" t="b">
        <v>0</v>
      </c>
      <c r="G1559" s="112" t="b">
        <v>0</v>
      </c>
    </row>
    <row r="1560" spans="1:7" ht="15">
      <c r="A1560" s="112" t="s">
        <v>2555</v>
      </c>
      <c r="B1560" s="112">
        <v>3</v>
      </c>
      <c r="C1560" s="114">
        <v>0.003656467186505217</v>
      </c>
      <c r="D1560" s="112" t="s">
        <v>2050</v>
      </c>
      <c r="E1560" s="112" t="b">
        <v>0</v>
      </c>
      <c r="F1560" s="112" t="b">
        <v>0</v>
      </c>
      <c r="G1560" s="112" t="b">
        <v>0</v>
      </c>
    </row>
    <row r="1561" spans="1:7" ht="15">
      <c r="A1561" s="112" t="s">
        <v>2079</v>
      </c>
      <c r="B1561" s="112">
        <v>3</v>
      </c>
      <c r="C1561" s="114">
        <v>0.003656467186505217</v>
      </c>
      <c r="D1561" s="112" t="s">
        <v>2050</v>
      </c>
      <c r="E1561" s="112" t="b">
        <v>0</v>
      </c>
      <c r="F1561" s="112" t="b">
        <v>0</v>
      </c>
      <c r="G1561" s="112" t="b">
        <v>0</v>
      </c>
    </row>
    <row r="1562" spans="1:7" ht="15">
      <c r="A1562" s="112" t="s">
        <v>2150</v>
      </c>
      <c r="B1562" s="112">
        <v>3</v>
      </c>
      <c r="C1562" s="114">
        <v>0.003656467186505217</v>
      </c>
      <c r="D1562" s="112" t="s">
        <v>2050</v>
      </c>
      <c r="E1562" s="112" t="b">
        <v>0</v>
      </c>
      <c r="F1562" s="112" t="b">
        <v>0</v>
      </c>
      <c r="G1562" s="112" t="b">
        <v>0</v>
      </c>
    </row>
    <row r="1563" spans="1:7" ht="15">
      <c r="A1563" s="112" t="s">
        <v>2694</v>
      </c>
      <c r="B1563" s="112">
        <v>3</v>
      </c>
      <c r="C1563" s="114">
        <v>0.003656467186505217</v>
      </c>
      <c r="D1563" s="112" t="s">
        <v>2050</v>
      </c>
      <c r="E1563" s="112" t="b">
        <v>0</v>
      </c>
      <c r="F1563" s="112" t="b">
        <v>0</v>
      </c>
      <c r="G1563" s="112" t="b">
        <v>0</v>
      </c>
    </row>
    <row r="1564" spans="1:7" ht="15">
      <c r="A1564" s="112" t="s">
        <v>2695</v>
      </c>
      <c r="B1564" s="112">
        <v>3</v>
      </c>
      <c r="C1564" s="114">
        <v>0.003656467186505217</v>
      </c>
      <c r="D1564" s="112" t="s">
        <v>2050</v>
      </c>
      <c r="E1564" s="112" t="b">
        <v>0</v>
      </c>
      <c r="F1564" s="112" t="b">
        <v>0</v>
      </c>
      <c r="G1564" s="112" t="b">
        <v>0</v>
      </c>
    </row>
    <row r="1565" spans="1:7" ht="15">
      <c r="A1565" s="112" t="s">
        <v>2094</v>
      </c>
      <c r="B1565" s="112">
        <v>2</v>
      </c>
      <c r="C1565" s="114">
        <v>0.002437644791003478</v>
      </c>
      <c r="D1565" s="112" t="s">
        <v>2050</v>
      </c>
      <c r="E1565" s="112" t="b">
        <v>0</v>
      </c>
      <c r="F1565" s="112" t="b">
        <v>0</v>
      </c>
      <c r="G1565" s="112" t="b">
        <v>0</v>
      </c>
    </row>
    <row r="1566" spans="1:7" ht="15">
      <c r="A1566" s="112" t="s">
        <v>2959</v>
      </c>
      <c r="B1566" s="112">
        <v>2</v>
      </c>
      <c r="C1566" s="114">
        <v>0.0020079088942668885</v>
      </c>
      <c r="D1566" s="112" t="s">
        <v>2050</v>
      </c>
      <c r="E1566" s="112" t="b">
        <v>0</v>
      </c>
      <c r="F1566" s="112" t="b">
        <v>0</v>
      </c>
      <c r="G1566" s="112" t="b">
        <v>0</v>
      </c>
    </row>
    <row r="1567" spans="1:7" ht="15">
      <c r="A1567" s="112" t="s">
        <v>2978</v>
      </c>
      <c r="B1567" s="112">
        <v>2</v>
      </c>
      <c r="C1567" s="114">
        <v>0.002437644791003478</v>
      </c>
      <c r="D1567" s="112" t="s">
        <v>2050</v>
      </c>
      <c r="E1567" s="112" t="b">
        <v>0</v>
      </c>
      <c r="F1567" s="112" t="b">
        <v>0</v>
      </c>
      <c r="G1567" s="112" t="b">
        <v>0</v>
      </c>
    </row>
    <row r="1568" spans="1:7" ht="15">
      <c r="A1568" s="112" t="s">
        <v>2979</v>
      </c>
      <c r="B1568" s="112">
        <v>2</v>
      </c>
      <c r="C1568" s="114">
        <v>0.002437644791003478</v>
      </c>
      <c r="D1568" s="112" t="s">
        <v>2050</v>
      </c>
      <c r="E1568" s="112" t="b">
        <v>0</v>
      </c>
      <c r="F1568" s="112" t="b">
        <v>0</v>
      </c>
      <c r="G1568" s="112" t="b">
        <v>0</v>
      </c>
    </row>
    <row r="1569" spans="1:7" ht="15">
      <c r="A1569" s="112" t="s">
        <v>2976</v>
      </c>
      <c r="B1569" s="112">
        <v>2</v>
      </c>
      <c r="C1569" s="114">
        <v>0.002437644791003478</v>
      </c>
      <c r="D1569" s="112" t="s">
        <v>2050</v>
      </c>
      <c r="E1569" s="112" t="b">
        <v>0</v>
      </c>
      <c r="F1569" s="112" t="b">
        <v>0</v>
      </c>
      <c r="G1569" s="112" t="b">
        <v>0</v>
      </c>
    </row>
    <row r="1570" spans="1:7" ht="15">
      <c r="A1570" s="112" t="s">
        <v>2977</v>
      </c>
      <c r="B1570" s="112">
        <v>2</v>
      </c>
      <c r="C1570" s="114">
        <v>0.002437644791003478</v>
      </c>
      <c r="D1570" s="112" t="s">
        <v>2050</v>
      </c>
      <c r="E1570" s="112" t="b">
        <v>0</v>
      </c>
      <c r="F1570" s="112" t="b">
        <v>0</v>
      </c>
      <c r="G1570" s="112" t="b">
        <v>0</v>
      </c>
    </row>
    <row r="1571" spans="1:7" ht="15">
      <c r="A1571" s="112" t="s">
        <v>2973</v>
      </c>
      <c r="B1571" s="112">
        <v>2</v>
      </c>
      <c r="C1571" s="114">
        <v>0.002437644791003478</v>
      </c>
      <c r="D1571" s="112" t="s">
        <v>2050</v>
      </c>
      <c r="E1571" s="112" t="b">
        <v>1</v>
      </c>
      <c r="F1571" s="112" t="b">
        <v>0</v>
      </c>
      <c r="G1571" s="112" t="b">
        <v>0</v>
      </c>
    </row>
    <row r="1572" spans="1:7" ht="15">
      <c r="A1572" s="112" t="s">
        <v>2974</v>
      </c>
      <c r="B1572" s="112">
        <v>2</v>
      </c>
      <c r="C1572" s="114">
        <v>0.002437644791003478</v>
      </c>
      <c r="D1572" s="112" t="s">
        <v>2050</v>
      </c>
      <c r="E1572" s="112" t="b">
        <v>0</v>
      </c>
      <c r="F1572" s="112" t="b">
        <v>0</v>
      </c>
      <c r="G1572" s="112" t="b">
        <v>0</v>
      </c>
    </row>
    <row r="1573" spans="1:7" ht="15">
      <c r="A1573" s="112" t="s">
        <v>2975</v>
      </c>
      <c r="B1573" s="112">
        <v>2</v>
      </c>
      <c r="C1573" s="114">
        <v>0.002437644791003478</v>
      </c>
      <c r="D1573" s="112" t="s">
        <v>2050</v>
      </c>
      <c r="E1573" s="112" t="b">
        <v>0</v>
      </c>
      <c r="F1573" s="112" t="b">
        <v>0</v>
      </c>
      <c r="G1573" s="112" t="b">
        <v>0</v>
      </c>
    </row>
    <row r="1574" spans="1:7" ht="15">
      <c r="A1574" s="112" t="s">
        <v>2563</v>
      </c>
      <c r="B1574" s="112">
        <v>2</v>
      </c>
      <c r="C1574" s="114">
        <v>0.002437644791003478</v>
      </c>
      <c r="D1574" s="112" t="s">
        <v>2050</v>
      </c>
      <c r="E1574" s="112" t="b">
        <v>0</v>
      </c>
      <c r="F1574" s="112" t="b">
        <v>0</v>
      </c>
      <c r="G1574" s="112" t="b">
        <v>0</v>
      </c>
    </row>
    <row r="1575" spans="1:7" ht="15">
      <c r="A1575" s="112" t="s">
        <v>2562</v>
      </c>
      <c r="B1575" s="112">
        <v>2</v>
      </c>
      <c r="C1575" s="114">
        <v>0.002437644791003478</v>
      </c>
      <c r="D1575" s="112" t="s">
        <v>2050</v>
      </c>
      <c r="E1575" s="112" t="b">
        <v>0</v>
      </c>
      <c r="F1575" s="112" t="b">
        <v>0</v>
      </c>
      <c r="G1575" s="112" t="b">
        <v>0</v>
      </c>
    </row>
    <row r="1576" spans="1:7" ht="15">
      <c r="A1576" s="112" t="s">
        <v>2705</v>
      </c>
      <c r="B1576" s="112">
        <v>2</v>
      </c>
      <c r="C1576" s="114">
        <v>0.002437644791003478</v>
      </c>
      <c r="D1576" s="112" t="s">
        <v>2050</v>
      </c>
      <c r="E1576" s="112" t="b">
        <v>0</v>
      </c>
      <c r="F1576" s="112" t="b">
        <v>0</v>
      </c>
      <c r="G1576" s="112" t="b">
        <v>0</v>
      </c>
    </row>
    <row r="1577" spans="1:7" ht="15">
      <c r="A1577" s="112" t="s">
        <v>2278</v>
      </c>
      <c r="B1577" s="112">
        <v>2</v>
      </c>
      <c r="C1577" s="114">
        <v>0.002437644791003478</v>
      </c>
      <c r="D1577" s="112" t="s">
        <v>2050</v>
      </c>
      <c r="E1577" s="112" t="b">
        <v>1</v>
      </c>
      <c r="F1577" s="112" t="b">
        <v>0</v>
      </c>
      <c r="G1577" s="112" t="b">
        <v>0</v>
      </c>
    </row>
    <row r="1578" spans="1:7" ht="15">
      <c r="A1578" s="112" t="s">
        <v>2971</v>
      </c>
      <c r="B1578" s="112">
        <v>2</v>
      </c>
      <c r="C1578" s="114">
        <v>0.002437644791003478</v>
      </c>
      <c r="D1578" s="112" t="s">
        <v>2050</v>
      </c>
      <c r="E1578" s="112" t="b">
        <v>0</v>
      </c>
      <c r="F1578" s="112" t="b">
        <v>0</v>
      </c>
      <c r="G1578" s="112" t="b">
        <v>0</v>
      </c>
    </row>
    <row r="1579" spans="1:7" ht="15">
      <c r="A1579" s="112" t="s">
        <v>2554</v>
      </c>
      <c r="B1579" s="112">
        <v>2</v>
      </c>
      <c r="C1579" s="114">
        <v>0.0020079088942668885</v>
      </c>
      <c r="D1579" s="112" t="s">
        <v>2050</v>
      </c>
      <c r="E1579" s="112" t="b">
        <v>0</v>
      </c>
      <c r="F1579" s="112" t="b">
        <v>0</v>
      </c>
      <c r="G1579" s="112" t="b">
        <v>0</v>
      </c>
    </row>
    <row r="1580" spans="1:7" ht="15">
      <c r="A1580" s="112" t="s">
        <v>2970</v>
      </c>
      <c r="B1580" s="112">
        <v>2</v>
      </c>
      <c r="C1580" s="114">
        <v>0.002437644791003478</v>
      </c>
      <c r="D1580" s="112" t="s">
        <v>2050</v>
      </c>
      <c r="E1580" s="112" t="b">
        <v>0</v>
      </c>
      <c r="F1580" s="112" t="b">
        <v>0</v>
      </c>
      <c r="G1580" s="112" t="b">
        <v>0</v>
      </c>
    </row>
    <row r="1581" spans="1:7" ht="15">
      <c r="A1581" s="112" t="s">
        <v>2290</v>
      </c>
      <c r="B1581" s="112">
        <v>2</v>
      </c>
      <c r="C1581" s="114">
        <v>0.002437644791003478</v>
      </c>
      <c r="D1581" s="112" t="s">
        <v>2050</v>
      </c>
      <c r="E1581" s="112" t="b">
        <v>0</v>
      </c>
      <c r="F1581" s="112" t="b">
        <v>1</v>
      </c>
      <c r="G1581" s="112" t="b">
        <v>0</v>
      </c>
    </row>
    <row r="1582" spans="1:7" ht="15">
      <c r="A1582" s="112" t="s">
        <v>2967</v>
      </c>
      <c r="B1582" s="112">
        <v>2</v>
      </c>
      <c r="C1582" s="114">
        <v>0.0020079088942668885</v>
      </c>
      <c r="D1582" s="112" t="s">
        <v>2050</v>
      </c>
      <c r="E1582" s="112" t="b">
        <v>0</v>
      </c>
      <c r="F1582" s="112" t="b">
        <v>0</v>
      </c>
      <c r="G1582" s="112" t="b">
        <v>0</v>
      </c>
    </row>
    <row r="1583" spans="1:7" ht="15">
      <c r="A1583" s="112" t="s">
        <v>2558</v>
      </c>
      <c r="B1583" s="112">
        <v>2</v>
      </c>
      <c r="C1583" s="114">
        <v>0.002437644791003478</v>
      </c>
      <c r="D1583" s="112" t="s">
        <v>2050</v>
      </c>
      <c r="E1583" s="112" t="b">
        <v>0</v>
      </c>
      <c r="F1583" s="112" t="b">
        <v>0</v>
      </c>
      <c r="G1583" s="112" t="b">
        <v>0</v>
      </c>
    </row>
    <row r="1584" spans="1:7" ht="15">
      <c r="A1584" s="112" t="s">
        <v>2201</v>
      </c>
      <c r="B1584" s="112">
        <v>2</v>
      </c>
      <c r="C1584" s="114">
        <v>0.002437644791003478</v>
      </c>
      <c r="D1584" s="112" t="s">
        <v>2050</v>
      </c>
      <c r="E1584" s="112" t="b">
        <v>0</v>
      </c>
      <c r="F1584" s="112" t="b">
        <v>1</v>
      </c>
      <c r="G1584" s="112" t="b">
        <v>0</v>
      </c>
    </row>
    <row r="1585" spans="1:7" ht="15">
      <c r="A1585" s="112" t="s">
        <v>2968</v>
      </c>
      <c r="B1585" s="112">
        <v>2</v>
      </c>
      <c r="C1585" s="114">
        <v>0.002437644791003478</v>
      </c>
      <c r="D1585" s="112" t="s">
        <v>2050</v>
      </c>
      <c r="E1585" s="112" t="b">
        <v>0</v>
      </c>
      <c r="F1585" s="112" t="b">
        <v>0</v>
      </c>
      <c r="G1585" s="112" t="b">
        <v>0</v>
      </c>
    </row>
    <row r="1586" spans="1:7" ht="15">
      <c r="A1586" s="112" t="s">
        <v>2346</v>
      </c>
      <c r="B1586" s="112">
        <v>2</v>
      </c>
      <c r="C1586" s="114">
        <v>0.002437644791003478</v>
      </c>
      <c r="D1586" s="112" t="s">
        <v>2050</v>
      </c>
      <c r="E1586" s="112" t="b">
        <v>0</v>
      </c>
      <c r="F1586" s="112" t="b">
        <v>0</v>
      </c>
      <c r="G1586" s="112" t="b">
        <v>0</v>
      </c>
    </row>
    <row r="1587" spans="1:7" ht="15">
      <c r="A1587" s="112" t="s">
        <v>2965</v>
      </c>
      <c r="B1587" s="112">
        <v>2</v>
      </c>
      <c r="C1587" s="114">
        <v>0.002437644791003478</v>
      </c>
      <c r="D1587" s="112" t="s">
        <v>2050</v>
      </c>
      <c r="E1587" s="112" t="b">
        <v>0</v>
      </c>
      <c r="F1587" s="112" t="b">
        <v>0</v>
      </c>
      <c r="G1587" s="112" t="b">
        <v>0</v>
      </c>
    </row>
    <row r="1588" spans="1:7" ht="15">
      <c r="A1588" s="112" t="s">
        <v>2966</v>
      </c>
      <c r="B1588" s="112">
        <v>2</v>
      </c>
      <c r="C1588" s="114">
        <v>0.002437644791003478</v>
      </c>
      <c r="D1588" s="112" t="s">
        <v>2050</v>
      </c>
      <c r="E1588" s="112" t="b">
        <v>0</v>
      </c>
      <c r="F1588" s="112" t="b">
        <v>0</v>
      </c>
      <c r="G1588" s="112" t="b">
        <v>0</v>
      </c>
    </row>
    <row r="1589" spans="1:7" ht="15">
      <c r="A1589" s="112" t="s">
        <v>2663</v>
      </c>
      <c r="B1589" s="112">
        <v>2</v>
      </c>
      <c r="C1589" s="114">
        <v>0.002437644791003478</v>
      </c>
      <c r="D1589" s="112" t="s">
        <v>2050</v>
      </c>
      <c r="E1589" s="112" t="b">
        <v>0</v>
      </c>
      <c r="F1589" s="112" t="b">
        <v>1</v>
      </c>
      <c r="G1589" s="112" t="b">
        <v>0</v>
      </c>
    </row>
    <row r="1590" spans="1:7" ht="15">
      <c r="A1590" s="112" t="s">
        <v>2106</v>
      </c>
      <c r="B1590" s="112">
        <v>2</v>
      </c>
      <c r="C1590" s="114">
        <v>0.002437644791003478</v>
      </c>
      <c r="D1590" s="112" t="s">
        <v>2050</v>
      </c>
      <c r="E1590" s="112" t="b">
        <v>0</v>
      </c>
      <c r="F1590" s="112" t="b">
        <v>0</v>
      </c>
      <c r="G1590" s="112" t="b">
        <v>0</v>
      </c>
    </row>
    <row r="1591" spans="1:7" ht="15">
      <c r="A1591" s="112" t="s">
        <v>2962</v>
      </c>
      <c r="B1591" s="112">
        <v>2</v>
      </c>
      <c r="C1591" s="114">
        <v>0.002437644791003478</v>
      </c>
      <c r="D1591" s="112" t="s">
        <v>2050</v>
      </c>
      <c r="E1591" s="112" t="b">
        <v>0</v>
      </c>
      <c r="F1591" s="112" t="b">
        <v>0</v>
      </c>
      <c r="G1591" s="112" t="b">
        <v>0</v>
      </c>
    </row>
    <row r="1592" spans="1:7" ht="15">
      <c r="A1592" s="112" t="s">
        <v>2649</v>
      </c>
      <c r="B1592" s="112">
        <v>2</v>
      </c>
      <c r="C1592" s="114">
        <v>0.002437644791003478</v>
      </c>
      <c r="D1592" s="112" t="s">
        <v>2050</v>
      </c>
      <c r="E1592" s="112" t="b">
        <v>0</v>
      </c>
      <c r="F1592" s="112" t="b">
        <v>1</v>
      </c>
      <c r="G1592" s="112" t="b">
        <v>0</v>
      </c>
    </row>
    <row r="1593" spans="1:7" ht="15">
      <c r="A1593" s="112" t="s">
        <v>2960</v>
      </c>
      <c r="B1593" s="112">
        <v>2</v>
      </c>
      <c r="C1593" s="114">
        <v>0.0020079088942668885</v>
      </c>
      <c r="D1593" s="112" t="s">
        <v>2050</v>
      </c>
      <c r="E1593" s="112" t="b">
        <v>0</v>
      </c>
      <c r="F1593" s="112" t="b">
        <v>0</v>
      </c>
      <c r="G1593" s="112" t="b">
        <v>0</v>
      </c>
    </row>
    <row r="1594" spans="1:7" ht="15">
      <c r="A1594" s="112" t="s">
        <v>2095</v>
      </c>
      <c r="B1594" s="112">
        <v>2</v>
      </c>
      <c r="C1594" s="114">
        <v>0.002437644791003478</v>
      </c>
      <c r="D1594" s="112" t="s">
        <v>2050</v>
      </c>
      <c r="E1594" s="112" t="b">
        <v>0</v>
      </c>
      <c r="F1594" s="112" t="b">
        <v>0</v>
      </c>
      <c r="G1594" s="112" t="b">
        <v>0</v>
      </c>
    </row>
    <row r="1595" spans="1:7" ht="15">
      <c r="A1595" s="112" t="s">
        <v>2152</v>
      </c>
      <c r="B1595" s="112">
        <v>2</v>
      </c>
      <c r="C1595" s="114">
        <v>0.002437644791003478</v>
      </c>
      <c r="D1595" s="112" t="s">
        <v>2050</v>
      </c>
      <c r="E1595" s="112" t="b">
        <v>0</v>
      </c>
      <c r="F1595" s="112" t="b">
        <v>0</v>
      </c>
      <c r="G1595" s="112" t="b">
        <v>0</v>
      </c>
    </row>
    <row r="1596" spans="1:7" ht="15">
      <c r="A1596" s="112" t="s">
        <v>2166</v>
      </c>
      <c r="B1596" s="112">
        <v>2</v>
      </c>
      <c r="C1596" s="114">
        <v>0.002437644791003478</v>
      </c>
      <c r="D1596" s="112" t="s">
        <v>2050</v>
      </c>
      <c r="E1596" s="112" t="b">
        <v>0</v>
      </c>
      <c r="F1596" s="112" t="b">
        <v>0</v>
      </c>
      <c r="G1596" s="112" t="b">
        <v>0</v>
      </c>
    </row>
    <row r="1597" spans="1:7" ht="15">
      <c r="A1597" s="112" t="s">
        <v>2189</v>
      </c>
      <c r="B1597" s="112">
        <v>2</v>
      </c>
      <c r="C1597" s="114">
        <v>0.002437644791003478</v>
      </c>
      <c r="D1597" s="112" t="s">
        <v>2050</v>
      </c>
      <c r="E1597" s="112" t="b">
        <v>0</v>
      </c>
      <c r="F1597" s="112" t="b">
        <v>0</v>
      </c>
      <c r="G1597" s="112" t="b">
        <v>0</v>
      </c>
    </row>
    <row r="1598" spans="1:7" ht="15">
      <c r="A1598" s="112" t="s">
        <v>2693</v>
      </c>
      <c r="B1598" s="112">
        <v>2</v>
      </c>
      <c r="C1598" s="114">
        <v>0.002437644791003478</v>
      </c>
      <c r="D1598" s="112" t="s">
        <v>2050</v>
      </c>
      <c r="E1598" s="112" t="b">
        <v>0</v>
      </c>
      <c r="F1598" s="112" t="b">
        <v>0</v>
      </c>
      <c r="G1598" s="112" t="b">
        <v>0</v>
      </c>
    </row>
    <row r="1599" spans="1:7" ht="15">
      <c r="A1599" s="112" t="s">
        <v>2078</v>
      </c>
      <c r="B1599" s="112">
        <v>278</v>
      </c>
      <c r="C1599" s="114">
        <v>0.0011011566152043571</v>
      </c>
      <c r="D1599" s="112" t="s">
        <v>2051</v>
      </c>
      <c r="E1599" s="112" t="b">
        <v>0</v>
      </c>
      <c r="F1599" s="112" t="b">
        <v>0</v>
      </c>
      <c r="G1599" s="112" t="b">
        <v>0</v>
      </c>
    </row>
    <row r="1600" spans="1:7" ht="15">
      <c r="A1600" s="112" t="s">
        <v>2079</v>
      </c>
      <c r="B1600" s="112">
        <v>237</v>
      </c>
      <c r="C1600" s="114">
        <v>0.000938755819436808</v>
      </c>
      <c r="D1600" s="112" t="s">
        <v>2051</v>
      </c>
      <c r="E1600" s="112" t="b">
        <v>0</v>
      </c>
      <c r="F1600" s="112" t="b">
        <v>0</v>
      </c>
      <c r="G1600" s="112" t="b">
        <v>0</v>
      </c>
    </row>
    <row r="1601" spans="1:7" ht="15">
      <c r="A1601" s="112" t="s">
        <v>2081</v>
      </c>
      <c r="B1601" s="112">
        <v>106</v>
      </c>
      <c r="C1601" s="114">
        <v>0.0012876968760178885</v>
      </c>
      <c r="D1601" s="112" t="s">
        <v>2051</v>
      </c>
      <c r="E1601" s="112" t="b">
        <v>0</v>
      </c>
      <c r="F1601" s="112" t="b">
        <v>0</v>
      </c>
      <c r="G1601" s="112" t="b">
        <v>0</v>
      </c>
    </row>
    <row r="1602" spans="1:7" ht="15">
      <c r="A1602" s="112" t="s">
        <v>2087</v>
      </c>
      <c r="B1602" s="112">
        <v>73</v>
      </c>
      <c r="C1602" s="114">
        <v>0.01083169428063243</v>
      </c>
      <c r="D1602" s="112" t="s">
        <v>2051</v>
      </c>
      <c r="E1602" s="112" t="b">
        <v>0</v>
      </c>
      <c r="F1602" s="112" t="b">
        <v>0</v>
      </c>
      <c r="G1602" s="112" t="b">
        <v>0</v>
      </c>
    </row>
    <row r="1603" spans="1:7" ht="15">
      <c r="A1603" s="112" t="s">
        <v>2095</v>
      </c>
      <c r="B1603" s="112">
        <v>62</v>
      </c>
      <c r="C1603" s="114">
        <v>0.0018415384773879623</v>
      </c>
      <c r="D1603" s="112" t="s">
        <v>2051</v>
      </c>
      <c r="E1603" s="112" t="b">
        <v>0</v>
      </c>
      <c r="F1603" s="112" t="b">
        <v>0</v>
      </c>
      <c r="G1603" s="112" t="b">
        <v>0</v>
      </c>
    </row>
    <row r="1604" spans="1:7" ht="15">
      <c r="A1604" s="112" t="s">
        <v>2086</v>
      </c>
      <c r="B1604" s="112">
        <v>50</v>
      </c>
      <c r="C1604" s="114">
        <v>0.004134363935879029</v>
      </c>
      <c r="D1604" s="112" t="s">
        <v>2051</v>
      </c>
      <c r="E1604" s="112" t="b">
        <v>0</v>
      </c>
      <c r="F1604" s="112" t="b">
        <v>0</v>
      </c>
      <c r="G1604" s="112" t="b">
        <v>0</v>
      </c>
    </row>
    <row r="1605" spans="1:7" ht="15">
      <c r="A1605" s="112" t="s">
        <v>2135</v>
      </c>
      <c r="B1605" s="112">
        <v>32</v>
      </c>
      <c r="C1605" s="114">
        <v>0.009120920888016523</v>
      </c>
      <c r="D1605" s="112" t="s">
        <v>2051</v>
      </c>
      <c r="E1605" s="112" t="b">
        <v>0</v>
      </c>
      <c r="F1605" s="112" t="b">
        <v>0</v>
      </c>
      <c r="G1605" s="112" t="b">
        <v>0</v>
      </c>
    </row>
    <row r="1606" spans="1:7" ht="15">
      <c r="A1606" s="112" t="s">
        <v>2131</v>
      </c>
      <c r="B1606" s="112">
        <v>31</v>
      </c>
      <c r="C1606" s="114">
        <v>0.002376090367745881</v>
      </c>
      <c r="D1606" s="112" t="s">
        <v>2051</v>
      </c>
      <c r="E1606" s="112" t="b">
        <v>0</v>
      </c>
      <c r="F1606" s="112" t="b">
        <v>0</v>
      </c>
      <c r="G1606" s="112" t="b">
        <v>0</v>
      </c>
    </row>
    <row r="1607" spans="1:7" ht="15">
      <c r="A1607" s="112" t="s">
        <v>2106</v>
      </c>
      <c r="B1607" s="112">
        <v>26</v>
      </c>
      <c r="C1607" s="114">
        <v>0.0038578637163896325</v>
      </c>
      <c r="D1607" s="112" t="s">
        <v>2051</v>
      </c>
      <c r="E1607" s="112" t="b">
        <v>0</v>
      </c>
      <c r="F1607" s="112" t="b">
        <v>0</v>
      </c>
      <c r="G1607" s="112" t="b">
        <v>0</v>
      </c>
    </row>
    <row r="1608" spans="1:7" ht="15">
      <c r="A1608" s="112" t="s">
        <v>2130</v>
      </c>
      <c r="B1608" s="112">
        <v>22</v>
      </c>
      <c r="C1608" s="114">
        <v>0.009983389764788214</v>
      </c>
      <c r="D1608" s="112" t="s">
        <v>2051</v>
      </c>
      <c r="E1608" s="112" t="b">
        <v>0</v>
      </c>
      <c r="F1608" s="112" t="b">
        <v>0</v>
      </c>
      <c r="G1608" s="112" t="b">
        <v>0</v>
      </c>
    </row>
    <row r="1609" spans="1:7" ht="15">
      <c r="A1609" s="112" t="s">
        <v>2149</v>
      </c>
      <c r="B1609" s="112">
        <v>22</v>
      </c>
      <c r="C1609" s="114">
        <v>0.007174797778101368</v>
      </c>
      <c r="D1609" s="112" t="s">
        <v>2051</v>
      </c>
      <c r="E1609" s="112" t="b">
        <v>0</v>
      </c>
      <c r="F1609" s="112" t="b">
        <v>0</v>
      </c>
      <c r="G1609" s="112" t="b">
        <v>0</v>
      </c>
    </row>
    <row r="1610" spans="1:7" ht="15">
      <c r="A1610" s="112" t="s">
        <v>2162</v>
      </c>
      <c r="B1610" s="112">
        <v>20</v>
      </c>
      <c r="C1610" s="114">
        <v>0.0035354143582053553</v>
      </c>
      <c r="D1610" s="112" t="s">
        <v>2051</v>
      </c>
      <c r="E1610" s="112" t="b">
        <v>0</v>
      </c>
      <c r="F1610" s="112" t="b">
        <v>0</v>
      </c>
      <c r="G1610" s="112" t="b">
        <v>0</v>
      </c>
    </row>
    <row r="1611" spans="1:7" ht="15">
      <c r="A1611" s="112" t="s">
        <v>2152</v>
      </c>
      <c r="B1611" s="112">
        <v>19</v>
      </c>
      <c r="C1611" s="114">
        <v>0.005784245810615546</v>
      </c>
      <c r="D1611" s="112" t="s">
        <v>2051</v>
      </c>
      <c r="E1611" s="112" t="b">
        <v>0</v>
      </c>
      <c r="F1611" s="112" t="b">
        <v>0</v>
      </c>
      <c r="G1611" s="112" t="b">
        <v>0</v>
      </c>
    </row>
    <row r="1612" spans="1:7" ht="15">
      <c r="A1612" s="112" t="s">
        <v>2150</v>
      </c>
      <c r="B1612" s="112">
        <v>19</v>
      </c>
      <c r="C1612" s="114">
        <v>0.005784245810615546</v>
      </c>
      <c r="D1612" s="112" t="s">
        <v>2051</v>
      </c>
      <c r="E1612" s="112" t="b">
        <v>0</v>
      </c>
      <c r="F1612" s="112" t="b">
        <v>0</v>
      </c>
      <c r="G1612" s="112" t="b">
        <v>0</v>
      </c>
    </row>
    <row r="1613" spans="1:7" ht="15">
      <c r="A1613" s="112" t="s">
        <v>2154</v>
      </c>
      <c r="B1613" s="112">
        <v>18</v>
      </c>
      <c r="C1613" s="114">
        <v>0.0063129757093241265</v>
      </c>
      <c r="D1613" s="112" t="s">
        <v>2051</v>
      </c>
      <c r="E1613" s="112" t="b">
        <v>0</v>
      </c>
      <c r="F1613" s="112" t="b">
        <v>0</v>
      </c>
      <c r="G1613" s="112" t="b">
        <v>0</v>
      </c>
    </row>
    <row r="1614" spans="1:7" ht="15">
      <c r="A1614" s="112" t="s">
        <v>2144</v>
      </c>
      <c r="B1614" s="112">
        <v>18</v>
      </c>
      <c r="C1614" s="114">
        <v>0.006824019904977662</v>
      </c>
      <c r="D1614" s="112" t="s">
        <v>2051</v>
      </c>
      <c r="E1614" s="112" t="b">
        <v>0</v>
      </c>
      <c r="F1614" s="112" t="b">
        <v>0</v>
      </c>
      <c r="G1614" s="112" t="b">
        <v>0</v>
      </c>
    </row>
    <row r="1615" spans="1:7" ht="15">
      <c r="A1615" s="112" t="s">
        <v>2084</v>
      </c>
      <c r="B1615" s="112">
        <v>18</v>
      </c>
      <c r="C1615" s="114">
        <v>0.0042607214170143565</v>
      </c>
      <c r="D1615" s="112" t="s">
        <v>2051</v>
      </c>
      <c r="E1615" s="112" t="b">
        <v>0</v>
      </c>
      <c r="F1615" s="112" t="b">
        <v>1</v>
      </c>
      <c r="G1615" s="112" t="b">
        <v>0</v>
      </c>
    </row>
    <row r="1616" spans="1:7" ht="15">
      <c r="A1616" s="112" t="s">
        <v>2151</v>
      </c>
      <c r="B1616" s="112">
        <v>18</v>
      </c>
      <c r="C1616" s="114">
        <v>0.005479811820583149</v>
      </c>
      <c r="D1616" s="112" t="s">
        <v>2051</v>
      </c>
      <c r="E1616" s="112" t="b">
        <v>0</v>
      </c>
      <c r="F1616" s="112" t="b">
        <v>0</v>
      </c>
      <c r="G1616" s="112" t="b">
        <v>0</v>
      </c>
    </row>
    <row r="1617" spans="1:7" ht="15">
      <c r="A1617" s="112" t="s">
        <v>2097</v>
      </c>
      <c r="B1617" s="112">
        <v>18</v>
      </c>
      <c r="C1617" s="114">
        <v>0.009121958803175992</v>
      </c>
      <c r="D1617" s="112" t="s">
        <v>2051</v>
      </c>
      <c r="E1617" s="112" t="b">
        <v>0</v>
      </c>
      <c r="F1617" s="112" t="b">
        <v>0</v>
      </c>
      <c r="G1617" s="112" t="b">
        <v>0</v>
      </c>
    </row>
    <row r="1618" spans="1:7" ht="15">
      <c r="A1618" s="112" t="s">
        <v>2098</v>
      </c>
      <c r="B1618" s="112">
        <v>18</v>
      </c>
      <c r="C1618" s="114">
        <v>0.008168227989372175</v>
      </c>
      <c r="D1618" s="112" t="s">
        <v>2051</v>
      </c>
      <c r="E1618" s="112" t="b">
        <v>1</v>
      </c>
      <c r="F1618" s="112" t="b">
        <v>0</v>
      </c>
      <c r="G1618" s="112" t="b">
        <v>0</v>
      </c>
    </row>
    <row r="1619" spans="1:7" ht="15">
      <c r="A1619" s="112" t="s">
        <v>2166</v>
      </c>
      <c r="B1619" s="112">
        <v>17</v>
      </c>
      <c r="C1619" s="114">
        <v>0.007015764847834978</v>
      </c>
      <c r="D1619" s="112" t="s">
        <v>2051</v>
      </c>
      <c r="E1619" s="112" t="b">
        <v>0</v>
      </c>
      <c r="F1619" s="112" t="b">
        <v>0</v>
      </c>
      <c r="G1619" s="112" t="b">
        <v>0</v>
      </c>
    </row>
    <row r="1620" spans="1:7" ht="15">
      <c r="A1620" s="112" t="s">
        <v>2143</v>
      </c>
      <c r="B1620" s="112">
        <v>16</v>
      </c>
      <c r="C1620" s="114">
        <v>0.004023183117137185</v>
      </c>
      <c r="D1620" s="112" t="s">
        <v>2051</v>
      </c>
      <c r="E1620" s="112" t="b">
        <v>0</v>
      </c>
      <c r="F1620" s="112" t="b">
        <v>0</v>
      </c>
      <c r="G1620" s="112" t="b">
        <v>0</v>
      </c>
    </row>
    <row r="1621" spans="1:7" ht="15">
      <c r="A1621" s="112" t="s">
        <v>2140</v>
      </c>
      <c r="B1621" s="112">
        <v>16</v>
      </c>
      <c r="C1621" s="114">
        <v>0.005611533963843668</v>
      </c>
      <c r="D1621" s="112" t="s">
        <v>2051</v>
      </c>
      <c r="E1621" s="112" t="b">
        <v>0</v>
      </c>
      <c r="F1621" s="112" t="b">
        <v>0</v>
      </c>
      <c r="G1621" s="112" t="b">
        <v>0</v>
      </c>
    </row>
    <row r="1622" spans="1:7" ht="15">
      <c r="A1622" s="112" t="s">
        <v>2191</v>
      </c>
      <c r="B1622" s="112">
        <v>16</v>
      </c>
      <c r="C1622" s="114">
        <v>0.011345871809572299</v>
      </c>
      <c r="D1622" s="112" t="s">
        <v>2051</v>
      </c>
      <c r="E1622" s="112" t="b">
        <v>0</v>
      </c>
      <c r="F1622" s="112" t="b">
        <v>0</v>
      </c>
      <c r="G1622" s="112" t="b">
        <v>0</v>
      </c>
    </row>
    <row r="1623" spans="1:7" ht="15">
      <c r="A1623" s="112" t="s">
        <v>2165</v>
      </c>
      <c r="B1623" s="112">
        <v>14</v>
      </c>
      <c r="C1623" s="114">
        <v>0.004565780404246325</v>
      </c>
      <c r="D1623" s="112" t="s">
        <v>2051</v>
      </c>
      <c r="E1623" s="112" t="b">
        <v>0</v>
      </c>
      <c r="F1623" s="112" t="b">
        <v>0</v>
      </c>
      <c r="G1623" s="112" t="b">
        <v>0</v>
      </c>
    </row>
    <row r="1624" spans="1:7" ht="15">
      <c r="A1624" s="112" t="s">
        <v>2206</v>
      </c>
      <c r="B1624" s="112">
        <v>14</v>
      </c>
      <c r="C1624" s="114">
        <v>0.006353066213956137</v>
      </c>
      <c r="D1624" s="112" t="s">
        <v>2051</v>
      </c>
      <c r="E1624" s="112" t="b">
        <v>1</v>
      </c>
      <c r="F1624" s="112" t="b">
        <v>0</v>
      </c>
      <c r="G1624" s="112" t="b">
        <v>0</v>
      </c>
    </row>
    <row r="1625" spans="1:7" ht="15">
      <c r="A1625" s="112" t="s">
        <v>2157</v>
      </c>
      <c r="B1625" s="112">
        <v>14</v>
      </c>
      <c r="C1625" s="114">
        <v>0.007094856846914661</v>
      </c>
      <c r="D1625" s="112" t="s">
        <v>2051</v>
      </c>
      <c r="E1625" s="112" t="b">
        <v>0</v>
      </c>
      <c r="F1625" s="112" t="b">
        <v>0</v>
      </c>
      <c r="G1625" s="112" t="b">
        <v>0</v>
      </c>
    </row>
    <row r="1626" spans="1:7" ht="15">
      <c r="A1626" s="112" t="s">
        <v>2177</v>
      </c>
      <c r="B1626" s="112">
        <v>14</v>
      </c>
      <c r="C1626" s="114">
        <v>0.00491009221836321</v>
      </c>
      <c r="D1626" s="112" t="s">
        <v>2051</v>
      </c>
      <c r="E1626" s="112" t="b">
        <v>0</v>
      </c>
      <c r="F1626" s="112" t="b">
        <v>0</v>
      </c>
      <c r="G1626" s="112" t="b">
        <v>0</v>
      </c>
    </row>
    <row r="1627" spans="1:7" ht="15">
      <c r="A1627" s="112" t="s">
        <v>2197</v>
      </c>
      <c r="B1627" s="112">
        <v>14</v>
      </c>
      <c r="C1627" s="114">
        <v>0.009927637833375762</v>
      </c>
      <c r="D1627" s="112" t="s">
        <v>2051</v>
      </c>
      <c r="E1627" s="112" t="b">
        <v>0</v>
      </c>
      <c r="F1627" s="112" t="b">
        <v>0</v>
      </c>
      <c r="G1627" s="112" t="b">
        <v>0</v>
      </c>
    </row>
    <row r="1628" spans="1:7" ht="15">
      <c r="A1628" s="112" t="s">
        <v>2205</v>
      </c>
      <c r="B1628" s="112">
        <v>13</v>
      </c>
      <c r="C1628" s="114">
        <v>0.0037053741107567124</v>
      </c>
      <c r="D1628" s="112" t="s">
        <v>2051</v>
      </c>
      <c r="E1628" s="112" t="b">
        <v>0</v>
      </c>
      <c r="F1628" s="112" t="b">
        <v>0</v>
      </c>
      <c r="G1628" s="112" t="b">
        <v>0</v>
      </c>
    </row>
    <row r="1629" spans="1:7" ht="15">
      <c r="A1629" s="112" t="s">
        <v>2132</v>
      </c>
      <c r="B1629" s="112">
        <v>13</v>
      </c>
      <c r="C1629" s="114">
        <v>0.00755889830768981</v>
      </c>
      <c r="D1629" s="112" t="s">
        <v>2051</v>
      </c>
      <c r="E1629" s="112" t="b">
        <v>0</v>
      </c>
      <c r="F1629" s="112" t="b">
        <v>0</v>
      </c>
      <c r="G1629" s="112" t="b">
        <v>0</v>
      </c>
    </row>
    <row r="1630" spans="1:7" ht="15">
      <c r="A1630" s="112" t="s">
        <v>2077</v>
      </c>
      <c r="B1630" s="112">
        <v>13</v>
      </c>
      <c r="C1630" s="114">
        <v>0.00755889830768981</v>
      </c>
      <c r="D1630" s="112" t="s">
        <v>2051</v>
      </c>
      <c r="E1630" s="112" t="b">
        <v>0</v>
      </c>
      <c r="F1630" s="112" t="b">
        <v>0</v>
      </c>
      <c r="G1630" s="112" t="b">
        <v>0</v>
      </c>
    </row>
    <row r="1631" spans="1:7" ht="15">
      <c r="A1631" s="112" t="s">
        <v>2091</v>
      </c>
      <c r="B1631" s="112">
        <v>13</v>
      </c>
      <c r="C1631" s="114">
        <v>0.00755889830768981</v>
      </c>
      <c r="D1631" s="112" t="s">
        <v>2051</v>
      </c>
      <c r="E1631" s="112" t="b">
        <v>0</v>
      </c>
      <c r="F1631" s="112" t="b">
        <v>0</v>
      </c>
      <c r="G1631" s="112" t="b">
        <v>0</v>
      </c>
    </row>
    <row r="1632" spans="1:7" ht="15">
      <c r="A1632" s="112" t="s">
        <v>2090</v>
      </c>
      <c r="B1632" s="112">
        <v>12</v>
      </c>
      <c r="C1632" s="114">
        <v>0.006977444591713671</v>
      </c>
      <c r="D1632" s="112" t="s">
        <v>2051</v>
      </c>
      <c r="E1632" s="112" t="b">
        <v>0</v>
      </c>
      <c r="F1632" s="112" t="b">
        <v>0</v>
      </c>
      <c r="G1632" s="112" t="b">
        <v>0</v>
      </c>
    </row>
    <row r="1633" spans="1:7" ht="15">
      <c r="A1633" s="112" t="s">
        <v>2223</v>
      </c>
      <c r="B1633" s="112">
        <v>12</v>
      </c>
      <c r="C1633" s="114">
        <v>0.003017387337852889</v>
      </c>
      <c r="D1633" s="112" t="s">
        <v>2051</v>
      </c>
      <c r="E1633" s="112" t="b">
        <v>0</v>
      </c>
      <c r="F1633" s="112" t="b">
        <v>0</v>
      </c>
      <c r="G1633" s="112" t="b">
        <v>0</v>
      </c>
    </row>
    <row r="1634" spans="1:7" ht="15">
      <c r="A1634" s="112" t="s">
        <v>2179</v>
      </c>
      <c r="B1634" s="112">
        <v>12</v>
      </c>
      <c r="C1634" s="114">
        <v>0.004952304598471749</v>
      </c>
      <c r="D1634" s="112" t="s">
        <v>2051</v>
      </c>
      <c r="E1634" s="112" t="b">
        <v>0</v>
      </c>
      <c r="F1634" s="112" t="b">
        <v>1</v>
      </c>
      <c r="G1634" s="112" t="b">
        <v>0</v>
      </c>
    </row>
    <row r="1635" spans="1:7" ht="15">
      <c r="A1635" s="112" t="s">
        <v>2209</v>
      </c>
      <c r="B1635" s="112">
        <v>12</v>
      </c>
      <c r="C1635" s="114">
        <v>0.003653207880388767</v>
      </c>
      <c r="D1635" s="112" t="s">
        <v>2051</v>
      </c>
      <c r="E1635" s="112" t="b">
        <v>1</v>
      </c>
      <c r="F1635" s="112" t="b">
        <v>0</v>
      </c>
      <c r="G1635" s="112" t="b">
        <v>0</v>
      </c>
    </row>
    <row r="1636" spans="1:7" ht="15">
      <c r="A1636" s="112" t="s">
        <v>2211</v>
      </c>
      <c r="B1636" s="112">
        <v>12</v>
      </c>
      <c r="C1636" s="114">
        <v>0.008509403857179224</v>
      </c>
      <c r="D1636" s="112" t="s">
        <v>2051</v>
      </c>
      <c r="E1636" s="112" t="b">
        <v>0</v>
      </c>
      <c r="F1636" s="112" t="b">
        <v>0</v>
      </c>
      <c r="G1636" s="112" t="b">
        <v>0</v>
      </c>
    </row>
    <row r="1637" spans="1:7" ht="15">
      <c r="A1637" s="112" t="s">
        <v>2167</v>
      </c>
      <c r="B1637" s="112">
        <v>12</v>
      </c>
      <c r="C1637" s="114">
        <v>0.008509403857179224</v>
      </c>
      <c r="D1637" s="112" t="s">
        <v>2051</v>
      </c>
      <c r="E1637" s="112" t="b">
        <v>0</v>
      </c>
      <c r="F1637" s="112" t="b">
        <v>0</v>
      </c>
      <c r="G1637" s="112" t="b">
        <v>0</v>
      </c>
    </row>
    <row r="1638" spans="1:7" ht="15">
      <c r="A1638" s="112" t="s">
        <v>2237</v>
      </c>
      <c r="B1638" s="112">
        <v>11</v>
      </c>
      <c r="C1638" s="114">
        <v>0.005574530379718661</v>
      </c>
      <c r="D1638" s="112" t="s">
        <v>2051</v>
      </c>
      <c r="E1638" s="112" t="b">
        <v>0</v>
      </c>
      <c r="F1638" s="112" t="b">
        <v>0</v>
      </c>
      <c r="G1638" s="112" t="b">
        <v>0</v>
      </c>
    </row>
    <row r="1639" spans="1:7" ht="15">
      <c r="A1639" s="112" t="s">
        <v>2212</v>
      </c>
      <c r="B1639" s="112">
        <v>11</v>
      </c>
      <c r="C1639" s="114">
        <v>0.006395990875737532</v>
      </c>
      <c r="D1639" s="112" t="s">
        <v>2051</v>
      </c>
      <c r="E1639" s="112" t="b">
        <v>0</v>
      </c>
      <c r="F1639" s="112" t="b">
        <v>0</v>
      </c>
      <c r="G1639" s="112" t="b">
        <v>0</v>
      </c>
    </row>
    <row r="1640" spans="1:7" ht="15">
      <c r="A1640" s="112" t="s">
        <v>2108</v>
      </c>
      <c r="B1640" s="112">
        <v>11</v>
      </c>
      <c r="C1640" s="114">
        <v>0.007800286869080956</v>
      </c>
      <c r="D1640" s="112" t="s">
        <v>2051</v>
      </c>
      <c r="E1640" s="112" t="b">
        <v>0</v>
      </c>
      <c r="F1640" s="112" t="b">
        <v>0</v>
      </c>
      <c r="G1640" s="112" t="b">
        <v>0</v>
      </c>
    </row>
    <row r="1641" spans="1:7" ht="15">
      <c r="A1641" s="112" t="s">
        <v>2234</v>
      </c>
      <c r="B1641" s="112">
        <v>11</v>
      </c>
      <c r="C1641" s="114">
        <v>0.007800286869080956</v>
      </c>
      <c r="D1641" s="112" t="s">
        <v>2051</v>
      </c>
      <c r="E1641" s="112" t="b">
        <v>0</v>
      </c>
      <c r="F1641" s="112" t="b">
        <v>0</v>
      </c>
      <c r="G1641" s="112" t="b">
        <v>0</v>
      </c>
    </row>
    <row r="1642" spans="1:7" ht="15">
      <c r="A1642" s="112" t="s">
        <v>2260</v>
      </c>
      <c r="B1642" s="112">
        <v>10</v>
      </c>
      <c r="C1642" s="114">
        <v>0.007091169880982687</v>
      </c>
      <c r="D1642" s="112" t="s">
        <v>2051</v>
      </c>
      <c r="E1642" s="112" t="b">
        <v>0</v>
      </c>
      <c r="F1642" s="112" t="b">
        <v>0</v>
      </c>
      <c r="G1642" s="112" t="b">
        <v>0</v>
      </c>
    </row>
    <row r="1643" spans="1:7" ht="15">
      <c r="A1643" s="112" t="s">
        <v>2251</v>
      </c>
      <c r="B1643" s="112">
        <v>10</v>
      </c>
      <c r="C1643" s="114">
        <v>0.007091169880982687</v>
      </c>
      <c r="D1643" s="112" t="s">
        <v>2051</v>
      </c>
      <c r="E1643" s="112" t="b">
        <v>0</v>
      </c>
      <c r="F1643" s="112" t="b">
        <v>0</v>
      </c>
      <c r="G1643" s="112" t="b">
        <v>0</v>
      </c>
    </row>
    <row r="1644" spans="1:7" ht="15">
      <c r="A1644" s="112" t="s">
        <v>2262</v>
      </c>
      <c r="B1644" s="112">
        <v>9</v>
      </c>
      <c r="C1644" s="114">
        <v>0.004084113994686087</v>
      </c>
      <c r="D1644" s="112" t="s">
        <v>2051</v>
      </c>
      <c r="E1644" s="112" t="b">
        <v>0</v>
      </c>
      <c r="F1644" s="112" t="b">
        <v>0</v>
      </c>
      <c r="G1644" s="112" t="b">
        <v>0</v>
      </c>
    </row>
    <row r="1645" spans="1:7" ht="15">
      <c r="A1645" s="112" t="s">
        <v>2255</v>
      </c>
      <c r="B1645" s="112">
        <v>9</v>
      </c>
      <c r="C1645" s="114">
        <v>0.004084113994686087</v>
      </c>
      <c r="D1645" s="112" t="s">
        <v>2051</v>
      </c>
      <c r="E1645" s="112" t="b">
        <v>0</v>
      </c>
      <c r="F1645" s="112" t="b">
        <v>0</v>
      </c>
      <c r="G1645" s="112" t="b">
        <v>0</v>
      </c>
    </row>
    <row r="1646" spans="1:7" ht="15">
      <c r="A1646" s="112" t="s">
        <v>2287</v>
      </c>
      <c r="B1646" s="112">
        <v>9</v>
      </c>
      <c r="C1646" s="114">
        <v>0.0063820528928844175</v>
      </c>
      <c r="D1646" s="112" t="s">
        <v>2051</v>
      </c>
      <c r="E1646" s="112" t="b">
        <v>0</v>
      </c>
      <c r="F1646" s="112" t="b">
        <v>0</v>
      </c>
      <c r="G1646" s="112" t="b">
        <v>0</v>
      </c>
    </row>
    <row r="1647" spans="1:7" ht="15">
      <c r="A1647" s="112" t="s">
        <v>2256</v>
      </c>
      <c r="B1647" s="112">
        <v>9</v>
      </c>
      <c r="C1647" s="114">
        <v>0.004084113994686087</v>
      </c>
      <c r="D1647" s="112" t="s">
        <v>2051</v>
      </c>
      <c r="E1647" s="112" t="b">
        <v>0</v>
      </c>
      <c r="F1647" s="112" t="b">
        <v>0</v>
      </c>
      <c r="G1647" s="112" t="b">
        <v>0</v>
      </c>
    </row>
    <row r="1648" spans="1:7" ht="15">
      <c r="A1648" s="112" t="s">
        <v>2244</v>
      </c>
      <c r="B1648" s="112">
        <v>9</v>
      </c>
      <c r="C1648" s="114">
        <v>0.0063820528928844175</v>
      </c>
      <c r="D1648" s="112" t="s">
        <v>2051</v>
      </c>
      <c r="E1648" s="112" t="b">
        <v>0</v>
      </c>
      <c r="F1648" s="112" t="b">
        <v>0</v>
      </c>
      <c r="G1648" s="112" t="b">
        <v>0</v>
      </c>
    </row>
    <row r="1649" spans="1:7" ht="15">
      <c r="A1649" s="112" t="s">
        <v>2235</v>
      </c>
      <c r="B1649" s="112">
        <v>9</v>
      </c>
      <c r="C1649" s="114">
        <v>0.003412009952488831</v>
      </c>
      <c r="D1649" s="112" t="s">
        <v>2051</v>
      </c>
      <c r="E1649" s="112" t="b">
        <v>0</v>
      </c>
      <c r="F1649" s="112" t="b">
        <v>0</v>
      </c>
      <c r="G1649" s="112" t="b">
        <v>0</v>
      </c>
    </row>
    <row r="1650" spans="1:7" ht="15">
      <c r="A1650" s="112" t="s">
        <v>2172</v>
      </c>
      <c r="B1650" s="112">
        <v>9</v>
      </c>
      <c r="C1650" s="114">
        <v>0.005233083443785253</v>
      </c>
      <c r="D1650" s="112" t="s">
        <v>2051</v>
      </c>
      <c r="E1650" s="112" t="b">
        <v>0</v>
      </c>
      <c r="F1650" s="112" t="b">
        <v>0</v>
      </c>
      <c r="G1650" s="112" t="b">
        <v>0</v>
      </c>
    </row>
    <row r="1651" spans="1:7" ht="15">
      <c r="A1651" s="112" t="s">
        <v>2283</v>
      </c>
      <c r="B1651" s="112">
        <v>9</v>
      </c>
      <c r="C1651" s="114">
        <v>0.0063820528928844175</v>
      </c>
      <c r="D1651" s="112" t="s">
        <v>2051</v>
      </c>
      <c r="E1651" s="112" t="b">
        <v>0</v>
      </c>
      <c r="F1651" s="112" t="b">
        <v>0</v>
      </c>
      <c r="G1651" s="112" t="b">
        <v>0</v>
      </c>
    </row>
    <row r="1652" spans="1:7" ht="15">
      <c r="A1652" s="112" t="s">
        <v>2320</v>
      </c>
      <c r="B1652" s="112">
        <v>8</v>
      </c>
      <c r="C1652" s="114">
        <v>0.005672935904786149</v>
      </c>
      <c r="D1652" s="112" t="s">
        <v>2051</v>
      </c>
      <c r="E1652" s="112" t="b">
        <v>0</v>
      </c>
      <c r="F1652" s="112" t="b">
        <v>0</v>
      </c>
      <c r="G1652" s="112" t="b">
        <v>0</v>
      </c>
    </row>
    <row r="1653" spans="1:7" ht="15">
      <c r="A1653" s="112" t="s">
        <v>2176</v>
      </c>
      <c r="B1653" s="112">
        <v>8</v>
      </c>
      <c r="C1653" s="114">
        <v>0.002805766981921834</v>
      </c>
      <c r="D1653" s="112" t="s">
        <v>2051</v>
      </c>
      <c r="E1653" s="112" t="b">
        <v>0</v>
      </c>
      <c r="F1653" s="112" t="b">
        <v>0</v>
      </c>
      <c r="G1653" s="112" t="b">
        <v>0</v>
      </c>
    </row>
    <row r="1654" spans="1:7" ht="15">
      <c r="A1654" s="112" t="s">
        <v>2319</v>
      </c>
      <c r="B1654" s="112">
        <v>8</v>
      </c>
      <c r="C1654" s="114">
        <v>0.005672935904786149</v>
      </c>
      <c r="D1654" s="112" t="s">
        <v>2051</v>
      </c>
      <c r="E1654" s="112" t="b">
        <v>0</v>
      </c>
      <c r="F1654" s="112" t="b">
        <v>0</v>
      </c>
      <c r="G1654" s="112" t="b">
        <v>0</v>
      </c>
    </row>
    <row r="1655" spans="1:7" ht="15">
      <c r="A1655" s="112" t="s">
        <v>2207</v>
      </c>
      <c r="B1655" s="112">
        <v>8</v>
      </c>
      <c r="C1655" s="114">
        <v>0.003630323550832078</v>
      </c>
      <c r="D1655" s="112" t="s">
        <v>2051</v>
      </c>
      <c r="E1655" s="112" t="b">
        <v>0</v>
      </c>
      <c r="F1655" s="112" t="b">
        <v>0</v>
      </c>
      <c r="G1655" s="112" t="b">
        <v>0</v>
      </c>
    </row>
    <row r="1656" spans="1:7" ht="15">
      <c r="A1656" s="112" t="s">
        <v>2306</v>
      </c>
      <c r="B1656" s="112">
        <v>8</v>
      </c>
      <c r="C1656" s="114">
        <v>0.003630323550832078</v>
      </c>
      <c r="D1656" s="112" t="s">
        <v>2051</v>
      </c>
      <c r="E1656" s="112" t="b">
        <v>0</v>
      </c>
      <c r="F1656" s="112" t="b">
        <v>0</v>
      </c>
      <c r="G1656" s="112" t="b">
        <v>0</v>
      </c>
    </row>
    <row r="1657" spans="1:7" ht="15">
      <c r="A1657" s="112" t="s">
        <v>2312</v>
      </c>
      <c r="B1657" s="112">
        <v>8</v>
      </c>
      <c r="C1657" s="114">
        <v>0.004054203912522663</v>
      </c>
      <c r="D1657" s="112" t="s">
        <v>2051</v>
      </c>
      <c r="E1657" s="112" t="b">
        <v>0</v>
      </c>
      <c r="F1657" s="112" t="b">
        <v>0</v>
      </c>
      <c r="G1657" s="112" t="b">
        <v>0</v>
      </c>
    </row>
    <row r="1658" spans="1:7" ht="15">
      <c r="A1658" s="112" t="s">
        <v>2189</v>
      </c>
      <c r="B1658" s="112">
        <v>8</v>
      </c>
      <c r="C1658" s="114">
        <v>0.002805766981921834</v>
      </c>
      <c r="D1658" s="112" t="s">
        <v>2051</v>
      </c>
      <c r="E1658" s="112" t="b">
        <v>0</v>
      </c>
      <c r="F1658" s="112" t="b">
        <v>0</v>
      </c>
      <c r="G1658" s="112" t="b">
        <v>0</v>
      </c>
    </row>
    <row r="1659" spans="1:7" ht="15">
      <c r="A1659" s="112" t="s">
        <v>2284</v>
      </c>
      <c r="B1659" s="112">
        <v>8</v>
      </c>
      <c r="C1659" s="114">
        <v>0.005672935904786149</v>
      </c>
      <c r="D1659" s="112" t="s">
        <v>2051</v>
      </c>
      <c r="E1659" s="112" t="b">
        <v>0</v>
      </c>
      <c r="F1659" s="112" t="b">
        <v>0</v>
      </c>
      <c r="G1659" s="112" t="b">
        <v>0</v>
      </c>
    </row>
    <row r="1660" spans="1:7" ht="15">
      <c r="A1660" s="112" t="s">
        <v>2227</v>
      </c>
      <c r="B1660" s="112">
        <v>8</v>
      </c>
      <c r="C1660" s="114">
        <v>0.005672935904786149</v>
      </c>
      <c r="D1660" s="112" t="s">
        <v>2051</v>
      </c>
      <c r="E1660" s="112" t="b">
        <v>0</v>
      </c>
      <c r="F1660" s="112" t="b">
        <v>0</v>
      </c>
      <c r="G1660" s="112" t="b">
        <v>0</v>
      </c>
    </row>
    <row r="1661" spans="1:7" ht="15">
      <c r="A1661" s="112" t="s">
        <v>2083</v>
      </c>
      <c r="B1661" s="112">
        <v>7</v>
      </c>
      <c r="C1661" s="114">
        <v>0.004963818916687881</v>
      </c>
      <c r="D1661" s="112" t="s">
        <v>2051</v>
      </c>
      <c r="E1661" s="112" t="b">
        <v>0</v>
      </c>
      <c r="F1661" s="112" t="b">
        <v>0</v>
      </c>
      <c r="G1661" s="112" t="b">
        <v>0</v>
      </c>
    </row>
    <row r="1662" spans="1:7" ht="15">
      <c r="A1662" s="112" t="s">
        <v>2309</v>
      </c>
      <c r="B1662" s="112">
        <v>7</v>
      </c>
      <c r="C1662" s="114">
        <v>0.0031765331069780684</v>
      </c>
      <c r="D1662" s="112" t="s">
        <v>2051</v>
      </c>
      <c r="E1662" s="112" t="b">
        <v>0</v>
      </c>
      <c r="F1662" s="112" t="b">
        <v>0</v>
      </c>
      <c r="G1662" s="112" t="b">
        <v>0</v>
      </c>
    </row>
    <row r="1663" spans="1:7" ht="15">
      <c r="A1663" s="112" t="s">
        <v>2307</v>
      </c>
      <c r="B1663" s="112">
        <v>7</v>
      </c>
      <c r="C1663" s="114">
        <v>0.002455046109181605</v>
      </c>
      <c r="D1663" s="112" t="s">
        <v>2051</v>
      </c>
      <c r="E1663" s="112" t="b">
        <v>0</v>
      </c>
      <c r="F1663" s="112" t="b">
        <v>0</v>
      </c>
      <c r="G1663" s="112" t="b">
        <v>0</v>
      </c>
    </row>
    <row r="1664" spans="1:7" ht="15">
      <c r="A1664" s="112" t="s">
        <v>2314</v>
      </c>
      <c r="B1664" s="112">
        <v>7</v>
      </c>
      <c r="C1664" s="114">
        <v>0.0031765331069780684</v>
      </c>
      <c r="D1664" s="112" t="s">
        <v>2051</v>
      </c>
      <c r="E1664" s="112" t="b">
        <v>0</v>
      </c>
      <c r="F1664" s="112" t="b">
        <v>0</v>
      </c>
      <c r="G1664" s="112" t="b">
        <v>0</v>
      </c>
    </row>
    <row r="1665" spans="1:7" ht="15">
      <c r="A1665" s="112" t="s">
        <v>2347</v>
      </c>
      <c r="B1665" s="112">
        <v>7</v>
      </c>
      <c r="C1665" s="114">
        <v>0.0035474284234573304</v>
      </c>
      <c r="D1665" s="112" t="s">
        <v>2051</v>
      </c>
      <c r="E1665" s="112" t="b">
        <v>0</v>
      </c>
      <c r="F1665" s="112" t="b">
        <v>0</v>
      </c>
      <c r="G1665" s="112" t="b">
        <v>0</v>
      </c>
    </row>
    <row r="1666" spans="1:7" ht="15">
      <c r="A1666" s="112" t="s">
        <v>2345</v>
      </c>
      <c r="B1666" s="112">
        <v>7</v>
      </c>
      <c r="C1666" s="114">
        <v>0.004963818916687881</v>
      </c>
      <c r="D1666" s="112" t="s">
        <v>2051</v>
      </c>
      <c r="E1666" s="112" t="b">
        <v>0</v>
      </c>
      <c r="F1666" s="112" t="b">
        <v>1</v>
      </c>
      <c r="G1666" s="112" t="b">
        <v>0</v>
      </c>
    </row>
    <row r="1667" spans="1:7" ht="15">
      <c r="A1667" s="112" t="s">
        <v>2402</v>
      </c>
      <c r="B1667" s="112">
        <v>6</v>
      </c>
      <c r="C1667" s="114">
        <v>0.004254701928589612</v>
      </c>
      <c r="D1667" s="112" t="s">
        <v>2051</v>
      </c>
      <c r="E1667" s="112" t="b">
        <v>0</v>
      </c>
      <c r="F1667" s="112" t="b">
        <v>0</v>
      </c>
      <c r="G1667" s="112" t="b">
        <v>0</v>
      </c>
    </row>
    <row r="1668" spans="1:7" ht="15">
      <c r="A1668" s="112" t="s">
        <v>2343</v>
      </c>
      <c r="B1668" s="112">
        <v>6</v>
      </c>
      <c r="C1668" s="114">
        <v>0.002274673301659221</v>
      </c>
      <c r="D1668" s="112" t="s">
        <v>2051</v>
      </c>
      <c r="E1668" s="112" t="b">
        <v>0</v>
      </c>
      <c r="F1668" s="112" t="b">
        <v>0</v>
      </c>
      <c r="G1668" s="112" t="b">
        <v>0</v>
      </c>
    </row>
    <row r="1669" spans="1:7" ht="15">
      <c r="A1669" s="112" t="s">
        <v>2236</v>
      </c>
      <c r="B1669" s="112">
        <v>6</v>
      </c>
      <c r="C1669" s="114">
        <v>0.002274673301659221</v>
      </c>
      <c r="D1669" s="112" t="s">
        <v>2051</v>
      </c>
      <c r="E1669" s="112" t="b">
        <v>0</v>
      </c>
      <c r="F1669" s="112" t="b">
        <v>0</v>
      </c>
      <c r="G1669" s="112" t="b">
        <v>0</v>
      </c>
    </row>
    <row r="1670" spans="1:7" ht="15">
      <c r="A1670" s="112" t="s">
        <v>2400</v>
      </c>
      <c r="B1670" s="112">
        <v>6</v>
      </c>
      <c r="C1670" s="114">
        <v>0.004254701928589612</v>
      </c>
      <c r="D1670" s="112" t="s">
        <v>2051</v>
      </c>
      <c r="E1670" s="112" t="b">
        <v>0</v>
      </c>
      <c r="F1670" s="112" t="b">
        <v>0</v>
      </c>
      <c r="G1670" s="112" t="b">
        <v>0</v>
      </c>
    </row>
    <row r="1671" spans="1:7" ht="15">
      <c r="A1671" s="112" t="s">
        <v>2278</v>
      </c>
      <c r="B1671" s="112">
        <v>6</v>
      </c>
      <c r="C1671" s="114">
        <v>0.0034887222958568356</v>
      </c>
      <c r="D1671" s="112" t="s">
        <v>2051</v>
      </c>
      <c r="E1671" s="112" t="b">
        <v>1</v>
      </c>
      <c r="F1671" s="112" t="b">
        <v>0</v>
      </c>
      <c r="G1671" s="112" t="b">
        <v>0</v>
      </c>
    </row>
    <row r="1672" spans="1:7" ht="15">
      <c r="A1672" s="112" t="s">
        <v>2241</v>
      </c>
      <c r="B1672" s="112">
        <v>6</v>
      </c>
      <c r="C1672" s="114">
        <v>0.0030406529343919974</v>
      </c>
      <c r="D1672" s="112" t="s">
        <v>2051</v>
      </c>
      <c r="E1672" s="112" t="b">
        <v>0</v>
      </c>
      <c r="F1672" s="112" t="b">
        <v>0</v>
      </c>
      <c r="G1672" s="112" t="b">
        <v>0</v>
      </c>
    </row>
    <row r="1673" spans="1:7" ht="15">
      <c r="A1673" s="112" t="s">
        <v>2398</v>
      </c>
      <c r="B1673" s="112">
        <v>6</v>
      </c>
      <c r="C1673" s="114">
        <v>0.004254701928589612</v>
      </c>
      <c r="D1673" s="112" t="s">
        <v>2051</v>
      </c>
      <c r="E1673" s="112" t="b">
        <v>0</v>
      </c>
      <c r="F1673" s="112" t="b">
        <v>0</v>
      </c>
      <c r="G1673" s="112" t="b">
        <v>0</v>
      </c>
    </row>
    <row r="1674" spans="1:7" ht="15">
      <c r="A1674" s="112" t="s">
        <v>2245</v>
      </c>
      <c r="B1674" s="112">
        <v>6</v>
      </c>
      <c r="C1674" s="114">
        <v>0.004254701928589612</v>
      </c>
      <c r="D1674" s="112" t="s">
        <v>2051</v>
      </c>
      <c r="E1674" s="112" t="b">
        <v>0</v>
      </c>
      <c r="F1674" s="112" t="b">
        <v>0</v>
      </c>
      <c r="G1674" s="112" t="b">
        <v>0</v>
      </c>
    </row>
    <row r="1675" spans="1:7" ht="15">
      <c r="A1675" s="112" t="s">
        <v>2254</v>
      </c>
      <c r="B1675" s="112">
        <v>6</v>
      </c>
      <c r="C1675" s="114">
        <v>0.002722742663124059</v>
      </c>
      <c r="D1675" s="112" t="s">
        <v>2051</v>
      </c>
      <c r="E1675" s="112" t="b">
        <v>0</v>
      </c>
      <c r="F1675" s="112" t="b">
        <v>0</v>
      </c>
      <c r="G1675" s="112" t="b">
        <v>0</v>
      </c>
    </row>
    <row r="1676" spans="1:7" ht="15">
      <c r="A1676" s="112" t="s">
        <v>2344</v>
      </c>
      <c r="B1676" s="112">
        <v>6</v>
      </c>
      <c r="C1676" s="114">
        <v>0.002722742663124059</v>
      </c>
      <c r="D1676" s="112" t="s">
        <v>2051</v>
      </c>
      <c r="E1676" s="112" t="b">
        <v>0</v>
      </c>
      <c r="F1676" s="112" t="b">
        <v>0</v>
      </c>
      <c r="G1676" s="112" t="b">
        <v>0</v>
      </c>
    </row>
    <row r="1677" spans="1:7" ht="15">
      <c r="A1677" s="112" t="s">
        <v>2353</v>
      </c>
      <c r="B1677" s="112">
        <v>6</v>
      </c>
      <c r="C1677" s="114">
        <v>0.004254701928589612</v>
      </c>
      <c r="D1677" s="112" t="s">
        <v>2051</v>
      </c>
      <c r="E1677" s="112" t="b">
        <v>0</v>
      </c>
      <c r="F1677" s="112" t="b">
        <v>0</v>
      </c>
      <c r="G1677" s="112" t="b">
        <v>0</v>
      </c>
    </row>
    <row r="1678" spans="1:7" ht="15">
      <c r="A1678" s="112" t="s">
        <v>2384</v>
      </c>
      <c r="B1678" s="112">
        <v>6</v>
      </c>
      <c r="C1678" s="114">
        <v>0.0030406529343919974</v>
      </c>
      <c r="D1678" s="112" t="s">
        <v>2051</v>
      </c>
      <c r="E1678" s="112" t="b">
        <v>0</v>
      </c>
      <c r="F1678" s="112" t="b">
        <v>0</v>
      </c>
      <c r="G1678" s="112" t="b">
        <v>0</v>
      </c>
    </row>
    <row r="1679" spans="1:7" ht="15">
      <c r="A1679" s="112" t="s">
        <v>2160</v>
      </c>
      <c r="B1679" s="112">
        <v>6</v>
      </c>
      <c r="C1679" s="114">
        <v>0.004254701928589612</v>
      </c>
      <c r="D1679" s="112" t="s">
        <v>2051</v>
      </c>
      <c r="E1679" s="112" t="b">
        <v>0</v>
      </c>
      <c r="F1679" s="112" t="b">
        <v>1</v>
      </c>
      <c r="G1679" s="112" t="b">
        <v>0</v>
      </c>
    </row>
    <row r="1680" spans="1:7" ht="15">
      <c r="A1680" s="112" t="s">
        <v>2385</v>
      </c>
      <c r="B1680" s="112">
        <v>6</v>
      </c>
      <c r="C1680" s="114">
        <v>0.004254701928589612</v>
      </c>
      <c r="D1680" s="112" t="s">
        <v>2051</v>
      </c>
      <c r="E1680" s="112" t="b">
        <v>0</v>
      </c>
      <c r="F1680" s="112" t="b">
        <v>0</v>
      </c>
      <c r="G1680" s="112" t="b">
        <v>0</v>
      </c>
    </row>
    <row r="1681" spans="1:7" ht="15">
      <c r="A1681" s="112" t="s">
        <v>2383</v>
      </c>
      <c r="B1681" s="112">
        <v>6</v>
      </c>
      <c r="C1681" s="114">
        <v>0.004254701928589612</v>
      </c>
      <c r="D1681" s="112" t="s">
        <v>2051</v>
      </c>
      <c r="E1681" s="112" t="b">
        <v>0</v>
      </c>
      <c r="F1681" s="112" t="b">
        <v>0</v>
      </c>
      <c r="G1681" s="112" t="b">
        <v>0</v>
      </c>
    </row>
    <row r="1682" spans="1:7" ht="15">
      <c r="A1682" s="112" t="s">
        <v>2435</v>
      </c>
      <c r="B1682" s="112">
        <v>5</v>
      </c>
      <c r="C1682" s="114">
        <v>0.0022689522192700486</v>
      </c>
      <c r="D1682" s="112" t="s">
        <v>2051</v>
      </c>
      <c r="E1682" s="112" t="b">
        <v>0</v>
      </c>
      <c r="F1682" s="112" t="b">
        <v>0</v>
      </c>
      <c r="G1682" s="112" t="b">
        <v>0</v>
      </c>
    </row>
    <row r="1683" spans="1:7" ht="15">
      <c r="A1683" s="112" t="s">
        <v>2401</v>
      </c>
      <c r="B1683" s="112">
        <v>5</v>
      </c>
      <c r="C1683" s="114">
        <v>0.0035455849404913433</v>
      </c>
      <c r="D1683" s="112" t="s">
        <v>2051</v>
      </c>
      <c r="E1683" s="112" t="b">
        <v>0</v>
      </c>
      <c r="F1683" s="112" t="b">
        <v>0</v>
      </c>
      <c r="G1683" s="112" t="b">
        <v>0</v>
      </c>
    </row>
    <row r="1684" spans="1:7" ht="15">
      <c r="A1684" s="112" t="s">
        <v>2281</v>
      </c>
      <c r="B1684" s="112">
        <v>5</v>
      </c>
      <c r="C1684" s="114">
        <v>0.0025338774453266644</v>
      </c>
      <c r="D1684" s="112" t="s">
        <v>2051</v>
      </c>
      <c r="E1684" s="112" t="b">
        <v>0</v>
      </c>
      <c r="F1684" s="112" t="b">
        <v>1</v>
      </c>
      <c r="G1684" s="112" t="b">
        <v>0</v>
      </c>
    </row>
    <row r="1685" spans="1:7" ht="15">
      <c r="A1685" s="112" t="s">
        <v>2242</v>
      </c>
      <c r="B1685" s="112">
        <v>5</v>
      </c>
      <c r="C1685" s="114">
        <v>0.0025338774453266644</v>
      </c>
      <c r="D1685" s="112" t="s">
        <v>2051</v>
      </c>
      <c r="E1685" s="112" t="b">
        <v>0</v>
      </c>
      <c r="F1685" s="112" t="b">
        <v>1</v>
      </c>
      <c r="G1685" s="112" t="b">
        <v>0</v>
      </c>
    </row>
    <row r="1686" spans="1:7" ht="15">
      <c r="A1686" s="112" t="s">
        <v>2214</v>
      </c>
      <c r="B1686" s="112">
        <v>5</v>
      </c>
      <c r="C1686" s="114">
        <v>0.0035455849404913433</v>
      </c>
      <c r="D1686" s="112" t="s">
        <v>2051</v>
      </c>
      <c r="E1686" s="112" t="b">
        <v>0</v>
      </c>
      <c r="F1686" s="112" t="b">
        <v>0</v>
      </c>
      <c r="G1686" s="112" t="b">
        <v>0</v>
      </c>
    </row>
    <row r="1687" spans="1:7" ht="15">
      <c r="A1687" s="112" t="s">
        <v>2105</v>
      </c>
      <c r="B1687" s="112">
        <v>5</v>
      </c>
      <c r="C1687" s="114">
        <v>0.0025338774453266644</v>
      </c>
      <c r="D1687" s="112" t="s">
        <v>2051</v>
      </c>
      <c r="E1687" s="112" t="b">
        <v>0</v>
      </c>
      <c r="F1687" s="112" t="b">
        <v>0</v>
      </c>
      <c r="G1687" s="112" t="b">
        <v>0</v>
      </c>
    </row>
    <row r="1688" spans="1:7" ht="15">
      <c r="A1688" s="112" t="s">
        <v>2213</v>
      </c>
      <c r="B1688" s="112">
        <v>5</v>
      </c>
      <c r="C1688" s="114">
        <v>0.0035455849404913433</v>
      </c>
      <c r="D1688" s="112" t="s">
        <v>2051</v>
      </c>
      <c r="E1688" s="112" t="b">
        <v>0</v>
      </c>
      <c r="F1688" s="112" t="b">
        <v>1</v>
      </c>
      <c r="G1688" s="112" t="b">
        <v>0</v>
      </c>
    </row>
    <row r="1689" spans="1:7" ht="15">
      <c r="A1689" s="112" t="s">
        <v>2089</v>
      </c>
      <c r="B1689" s="112">
        <v>5</v>
      </c>
      <c r="C1689" s="114">
        <v>0.0035455849404913433</v>
      </c>
      <c r="D1689" s="112" t="s">
        <v>2051</v>
      </c>
      <c r="E1689" s="112" t="b">
        <v>0</v>
      </c>
      <c r="F1689" s="112" t="b">
        <v>0</v>
      </c>
      <c r="G1689" s="112" t="b">
        <v>0</v>
      </c>
    </row>
    <row r="1690" spans="1:7" ht="15">
      <c r="A1690" s="112" t="s">
        <v>2444</v>
      </c>
      <c r="B1690" s="112">
        <v>5</v>
      </c>
      <c r="C1690" s="114">
        <v>0.0035455849404913433</v>
      </c>
      <c r="D1690" s="112" t="s">
        <v>2051</v>
      </c>
      <c r="E1690" s="112" t="b">
        <v>0</v>
      </c>
      <c r="F1690" s="112" t="b">
        <v>0</v>
      </c>
      <c r="G1690" s="112" t="b">
        <v>0</v>
      </c>
    </row>
    <row r="1691" spans="1:7" ht="15">
      <c r="A1691" s="112" t="s">
        <v>2192</v>
      </c>
      <c r="B1691" s="112">
        <v>5</v>
      </c>
      <c r="C1691" s="114">
        <v>0.0035455849404913433</v>
      </c>
      <c r="D1691" s="112" t="s">
        <v>2051</v>
      </c>
      <c r="E1691" s="112" t="b">
        <v>0</v>
      </c>
      <c r="F1691" s="112" t="b">
        <v>0</v>
      </c>
      <c r="G1691" s="112" t="b">
        <v>0</v>
      </c>
    </row>
    <row r="1692" spans="1:7" ht="15">
      <c r="A1692" s="112" t="s">
        <v>2391</v>
      </c>
      <c r="B1692" s="112">
        <v>5</v>
      </c>
      <c r="C1692" s="114">
        <v>0.0035455849404913433</v>
      </c>
      <c r="D1692" s="112" t="s">
        <v>2051</v>
      </c>
      <c r="E1692" s="112" t="b">
        <v>0</v>
      </c>
      <c r="F1692" s="112" t="b">
        <v>0</v>
      </c>
      <c r="G1692" s="112" t="b">
        <v>0</v>
      </c>
    </row>
    <row r="1693" spans="1:7" ht="15">
      <c r="A1693" s="112" t="s">
        <v>2228</v>
      </c>
      <c r="B1693" s="112">
        <v>5</v>
      </c>
      <c r="C1693" s="114">
        <v>0.0035455849404913433</v>
      </c>
      <c r="D1693" s="112" t="s">
        <v>2051</v>
      </c>
      <c r="E1693" s="112" t="b">
        <v>0</v>
      </c>
      <c r="F1693" s="112" t="b">
        <v>1</v>
      </c>
      <c r="G1693" s="112" t="b">
        <v>0</v>
      </c>
    </row>
    <row r="1694" spans="1:7" ht="15">
      <c r="A1694" s="112" t="s">
        <v>2310</v>
      </c>
      <c r="B1694" s="112">
        <v>5</v>
      </c>
      <c r="C1694" s="114">
        <v>0.0029072685798806957</v>
      </c>
      <c r="D1694" s="112" t="s">
        <v>2051</v>
      </c>
      <c r="E1694" s="112" t="b">
        <v>0</v>
      </c>
      <c r="F1694" s="112" t="b">
        <v>0</v>
      </c>
      <c r="G1694" s="112" t="b">
        <v>0</v>
      </c>
    </row>
    <row r="1695" spans="1:7" ht="15">
      <c r="A1695" s="112" t="s">
        <v>2441</v>
      </c>
      <c r="B1695" s="112">
        <v>5</v>
      </c>
      <c r="C1695" s="114">
        <v>0.0035455849404913433</v>
      </c>
      <c r="D1695" s="112" t="s">
        <v>2051</v>
      </c>
      <c r="E1695" s="112" t="b">
        <v>0</v>
      </c>
      <c r="F1695" s="112" t="b">
        <v>0</v>
      </c>
      <c r="G1695" s="112" t="b">
        <v>0</v>
      </c>
    </row>
    <row r="1696" spans="1:7" ht="15">
      <c r="A1696" s="112" t="s">
        <v>2282</v>
      </c>
      <c r="B1696" s="112">
        <v>5</v>
      </c>
      <c r="C1696" s="114">
        <v>0.0035455849404913433</v>
      </c>
      <c r="D1696" s="112" t="s">
        <v>2051</v>
      </c>
      <c r="E1696" s="112" t="b">
        <v>0</v>
      </c>
      <c r="F1696" s="112" t="b">
        <v>0</v>
      </c>
      <c r="G1696" s="112" t="b">
        <v>0</v>
      </c>
    </row>
    <row r="1697" spans="1:7" ht="15">
      <c r="A1697" s="112" t="s">
        <v>2433</v>
      </c>
      <c r="B1697" s="112">
        <v>5</v>
      </c>
      <c r="C1697" s="114">
        <v>0.0035455849404913433</v>
      </c>
      <c r="D1697" s="112" t="s">
        <v>2051</v>
      </c>
      <c r="E1697" s="112" t="b">
        <v>0</v>
      </c>
      <c r="F1697" s="112" t="b">
        <v>0</v>
      </c>
      <c r="G1697" s="112" t="b">
        <v>0</v>
      </c>
    </row>
    <row r="1698" spans="1:7" ht="15">
      <c r="A1698" s="112" t="s">
        <v>2276</v>
      </c>
      <c r="B1698" s="112">
        <v>4</v>
      </c>
      <c r="C1698" s="114">
        <v>0.0020271019562613313</v>
      </c>
      <c r="D1698" s="112" t="s">
        <v>2051</v>
      </c>
      <c r="E1698" s="112" t="b">
        <v>0</v>
      </c>
      <c r="F1698" s="112" t="b">
        <v>0</v>
      </c>
      <c r="G1698" s="112" t="b">
        <v>0</v>
      </c>
    </row>
    <row r="1699" spans="1:7" ht="15">
      <c r="A1699" s="112" t="s">
        <v>2502</v>
      </c>
      <c r="B1699" s="112">
        <v>4</v>
      </c>
      <c r="C1699" s="114">
        <v>0.0020271019562613313</v>
      </c>
      <c r="D1699" s="112" t="s">
        <v>2051</v>
      </c>
      <c r="E1699" s="112" t="b">
        <v>0</v>
      </c>
      <c r="F1699" s="112" t="b">
        <v>0</v>
      </c>
      <c r="G1699" s="112" t="b">
        <v>0</v>
      </c>
    </row>
    <row r="1700" spans="1:7" ht="15">
      <c r="A1700" s="112" t="s">
        <v>2534</v>
      </c>
      <c r="B1700" s="112">
        <v>4</v>
      </c>
      <c r="C1700" s="114">
        <v>0.0028364679523930746</v>
      </c>
      <c r="D1700" s="112" t="s">
        <v>2051</v>
      </c>
      <c r="E1700" s="112" t="b">
        <v>0</v>
      </c>
      <c r="F1700" s="112" t="b">
        <v>0</v>
      </c>
      <c r="G1700" s="112" t="b">
        <v>0</v>
      </c>
    </row>
    <row r="1701" spans="1:7" ht="15">
      <c r="A1701" s="112" t="s">
        <v>2532</v>
      </c>
      <c r="B1701" s="112">
        <v>4</v>
      </c>
      <c r="C1701" s="114">
        <v>0.0028364679523930746</v>
      </c>
      <c r="D1701" s="112" t="s">
        <v>2051</v>
      </c>
      <c r="E1701" s="112" t="b">
        <v>0</v>
      </c>
      <c r="F1701" s="112" t="b">
        <v>0</v>
      </c>
      <c r="G1701" s="112" t="b">
        <v>0</v>
      </c>
    </row>
    <row r="1702" spans="1:7" ht="15">
      <c r="A1702" s="112" t="s">
        <v>2316</v>
      </c>
      <c r="B1702" s="112">
        <v>4</v>
      </c>
      <c r="C1702" s="114">
        <v>0.0020271019562613313</v>
      </c>
      <c r="D1702" s="112" t="s">
        <v>2051</v>
      </c>
      <c r="E1702" s="112" t="b">
        <v>0</v>
      </c>
      <c r="F1702" s="112" t="b">
        <v>0</v>
      </c>
      <c r="G1702" s="112" t="b">
        <v>0</v>
      </c>
    </row>
    <row r="1703" spans="1:7" ht="15">
      <c r="A1703" s="112" t="s">
        <v>2136</v>
      </c>
      <c r="B1703" s="112">
        <v>4</v>
      </c>
      <c r="C1703" s="114">
        <v>0.0020271019562613313</v>
      </c>
      <c r="D1703" s="112" t="s">
        <v>2051</v>
      </c>
      <c r="E1703" s="112" t="b">
        <v>0</v>
      </c>
      <c r="F1703" s="112" t="b">
        <v>1</v>
      </c>
      <c r="G1703" s="112" t="b">
        <v>0</v>
      </c>
    </row>
    <row r="1704" spans="1:7" ht="15">
      <c r="A1704" s="112" t="s">
        <v>2530</v>
      </c>
      <c r="B1704" s="112">
        <v>4</v>
      </c>
      <c r="C1704" s="114">
        <v>0.0020271019562613313</v>
      </c>
      <c r="D1704" s="112" t="s">
        <v>2051</v>
      </c>
      <c r="E1704" s="112" t="b">
        <v>0</v>
      </c>
      <c r="F1704" s="112" t="b">
        <v>0</v>
      </c>
      <c r="G1704" s="112" t="b">
        <v>0</v>
      </c>
    </row>
    <row r="1705" spans="1:7" ht="15">
      <c r="A1705" s="112" t="s">
        <v>2350</v>
      </c>
      <c r="B1705" s="112">
        <v>4</v>
      </c>
      <c r="C1705" s="114">
        <v>0.001815161775416039</v>
      </c>
      <c r="D1705" s="112" t="s">
        <v>2051</v>
      </c>
      <c r="E1705" s="112" t="b">
        <v>0</v>
      </c>
      <c r="F1705" s="112" t="b">
        <v>0</v>
      </c>
      <c r="G1705" s="112" t="b">
        <v>0</v>
      </c>
    </row>
    <row r="1706" spans="1:7" ht="15">
      <c r="A1706" s="112" t="s">
        <v>2514</v>
      </c>
      <c r="B1706" s="112">
        <v>4</v>
      </c>
      <c r="C1706" s="114">
        <v>0.001815161775416039</v>
      </c>
      <c r="D1706" s="112" t="s">
        <v>2051</v>
      </c>
      <c r="E1706" s="112" t="b">
        <v>0</v>
      </c>
      <c r="F1706" s="112" t="b">
        <v>0</v>
      </c>
      <c r="G1706" s="112" t="b">
        <v>0</v>
      </c>
    </row>
    <row r="1707" spans="1:7" ht="15">
      <c r="A1707" s="112" t="s">
        <v>2515</v>
      </c>
      <c r="B1707" s="112">
        <v>4</v>
      </c>
      <c r="C1707" s="114">
        <v>0.001815161775416039</v>
      </c>
      <c r="D1707" s="112" t="s">
        <v>2051</v>
      </c>
      <c r="E1707" s="112" t="b">
        <v>0</v>
      </c>
      <c r="F1707" s="112" t="b">
        <v>0</v>
      </c>
      <c r="G1707" s="112" t="b">
        <v>0</v>
      </c>
    </row>
    <row r="1708" spans="1:7" ht="15">
      <c r="A1708" s="112" t="s">
        <v>2388</v>
      </c>
      <c r="B1708" s="112">
        <v>4</v>
      </c>
      <c r="C1708" s="114">
        <v>0.0020271019562613313</v>
      </c>
      <c r="D1708" s="112" t="s">
        <v>2051</v>
      </c>
      <c r="E1708" s="112" t="b">
        <v>1</v>
      </c>
      <c r="F1708" s="112" t="b">
        <v>0</v>
      </c>
      <c r="G1708" s="112" t="b">
        <v>0</v>
      </c>
    </row>
    <row r="1709" spans="1:7" ht="15">
      <c r="A1709" s="112" t="s">
        <v>2397</v>
      </c>
      <c r="B1709" s="112">
        <v>4</v>
      </c>
      <c r="C1709" s="114">
        <v>0.0023258148639045567</v>
      </c>
      <c r="D1709" s="112" t="s">
        <v>2051</v>
      </c>
      <c r="E1709" s="112" t="b">
        <v>0</v>
      </c>
      <c r="F1709" s="112" t="b">
        <v>0</v>
      </c>
      <c r="G1709" s="112" t="b">
        <v>0</v>
      </c>
    </row>
    <row r="1710" spans="1:7" ht="15">
      <c r="A1710" s="112" t="s">
        <v>2439</v>
      </c>
      <c r="B1710" s="112">
        <v>4</v>
      </c>
      <c r="C1710" s="114">
        <v>0.0023258148639045567</v>
      </c>
      <c r="D1710" s="112" t="s">
        <v>2051</v>
      </c>
      <c r="E1710" s="112" t="b">
        <v>0</v>
      </c>
      <c r="F1710" s="112" t="b">
        <v>0</v>
      </c>
      <c r="G1710" s="112" t="b">
        <v>0</v>
      </c>
    </row>
    <row r="1711" spans="1:7" ht="15">
      <c r="A1711" s="112" t="s">
        <v>2258</v>
      </c>
      <c r="B1711" s="112">
        <v>4</v>
      </c>
      <c r="C1711" s="114">
        <v>0.0020271019562613313</v>
      </c>
      <c r="D1711" s="112" t="s">
        <v>2051</v>
      </c>
      <c r="E1711" s="112" t="b">
        <v>0</v>
      </c>
      <c r="F1711" s="112" t="b">
        <v>0</v>
      </c>
      <c r="G1711" s="112" t="b">
        <v>0</v>
      </c>
    </row>
    <row r="1712" spans="1:7" ht="15">
      <c r="A1712" s="112" t="s">
        <v>2354</v>
      </c>
      <c r="B1712" s="112">
        <v>4</v>
      </c>
      <c r="C1712" s="114">
        <v>0.0028364679523930746</v>
      </c>
      <c r="D1712" s="112" t="s">
        <v>2051</v>
      </c>
      <c r="E1712" s="112" t="b">
        <v>0</v>
      </c>
      <c r="F1712" s="112" t="b">
        <v>0</v>
      </c>
      <c r="G1712" s="112" t="b">
        <v>0</v>
      </c>
    </row>
    <row r="1713" spans="1:7" ht="15">
      <c r="A1713" s="112" t="s">
        <v>2529</v>
      </c>
      <c r="B1713" s="112">
        <v>4</v>
      </c>
      <c r="C1713" s="114">
        <v>0.0028364679523930746</v>
      </c>
      <c r="D1713" s="112" t="s">
        <v>2051</v>
      </c>
      <c r="E1713" s="112" t="b">
        <v>0</v>
      </c>
      <c r="F1713" s="112" t="b">
        <v>0</v>
      </c>
      <c r="G1713" s="112" t="b">
        <v>0</v>
      </c>
    </row>
    <row r="1714" spans="1:7" ht="15">
      <c r="A1714" s="112" t="s">
        <v>2396</v>
      </c>
      <c r="B1714" s="112">
        <v>4</v>
      </c>
      <c r="C1714" s="114">
        <v>0.0028364679523930746</v>
      </c>
      <c r="D1714" s="112" t="s">
        <v>2051</v>
      </c>
      <c r="E1714" s="112" t="b">
        <v>0</v>
      </c>
      <c r="F1714" s="112" t="b">
        <v>0</v>
      </c>
      <c r="G1714" s="112" t="b">
        <v>0</v>
      </c>
    </row>
    <row r="1715" spans="1:7" ht="15">
      <c r="A1715" s="112" t="s">
        <v>2443</v>
      </c>
      <c r="B1715" s="112">
        <v>4</v>
      </c>
      <c r="C1715" s="114">
        <v>0.0023258148639045567</v>
      </c>
      <c r="D1715" s="112" t="s">
        <v>2051</v>
      </c>
      <c r="E1715" s="112" t="b">
        <v>0</v>
      </c>
      <c r="F1715" s="112" t="b">
        <v>0</v>
      </c>
      <c r="G1715" s="112" t="b">
        <v>0</v>
      </c>
    </row>
    <row r="1716" spans="1:7" ht="15">
      <c r="A1716" s="112" t="s">
        <v>2525</v>
      </c>
      <c r="B1716" s="112">
        <v>4</v>
      </c>
      <c r="C1716" s="114">
        <v>0.0028364679523930746</v>
      </c>
      <c r="D1716" s="112" t="s">
        <v>2051</v>
      </c>
      <c r="E1716" s="112" t="b">
        <v>0</v>
      </c>
      <c r="F1716" s="112" t="b">
        <v>0</v>
      </c>
      <c r="G1716" s="112" t="b">
        <v>0</v>
      </c>
    </row>
    <row r="1717" spans="1:7" ht="15">
      <c r="A1717" s="112" t="s">
        <v>2523</v>
      </c>
      <c r="B1717" s="112">
        <v>4</v>
      </c>
      <c r="C1717" s="114">
        <v>0.0028364679523930746</v>
      </c>
      <c r="D1717" s="112" t="s">
        <v>2051</v>
      </c>
      <c r="E1717" s="112" t="b">
        <v>0</v>
      </c>
      <c r="F1717" s="112" t="b">
        <v>0</v>
      </c>
      <c r="G1717" s="112" t="b">
        <v>0</v>
      </c>
    </row>
    <row r="1718" spans="1:7" ht="15">
      <c r="A1718" s="112" t="s">
        <v>2188</v>
      </c>
      <c r="B1718" s="112">
        <v>4</v>
      </c>
      <c r="C1718" s="114">
        <v>0.0023258148639045567</v>
      </c>
      <c r="D1718" s="112" t="s">
        <v>2051</v>
      </c>
      <c r="E1718" s="112" t="b">
        <v>0</v>
      </c>
      <c r="F1718" s="112" t="b">
        <v>0</v>
      </c>
      <c r="G1718" s="112" t="b">
        <v>0</v>
      </c>
    </row>
    <row r="1719" spans="1:7" ht="15">
      <c r="A1719" s="112" t="s">
        <v>2506</v>
      </c>
      <c r="B1719" s="112">
        <v>4</v>
      </c>
      <c r="C1719" s="114">
        <v>0.001815161775416039</v>
      </c>
      <c r="D1719" s="112" t="s">
        <v>2051</v>
      </c>
      <c r="E1719" s="112" t="b">
        <v>0</v>
      </c>
      <c r="F1719" s="112" t="b">
        <v>0</v>
      </c>
      <c r="G1719" s="112" t="b">
        <v>0</v>
      </c>
    </row>
    <row r="1720" spans="1:7" ht="15">
      <c r="A1720" s="112" t="s">
        <v>2432</v>
      </c>
      <c r="B1720" s="112">
        <v>4</v>
      </c>
      <c r="C1720" s="114">
        <v>0.001815161775416039</v>
      </c>
      <c r="D1720" s="112" t="s">
        <v>2051</v>
      </c>
      <c r="E1720" s="112" t="b">
        <v>0</v>
      </c>
      <c r="F1720" s="112" t="b">
        <v>0</v>
      </c>
      <c r="G1720" s="112" t="b">
        <v>0</v>
      </c>
    </row>
    <row r="1721" spans="1:7" ht="15">
      <c r="A1721" s="112" t="s">
        <v>2520</v>
      </c>
      <c r="B1721" s="112">
        <v>4</v>
      </c>
      <c r="C1721" s="114">
        <v>0.0028364679523930746</v>
      </c>
      <c r="D1721" s="112" t="s">
        <v>2051</v>
      </c>
      <c r="E1721" s="112" t="b">
        <v>0</v>
      </c>
      <c r="F1721" s="112" t="b">
        <v>0</v>
      </c>
      <c r="G1721" s="112" t="b">
        <v>0</v>
      </c>
    </row>
    <row r="1722" spans="1:7" ht="15">
      <c r="A1722" s="112" t="s">
        <v>2259</v>
      </c>
      <c r="B1722" s="112">
        <v>4</v>
      </c>
      <c r="C1722" s="114">
        <v>0.0028364679523930746</v>
      </c>
      <c r="D1722" s="112" t="s">
        <v>2051</v>
      </c>
      <c r="E1722" s="112" t="b">
        <v>0</v>
      </c>
      <c r="F1722" s="112" t="b">
        <v>0</v>
      </c>
      <c r="G1722" s="112" t="b">
        <v>0</v>
      </c>
    </row>
    <row r="1723" spans="1:7" ht="15">
      <c r="A1723" s="112" t="s">
        <v>2512</v>
      </c>
      <c r="B1723" s="112">
        <v>4</v>
      </c>
      <c r="C1723" s="114">
        <v>0.0028364679523930746</v>
      </c>
      <c r="D1723" s="112" t="s">
        <v>2051</v>
      </c>
      <c r="E1723" s="112" t="b">
        <v>0</v>
      </c>
      <c r="F1723" s="112" t="b">
        <v>0</v>
      </c>
      <c r="G1723" s="112" t="b">
        <v>0</v>
      </c>
    </row>
    <row r="1724" spans="1:7" ht="15">
      <c r="A1724" s="112" t="s">
        <v>2508</v>
      </c>
      <c r="B1724" s="112">
        <v>4</v>
      </c>
      <c r="C1724" s="114">
        <v>0.0028364679523930746</v>
      </c>
      <c r="D1724" s="112" t="s">
        <v>2051</v>
      </c>
      <c r="E1724" s="112" t="b">
        <v>0</v>
      </c>
      <c r="F1724" s="112" t="b">
        <v>0</v>
      </c>
      <c r="G1724" s="112" t="b">
        <v>0</v>
      </c>
    </row>
    <row r="1725" spans="1:7" ht="15">
      <c r="A1725" s="112" t="s">
        <v>2382</v>
      </c>
      <c r="B1725" s="112">
        <v>4</v>
      </c>
      <c r="C1725" s="114">
        <v>0.0028364679523930746</v>
      </c>
      <c r="D1725" s="112" t="s">
        <v>2051</v>
      </c>
      <c r="E1725" s="112" t="b">
        <v>0</v>
      </c>
      <c r="F1725" s="112" t="b">
        <v>0</v>
      </c>
      <c r="G1725" s="112" t="b">
        <v>0</v>
      </c>
    </row>
    <row r="1726" spans="1:7" ht="15">
      <c r="A1726" s="112" t="s">
        <v>2503</v>
      </c>
      <c r="B1726" s="112">
        <v>4</v>
      </c>
      <c r="C1726" s="114">
        <v>0.0028364679523930746</v>
      </c>
      <c r="D1726" s="112" t="s">
        <v>2051</v>
      </c>
      <c r="E1726" s="112" t="b">
        <v>0</v>
      </c>
      <c r="F1726" s="112" t="b">
        <v>0</v>
      </c>
      <c r="G1726" s="112" t="b">
        <v>0</v>
      </c>
    </row>
    <row r="1727" spans="1:7" ht="15">
      <c r="A1727" s="112" t="s">
        <v>2126</v>
      </c>
      <c r="B1727" s="112">
        <v>3</v>
      </c>
      <c r="C1727" s="114">
        <v>0.0017443611479284178</v>
      </c>
      <c r="D1727" s="112" t="s">
        <v>2051</v>
      </c>
      <c r="E1727" s="112" t="b">
        <v>0</v>
      </c>
      <c r="F1727" s="112" t="b">
        <v>0</v>
      </c>
      <c r="G1727" s="112" t="b">
        <v>0</v>
      </c>
    </row>
    <row r="1728" spans="1:7" ht="15">
      <c r="A1728" s="112" t="s">
        <v>2204</v>
      </c>
      <c r="B1728" s="112">
        <v>3</v>
      </c>
      <c r="C1728" s="114">
        <v>0.002127350964294806</v>
      </c>
      <c r="D1728" s="112" t="s">
        <v>2051</v>
      </c>
      <c r="E1728" s="112" t="b">
        <v>0</v>
      </c>
      <c r="F1728" s="112" t="b">
        <v>0</v>
      </c>
      <c r="G1728" s="112" t="b">
        <v>0</v>
      </c>
    </row>
    <row r="1729" spans="1:7" ht="15">
      <c r="A1729" s="112" t="s">
        <v>2080</v>
      </c>
      <c r="B1729" s="112">
        <v>3</v>
      </c>
      <c r="C1729" s="114">
        <v>0.002127350964294806</v>
      </c>
      <c r="D1729" s="112" t="s">
        <v>2051</v>
      </c>
      <c r="E1729" s="112" t="b">
        <v>0</v>
      </c>
      <c r="F1729" s="112" t="b">
        <v>0</v>
      </c>
      <c r="G1729" s="112" t="b">
        <v>0</v>
      </c>
    </row>
    <row r="1730" spans="1:7" ht="15">
      <c r="A1730" s="112" t="s">
        <v>2662</v>
      </c>
      <c r="B1730" s="112">
        <v>3</v>
      </c>
      <c r="C1730" s="114">
        <v>0.002127350964294806</v>
      </c>
      <c r="D1730" s="112" t="s">
        <v>2051</v>
      </c>
      <c r="E1730" s="112" t="b">
        <v>0</v>
      </c>
      <c r="F1730" s="112" t="b">
        <v>0</v>
      </c>
      <c r="G1730" s="112" t="b">
        <v>0</v>
      </c>
    </row>
    <row r="1731" spans="1:7" ht="15">
      <c r="A1731" s="112" t="s">
        <v>2288</v>
      </c>
      <c r="B1731" s="112">
        <v>3</v>
      </c>
      <c r="C1731" s="114">
        <v>0.002127350964294806</v>
      </c>
      <c r="D1731" s="112" t="s">
        <v>2051</v>
      </c>
      <c r="E1731" s="112" t="b">
        <v>0</v>
      </c>
      <c r="F1731" s="112" t="b">
        <v>0</v>
      </c>
      <c r="G1731" s="112" t="b">
        <v>0</v>
      </c>
    </row>
    <row r="1732" spans="1:7" ht="15">
      <c r="A1732" s="112" t="s">
        <v>2507</v>
      </c>
      <c r="B1732" s="112">
        <v>3</v>
      </c>
      <c r="C1732" s="114">
        <v>0.0015203264671959987</v>
      </c>
      <c r="D1732" s="112" t="s">
        <v>2051</v>
      </c>
      <c r="E1732" s="112" t="b">
        <v>0</v>
      </c>
      <c r="F1732" s="112" t="b">
        <v>0</v>
      </c>
      <c r="G1732" s="112" t="b">
        <v>0</v>
      </c>
    </row>
    <row r="1733" spans="1:7" ht="15">
      <c r="A1733" s="112" t="s">
        <v>2445</v>
      </c>
      <c r="B1733" s="112">
        <v>3</v>
      </c>
      <c r="C1733" s="114">
        <v>0.0017443611479284178</v>
      </c>
      <c r="D1733" s="112" t="s">
        <v>2051</v>
      </c>
      <c r="E1733" s="112" t="b">
        <v>0</v>
      </c>
      <c r="F1733" s="112" t="b">
        <v>0</v>
      </c>
      <c r="G1733" s="112" t="b">
        <v>0</v>
      </c>
    </row>
    <row r="1734" spans="1:7" ht="15">
      <c r="A1734" s="112" t="s">
        <v>2533</v>
      </c>
      <c r="B1734" s="112">
        <v>3</v>
      </c>
      <c r="C1734" s="114">
        <v>0.002127350964294806</v>
      </c>
      <c r="D1734" s="112" t="s">
        <v>2051</v>
      </c>
      <c r="E1734" s="112" t="b">
        <v>0</v>
      </c>
      <c r="F1734" s="112" t="b">
        <v>0</v>
      </c>
      <c r="G1734" s="112" t="b">
        <v>0</v>
      </c>
    </row>
    <row r="1735" spans="1:7" ht="15">
      <c r="A1735" s="112" t="s">
        <v>2153</v>
      </c>
      <c r="B1735" s="112">
        <v>3</v>
      </c>
      <c r="C1735" s="114">
        <v>0.0015203264671959987</v>
      </c>
      <c r="D1735" s="112" t="s">
        <v>2051</v>
      </c>
      <c r="E1735" s="112" t="b">
        <v>0</v>
      </c>
      <c r="F1735" s="112" t="b">
        <v>0</v>
      </c>
      <c r="G1735" s="112" t="b">
        <v>0</v>
      </c>
    </row>
    <row r="1736" spans="1:7" ht="15">
      <c r="A1736" s="112" t="s">
        <v>2524</v>
      </c>
      <c r="B1736" s="112">
        <v>3</v>
      </c>
      <c r="C1736" s="114">
        <v>0.0017443611479284178</v>
      </c>
      <c r="D1736" s="112" t="s">
        <v>2051</v>
      </c>
      <c r="E1736" s="112" t="b">
        <v>0</v>
      </c>
      <c r="F1736" s="112" t="b">
        <v>0</v>
      </c>
      <c r="G1736" s="112" t="b">
        <v>0</v>
      </c>
    </row>
    <row r="1737" spans="1:7" ht="15">
      <c r="A1737" s="112" t="s">
        <v>2660</v>
      </c>
      <c r="B1737" s="112">
        <v>3</v>
      </c>
      <c r="C1737" s="114">
        <v>0.002127350964294806</v>
      </c>
      <c r="D1737" s="112" t="s">
        <v>2051</v>
      </c>
      <c r="E1737" s="112" t="b">
        <v>0</v>
      </c>
      <c r="F1737" s="112" t="b">
        <v>1</v>
      </c>
      <c r="G1737" s="112" t="b">
        <v>0</v>
      </c>
    </row>
    <row r="1738" spans="1:7" ht="15">
      <c r="A1738" s="112" t="s">
        <v>2659</v>
      </c>
      <c r="B1738" s="112">
        <v>3</v>
      </c>
      <c r="C1738" s="114">
        <v>0.002127350964294806</v>
      </c>
      <c r="D1738" s="112" t="s">
        <v>2051</v>
      </c>
      <c r="E1738" s="112" t="b">
        <v>0</v>
      </c>
      <c r="F1738" s="112" t="b">
        <v>1</v>
      </c>
      <c r="G1738" s="112" t="b">
        <v>0</v>
      </c>
    </row>
    <row r="1739" spans="1:7" ht="15">
      <c r="A1739" s="112" t="s">
        <v>2628</v>
      </c>
      <c r="B1739" s="112">
        <v>3</v>
      </c>
      <c r="C1739" s="114">
        <v>0.0015203264671959987</v>
      </c>
      <c r="D1739" s="112" t="s">
        <v>2051</v>
      </c>
      <c r="E1739" s="112" t="b">
        <v>0</v>
      </c>
      <c r="F1739" s="112" t="b">
        <v>0</v>
      </c>
      <c r="G1739" s="112" t="b">
        <v>0</v>
      </c>
    </row>
    <row r="1740" spans="1:7" ht="15">
      <c r="A1740" s="112" t="s">
        <v>2658</v>
      </c>
      <c r="B1740" s="112">
        <v>3</v>
      </c>
      <c r="C1740" s="114">
        <v>0.002127350964294806</v>
      </c>
      <c r="D1740" s="112" t="s">
        <v>2051</v>
      </c>
      <c r="E1740" s="112" t="b">
        <v>0</v>
      </c>
      <c r="F1740" s="112" t="b">
        <v>0</v>
      </c>
      <c r="G1740" s="112" t="b">
        <v>0</v>
      </c>
    </row>
    <row r="1741" spans="1:7" ht="15">
      <c r="A1741" s="112" t="s">
        <v>2656</v>
      </c>
      <c r="B1741" s="112">
        <v>3</v>
      </c>
      <c r="C1741" s="114">
        <v>0.002127350964294806</v>
      </c>
      <c r="D1741" s="112" t="s">
        <v>2051</v>
      </c>
      <c r="E1741" s="112" t="b">
        <v>1</v>
      </c>
      <c r="F1741" s="112" t="b">
        <v>0</v>
      </c>
      <c r="G1741" s="112" t="b">
        <v>0</v>
      </c>
    </row>
    <row r="1742" spans="1:7" ht="15">
      <c r="A1742" s="112" t="s">
        <v>2518</v>
      </c>
      <c r="B1742" s="112">
        <v>3</v>
      </c>
      <c r="C1742" s="114">
        <v>0.0015203264671959987</v>
      </c>
      <c r="D1742" s="112" t="s">
        <v>2051</v>
      </c>
      <c r="E1742" s="112" t="b">
        <v>0</v>
      </c>
      <c r="F1742" s="112" t="b">
        <v>0</v>
      </c>
      <c r="G1742" s="112" t="b">
        <v>0</v>
      </c>
    </row>
    <row r="1743" spans="1:7" ht="15">
      <c r="A1743" s="112" t="s">
        <v>2313</v>
      </c>
      <c r="B1743" s="112">
        <v>3</v>
      </c>
      <c r="C1743" s="114">
        <v>0.0015203264671959987</v>
      </c>
      <c r="D1743" s="112" t="s">
        <v>2051</v>
      </c>
      <c r="E1743" s="112" t="b">
        <v>0</v>
      </c>
      <c r="F1743" s="112" t="b">
        <v>0</v>
      </c>
      <c r="G1743" s="112" t="b">
        <v>0</v>
      </c>
    </row>
    <row r="1744" spans="1:7" ht="15">
      <c r="A1744" s="112" t="s">
        <v>2092</v>
      </c>
      <c r="B1744" s="112">
        <v>3</v>
      </c>
      <c r="C1744" s="114">
        <v>0.0015203264671959987</v>
      </c>
      <c r="D1744" s="112" t="s">
        <v>2051</v>
      </c>
      <c r="E1744" s="112" t="b">
        <v>0</v>
      </c>
      <c r="F1744" s="112" t="b">
        <v>0</v>
      </c>
      <c r="G1744" s="112" t="b">
        <v>0</v>
      </c>
    </row>
    <row r="1745" spans="1:7" ht="15">
      <c r="A1745" s="112" t="s">
        <v>2646</v>
      </c>
      <c r="B1745" s="112">
        <v>3</v>
      </c>
      <c r="C1745" s="114">
        <v>0.0017443611479284178</v>
      </c>
      <c r="D1745" s="112" t="s">
        <v>2051</v>
      </c>
      <c r="E1745" s="112" t="b">
        <v>0</v>
      </c>
      <c r="F1745" s="112" t="b">
        <v>0</v>
      </c>
      <c r="G1745" s="112" t="b">
        <v>0</v>
      </c>
    </row>
    <row r="1746" spans="1:7" ht="15">
      <c r="A1746" s="112" t="s">
        <v>2395</v>
      </c>
      <c r="B1746" s="112">
        <v>3</v>
      </c>
      <c r="C1746" s="114">
        <v>0.002127350964294806</v>
      </c>
      <c r="D1746" s="112" t="s">
        <v>2051</v>
      </c>
      <c r="E1746" s="112" t="b">
        <v>0</v>
      </c>
      <c r="F1746" s="112" t="b">
        <v>0</v>
      </c>
      <c r="G1746" s="112" t="b">
        <v>0</v>
      </c>
    </row>
    <row r="1747" spans="1:7" ht="15">
      <c r="A1747" s="112" t="s">
        <v>2519</v>
      </c>
      <c r="B1747" s="112">
        <v>3</v>
      </c>
      <c r="C1747" s="114">
        <v>0.0015203264671959987</v>
      </c>
      <c r="D1747" s="112" t="s">
        <v>2051</v>
      </c>
      <c r="E1747" s="112" t="b">
        <v>1</v>
      </c>
      <c r="F1747" s="112" t="b">
        <v>0</v>
      </c>
      <c r="G1747" s="112" t="b">
        <v>0</v>
      </c>
    </row>
    <row r="1748" spans="1:7" ht="15">
      <c r="A1748" s="112" t="s">
        <v>2446</v>
      </c>
      <c r="B1748" s="112">
        <v>3</v>
      </c>
      <c r="C1748" s="114">
        <v>0.002127350964294806</v>
      </c>
      <c r="D1748" s="112" t="s">
        <v>2051</v>
      </c>
      <c r="E1748" s="112" t="b">
        <v>0</v>
      </c>
      <c r="F1748" s="112" t="b">
        <v>1</v>
      </c>
      <c r="G1748" s="112" t="b">
        <v>0</v>
      </c>
    </row>
    <row r="1749" spans="1:7" ht="15">
      <c r="A1749" s="112" t="s">
        <v>2652</v>
      </c>
      <c r="B1749" s="112">
        <v>3</v>
      </c>
      <c r="C1749" s="114">
        <v>0.002127350964294806</v>
      </c>
      <c r="D1749" s="112" t="s">
        <v>2051</v>
      </c>
      <c r="E1749" s="112" t="b">
        <v>0</v>
      </c>
      <c r="F1749" s="112" t="b">
        <v>0</v>
      </c>
      <c r="G1749" s="112" t="b">
        <v>0</v>
      </c>
    </row>
    <row r="1750" spans="1:7" ht="15">
      <c r="A1750" s="112" t="s">
        <v>2239</v>
      </c>
      <c r="B1750" s="112">
        <v>3</v>
      </c>
      <c r="C1750" s="114">
        <v>0.0017443611479284178</v>
      </c>
      <c r="D1750" s="112" t="s">
        <v>2051</v>
      </c>
      <c r="E1750" s="112" t="b">
        <v>0</v>
      </c>
      <c r="F1750" s="112" t="b">
        <v>0</v>
      </c>
      <c r="G1750" s="112" t="b">
        <v>0</v>
      </c>
    </row>
    <row r="1751" spans="1:7" ht="15">
      <c r="A1751" s="112" t="s">
        <v>2261</v>
      </c>
      <c r="B1751" s="112">
        <v>3</v>
      </c>
      <c r="C1751" s="114">
        <v>0.0017443611479284178</v>
      </c>
      <c r="D1751" s="112" t="s">
        <v>2051</v>
      </c>
      <c r="E1751" s="112" t="b">
        <v>0</v>
      </c>
      <c r="F1751" s="112" t="b">
        <v>0</v>
      </c>
      <c r="G1751" s="112" t="b">
        <v>0</v>
      </c>
    </row>
    <row r="1752" spans="1:7" ht="15">
      <c r="A1752" s="112" t="s">
        <v>2522</v>
      </c>
      <c r="B1752" s="112">
        <v>3</v>
      </c>
      <c r="C1752" s="114">
        <v>0.002127350964294806</v>
      </c>
      <c r="D1752" s="112" t="s">
        <v>2051</v>
      </c>
      <c r="E1752" s="112" t="b">
        <v>0</v>
      </c>
      <c r="F1752" s="112" t="b">
        <v>1</v>
      </c>
      <c r="G1752" s="112" t="b">
        <v>0</v>
      </c>
    </row>
    <row r="1753" spans="1:7" ht="15">
      <c r="A1753" s="112" t="s">
        <v>2393</v>
      </c>
      <c r="B1753" s="112">
        <v>3</v>
      </c>
      <c r="C1753" s="114">
        <v>0.002127350964294806</v>
      </c>
      <c r="D1753" s="112" t="s">
        <v>2051</v>
      </c>
      <c r="E1753" s="112" t="b">
        <v>0</v>
      </c>
      <c r="F1753" s="112" t="b">
        <v>0</v>
      </c>
      <c r="G1753" s="112" t="b">
        <v>0</v>
      </c>
    </row>
    <row r="1754" spans="1:7" ht="15">
      <c r="A1754" s="112" t="s">
        <v>2647</v>
      </c>
      <c r="B1754" s="112">
        <v>3</v>
      </c>
      <c r="C1754" s="114">
        <v>0.002127350964294806</v>
      </c>
      <c r="D1754" s="112" t="s">
        <v>2051</v>
      </c>
      <c r="E1754" s="112" t="b">
        <v>0</v>
      </c>
      <c r="F1754" s="112" t="b">
        <v>0</v>
      </c>
      <c r="G1754" s="112" t="b">
        <v>0</v>
      </c>
    </row>
    <row r="1755" spans="1:7" ht="15">
      <c r="A1755" s="112" t="s">
        <v>2315</v>
      </c>
      <c r="B1755" s="112">
        <v>3</v>
      </c>
      <c r="C1755" s="114">
        <v>0.002127350964294806</v>
      </c>
      <c r="D1755" s="112" t="s">
        <v>2051</v>
      </c>
      <c r="E1755" s="112" t="b">
        <v>0</v>
      </c>
      <c r="F1755" s="112" t="b">
        <v>0</v>
      </c>
      <c r="G1755" s="112" t="b">
        <v>0</v>
      </c>
    </row>
    <row r="1756" spans="1:7" ht="15">
      <c r="A1756" s="112" t="s">
        <v>2629</v>
      </c>
      <c r="B1756" s="112">
        <v>3</v>
      </c>
      <c r="C1756" s="114">
        <v>0.0017443611479284178</v>
      </c>
      <c r="D1756" s="112" t="s">
        <v>2051</v>
      </c>
      <c r="E1756" s="112" t="b">
        <v>0</v>
      </c>
      <c r="F1756" s="112" t="b">
        <v>0</v>
      </c>
      <c r="G1756" s="112" t="b">
        <v>0</v>
      </c>
    </row>
    <row r="1757" spans="1:7" ht="15">
      <c r="A1757" s="112" t="s">
        <v>2438</v>
      </c>
      <c r="B1757" s="112">
        <v>3</v>
      </c>
      <c r="C1757" s="114">
        <v>0.002127350964294806</v>
      </c>
      <c r="D1757" s="112" t="s">
        <v>2051</v>
      </c>
      <c r="E1757" s="112" t="b">
        <v>0</v>
      </c>
      <c r="F1757" s="112" t="b">
        <v>0</v>
      </c>
      <c r="G1757" s="112" t="b">
        <v>0</v>
      </c>
    </row>
    <row r="1758" spans="1:7" ht="15">
      <c r="A1758" s="112" t="s">
        <v>2436</v>
      </c>
      <c r="B1758" s="112">
        <v>3</v>
      </c>
      <c r="C1758" s="114">
        <v>0.002127350964294806</v>
      </c>
      <c r="D1758" s="112" t="s">
        <v>2051</v>
      </c>
      <c r="E1758" s="112" t="b">
        <v>0</v>
      </c>
      <c r="F1758" s="112" t="b">
        <v>0</v>
      </c>
      <c r="G1758" s="112" t="b">
        <v>0</v>
      </c>
    </row>
    <row r="1759" spans="1:7" ht="15">
      <c r="A1759" s="112" t="s">
        <v>2516</v>
      </c>
      <c r="B1759" s="112">
        <v>3</v>
      </c>
      <c r="C1759" s="114">
        <v>0.002127350964294806</v>
      </c>
      <c r="D1759" s="112" t="s">
        <v>2051</v>
      </c>
      <c r="E1759" s="112" t="b">
        <v>0</v>
      </c>
      <c r="F1759" s="112" t="b">
        <v>0</v>
      </c>
      <c r="G1759" s="112" t="b">
        <v>0</v>
      </c>
    </row>
    <row r="1760" spans="1:7" ht="15">
      <c r="A1760" s="112" t="s">
        <v>2210</v>
      </c>
      <c r="B1760" s="112">
        <v>3</v>
      </c>
      <c r="C1760" s="114">
        <v>0.002127350964294806</v>
      </c>
      <c r="D1760" s="112" t="s">
        <v>2051</v>
      </c>
      <c r="E1760" s="112" t="b">
        <v>0</v>
      </c>
      <c r="F1760" s="112" t="b">
        <v>0</v>
      </c>
      <c r="G1760" s="112" t="b">
        <v>0</v>
      </c>
    </row>
    <row r="1761" spans="1:7" ht="15">
      <c r="A1761" s="112" t="s">
        <v>2627</v>
      </c>
      <c r="B1761" s="112">
        <v>3</v>
      </c>
      <c r="C1761" s="114">
        <v>0.0017443611479284178</v>
      </c>
      <c r="D1761" s="112" t="s">
        <v>2051</v>
      </c>
      <c r="E1761" s="112" t="b">
        <v>0</v>
      </c>
      <c r="F1761" s="112" t="b">
        <v>0</v>
      </c>
      <c r="G1761" s="112" t="b">
        <v>0</v>
      </c>
    </row>
    <row r="1762" spans="1:7" ht="15">
      <c r="A1762" s="112" t="s">
        <v>2346</v>
      </c>
      <c r="B1762" s="112">
        <v>3</v>
      </c>
      <c r="C1762" s="114">
        <v>0.002127350964294806</v>
      </c>
      <c r="D1762" s="112" t="s">
        <v>2051</v>
      </c>
      <c r="E1762" s="112" t="b">
        <v>0</v>
      </c>
      <c r="F1762" s="112" t="b">
        <v>0</v>
      </c>
      <c r="G1762" s="112" t="b">
        <v>0</v>
      </c>
    </row>
    <row r="1763" spans="1:7" ht="15">
      <c r="A1763" s="112" t="s">
        <v>2434</v>
      </c>
      <c r="B1763" s="112">
        <v>3</v>
      </c>
      <c r="C1763" s="114">
        <v>0.002127350964294806</v>
      </c>
      <c r="D1763" s="112" t="s">
        <v>2051</v>
      </c>
      <c r="E1763" s="112" t="b">
        <v>0</v>
      </c>
      <c r="F1763" s="112" t="b">
        <v>0</v>
      </c>
      <c r="G1763" s="112" t="b">
        <v>0</v>
      </c>
    </row>
    <row r="1764" spans="1:7" ht="15">
      <c r="A1764" s="112" t="s">
        <v>2626</v>
      </c>
      <c r="B1764" s="112">
        <v>3</v>
      </c>
      <c r="C1764" s="114">
        <v>0.002127350964294806</v>
      </c>
      <c r="D1764" s="112" t="s">
        <v>2051</v>
      </c>
      <c r="E1764" s="112" t="b">
        <v>0</v>
      </c>
      <c r="F1764" s="112" t="b">
        <v>0</v>
      </c>
      <c r="G1764" s="112" t="b">
        <v>0</v>
      </c>
    </row>
    <row r="1765" spans="1:7" ht="15">
      <c r="A1765" s="112" t="s">
        <v>2094</v>
      </c>
      <c r="B1765" s="112">
        <v>2</v>
      </c>
      <c r="C1765" s="114">
        <v>0.0014182339761965373</v>
      </c>
      <c r="D1765" s="112" t="s">
        <v>2051</v>
      </c>
      <c r="E1765" s="112" t="b">
        <v>0</v>
      </c>
      <c r="F1765" s="112" t="b">
        <v>0</v>
      </c>
      <c r="G1765" s="112" t="b">
        <v>0</v>
      </c>
    </row>
    <row r="1766" spans="1:7" ht="15">
      <c r="A1766" s="112" t="s">
        <v>2342</v>
      </c>
      <c r="B1766" s="112">
        <v>2</v>
      </c>
      <c r="C1766" s="114">
        <v>0.0011629074319522783</v>
      </c>
      <c r="D1766" s="112" t="s">
        <v>2051</v>
      </c>
      <c r="E1766" s="112" t="b">
        <v>1</v>
      </c>
      <c r="F1766" s="112" t="b">
        <v>0</v>
      </c>
      <c r="G1766" s="112" t="b">
        <v>0</v>
      </c>
    </row>
    <row r="1767" spans="1:7" ht="15">
      <c r="A1767" s="112" t="s">
        <v>2831</v>
      </c>
      <c r="B1767" s="112">
        <v>2</v>
      </c>
      <c r="C1767" s="114">
        <v>0.0011629074319522783</v>
      </c>
      <c r="D1767" s="112" t="s">
        <v>2051</v>
      </c>
      <c r="E1767" s="112" t="b">
        <v>0</v>
      </c>
      <c r="F1767" s="112" t="b">
        <v>0</v>
      </c>
      <c r="G1767" s="112" t="b">
        <v>0</v>
      </c>
    </row>
    <row r="1768" spans="1:7" ht="15">
      <c r="A1768" s="112" t="s">
        <v>2440</v>
      </c>
      <c r="B1768" s="112">
        <v>2</v>
      </c>
      <c r="C1768" s="114">
        <v>0.0011629074319522783</v>
      </c>
      <c r="D1768" s="112" t="s">
        <v>2051</v>
      </c>
      <c r="E1768" s="112" t="b">
        <v>0</v>
      </c>
      <c r="F1768" s="112" t="b">
        <v>0</v>
      </c>
      <c r="G1768" s="112" t="b">
        <v>0</v>
      </c>
    </row>
    <row r="1769" spans="1:7" ht="15">
      <c r="A1769" s="112" t="s">
        <v>2318</v>
      </c>
      <c r="B1769" s="112">
        <v>2</v>
      </c>
      <c r="C1769" s="114">
        <v>0.0011629074319522783</v>
      </c>
      <c r="D1769" s="112" t="s">
        <v>2051</v>
      </c>
      <c r="E1769" s="112" t="b">
        <v>0</v>
      </c>
      <c r="F1769" s="112" t="b">
        <v>0</v>
      </c>
      <c r="G1769" s="112" t="b">
        <v>0</v>
      </c>
    </row>
    <row r="1770" spans="1:7" ht="15">
      <c r="A1770" s="112" t="s">
        <v>2510</v>
      </c>
      <c r="B1770" s="112">
        <v>2</v>
      </c>
      <c r="C1770" s="114">
        <v>0.0011629074319522783</v>
      </c>
      <c r="D1770" s="112" t="s">
        <v>2051</v>
      </c>
      <c r="E1770" s="112" t="b">
        <v>0</v>
      </c>
      <c r="F1770" s="112" t="b">
        <v>0</v>
      </c>
      <c r="G1770" s="112" t="b">
        <v>0</v>
      </c>
    </row>
    <row r="1771" spans="1:7" ht="15">
      <c r="A1771" s="112" t="s">
        <v>2883</v>
      </c>
      <c r="B1771" s="112">
        <v>2</v>
      </c>
      <c r="C1771" s="114">
        <v>0.0014182339761965373</v>
      </c>
      <c r="D1771" s="112" t="s">
        <v>2051</v>
      </c>
      <c r="E1771" s="112" t="b">
        <v>0</v>
      </c>
      <c r="F1771" s="112" t="b">
        <v>0</v>
      </c>
      <c r="G1771" s="112" t="b">
        <v>0</v>
      </c>
    </row>
    <row r="1772" spans="1:7" ht="15">
      <c r="A1772" s="112" t="s">
        <v>2886</v>
      </c>
      <c r="B1772" s="112">
        <v>2</v>
      </c>
      <c r="C1772" s="114">
        <v>0.0014182339761965373</v>
      </c>
      <c r="D1772" s="112" t="s">
        <v>2051</v>
      </c>
      <c r="E1772" s="112" t="b">
        <v>0</v>
      </c>
      <c r="F1772" s="112" t="b">
        <v>0</v>
      </c>
      <c r="G1772" s="112" t="b">
        <v>0</v>
      </c>
    </row>
    <row r="1773" spans="1:7" ht="15">
      <c r="A1773" s="112" t="s">
        <v>2661</v>
      </c>
      <c r="B1773" s="112">
        <v>2</v>
      </c>
      <c r="C1773" s="114">
        <v>0.0014182339761965373</v>
      </c>
      <c r="D1773" s="112" t="s">
        <v>2051</v>
      </c>
      <c r="E1773" s="112" t="b">
        <v>0</v>
      </c>
      <c r="F1773" s="112" t="b">
        <v>0</v>
      </c>
      <c r="G1773" s="112" t="b">
        <v>0</v>
      </c>
    </row>
    <row r="1774" spans="1:7" ht="15">
      <c r="A1774" s="112" t="s">
        <v>2882</v>
      </c>
      <c r="B1774" s="112">
        <v>2</v>
      </c>
      <c r="C1774" s="114">
        <v>0.0014182339761965373</v>
      </c>
      <c r="D1774" s="112" t="s">
        <v>2051</v>
      </c>
      <c r="E1774" s="112" t="b">
        <v>0</v>
      </c>
      <c r="F1774" s="112" t="b">
        <v>0</v>
      </c>
      <c r="G1774" s="112" t="b">
        <v>0</v>
      </c>
    </row>
    <row r="1775" spans="1:7" ht="15">
      <c r="A1775" s="112" t="s">
        <v>2654</v>
      </c>
      <c r="B1775" s="112">
        <v>2</v>
      </c>
      <c r="C1775" s="114">
        <v>0.0011629074319522783</v>
      </c>
      <c r="D1775" s="112" t="s">
        <v>2051</v>
      </c>
      <c r="E1775" s="112" t="b">
        <v>0</v>
      </c>
      <c r="F1775" s="112" t="b">
        <v>0</v>
      </c>
      <c r="G1775" s="112" t="b">
        <v>0</v>
      </c>
    </row>
    <row r="1776" spans="1:7" ht="15">
      <c r="A1776" s="112" t="s">
        <v>2286</v>
      </c>
      <c r="B1776" s="112">
        <v>2</v>
      </c>
      <c r="C1776" s="114">
        <v>0.0011629074319522783</v>
      </c>
      <c r="D1776" s="112" t="s">
        <v>2051</v>
      </c>
      <c r="E1776" s="112" t="b">
        <v>0</v>
      </c>
      <c r="F1776" s="112" t="b">
        <v>0</v>
      </c>
      <c r="G1776" s="112" t="b">
        <v>0</v>
      </c>
    </row>
    <row r="1777" spans="1:7" ht="15">
      <c r="A1777" s="112" t="s">
        <v>2878</v>
      </c>
      <c r="B1777" s="112">
        <v>2</v>
      </c>
      <c r="C1777" s="114">
        <v>0.0014182339761965373</v>
      </c>
      <c r="D1777" s="112" t="s">
        <v>2051</v>
      </c>
      <c r="E1777" s="112" t="b">
        <v>0</v>
      </c>
      <c r="F1777" s="112" t="b">
        <v>0</v>
      </c>
      <c r="G1777" s="112" t="b">
        <v>0</v>
      </c>
    </row>
    <row r="1778" spans="1:7" ht="15">
      <c r="A1778" s="112" t="s">
        <v>2641</v>
      </c>
      <c r="B1778" s="112">
        <v>2</v>
      </c>
      <c r="C1778" s="114">
        <v>0.0011629074319522783</v>
      </c>
      <c r="D1778" s="112" t="s">
        <v>2051</v>
      </c>
      <c r="E1778" s="112" t="b">
        <v>1</v>
      </c>
      <c r="F1778" s="112" t="b">
        <v>0</v>
      </c>
      <c r="G1778" s="112" t="b">
        <v>0</v>
      </c>
    </row>
    <row r="1779" spans="1:7" ht="15">
      <c r="A1779" s="112" t="s">
        <v>2240</v>
      </c>
      <c r="B1779" s="112">
        <v>2</v>
      </c>
      <c r="C1779" s="114">
        <v>0.0011629074319522783</v>
      </c>
      <c r="D1779" s="112" t="s">
        <v>2051</v>
      </c>
      <c r="E1779" s="112" t="b">
        <v>0</v>
      </c>
      <c r="F1779" s="112" t="b">
        <v>0</v>
      </c>
      <c r="G1779" s="112" t="b">
        <v>0</v>
      </c>
    </row>
    <row r="1780" spans="1:7" ht="15">
      <c r="A1780" s="112" t="s">
        <v>2623</v>
      </c>
      <c r="B1780" s="112">
        <v>2</v>
      </c>
      <c r="C1780" s="114">
        <v>0.0011629074319522783</v>
      </c>
      <c r="D1780" s="112" t="s">
        <v>2051</v>
      </c>
      <c r="E1780" s="112" t="b">
        <v>0</v>
      </c>
      <c r="F1780" s="112" t="b">
        <v>0</v>
      </c>
      <c r="G1780" s="112" t="b">
        <v>0</v>
      </c>
    </row>
    <row r="1781" spans="1:7" ht="15">
      <c r="A1781" s="112" t="s">
        <v>2876</v>
      </c>
      <c r="B1781" s="112">
        <v>2</v>
      </c>
      <c r="C1781" s="114">
        <v>0.0011629074319522783</v>
      </c>
      <c r="D1781" s="112" t="s">
        <v>2051</v>
      </c>
      <c r="E1781" s="112" t="b">
        <v>0</v>
      </c>
      <c r="F1781" s="112" t="b">
        <v>0</v>
      </c>
      <c r="G1781" s="112" t="b">
        <v>0</v>
      </c>
    </row>
    <row r="1782" spans="1:7" ht="15">
      <c r="A1782" s="112" t="s">
        <v>2828</v>
      </c>
      <c r="B1782" s="112">
        <v>2</v>
      </c>
      <c r="C1782" s="114">
        <v>0.0011629074319522783</v>
      </c>
      <c r="D1782" s="112" t="s">
        <v>2051</v>
      </c>
      <c r="E1782" s="112" t="b">
        <v>0</v>
      </c>
      <c r="F1782" s="112" t="b">
        <v>0</v>
      </c>
      <c r="G1782" s="112" t="b">
        <v>0</v>
      </c>
    </row>
    <row r="1783" spans="1:7" ht="15">
      <c r="A1783" s="112" t="s">
        <v>2655</v>
      </c>
      <c r="B1783" s="112">
        <v>2</v>
      </c>
      <c r="C1783" s="114">
        <v>0.0014182339761965373</v>
      </c>
      <c r="D1783" s="112" t="s">
        <v>2051</v>
      </c>
      <c r="E1783" s="112" t="b">
        <v>0</v>
      </c>
      <c r="F1783" s="112" t="b">
        <v>0</v>
      </c>
      <c r="G1783" s="112" t="b">
        <v>0</v>
      </c>
    </row>
    <row r="1784" spans="1:7" ht="15">
      <c r="A1784" s="112" t="s">
        <v>2657</v>
      </c>
      <c r="B1784" s="112">
        <v>2</v>
      </c>
      <c r="C1784" s="114">
        <v>0.0014182339761965373</v>
      </c>
      <c r="D1784" s="112" t="s">
        <v>2051</v>
      </c>
      <c r="E1784" s="112" t="b">
        <v>0</v>
      </c>
      <c r="F1784" s="112" t="b">
        <v>0</v>
      </c>
      <c r="G1784" s="112" t="b">
        <v>0</v>
      </c>
    </row>
    <row r="1785" spans="1:7" ht="15">
      <c r="A1785" s="112" t="s">
        <v>2875</v>
      </c>
      <c r="B1785" s="112">
        <v>2</v>
      </c>
      <c r="C1785" s="114">
        <v>0.0014182339761965373</v>
      </c>
      <c r="D1785" s="112" t="s">
        <v>2051</v>
      </c>
      <c r="E1785" s="112" t="b">
        <v>0</v>
      </c>
      <c r="F1785" s="112" t="b">
        <v>0</v>
      </c>
      <c r="G1785" s="112" t="b">
        <v>0</v>
      </c>
    </row>
    <row r="1786" spans="1:7" ht="15">
      <c r="A1786" s="112" t="s">
        <v>2238</v>
      </c>
      <c r="B1786" s="112">
        <v>2</v>
      </c>
      <c r="C1786" s="114">
        <v>0.0011629074319522783</v>
      </c>
      <c r="D1786" s="112" t="s">
        <v>2051</v>
      </c>
      <c r="E1786" s="112" t="b">
        <v>0</v>
      </c>
      <c r="F1786" s="112" t="b">
        <v>0</v>
      </c>
      <c r="G1786" s="112" t="b">
        <v>0</v>
      </c>
    </row>
    <row r="1787" spans="1:7" ht="15">
      <c r="A1787" s="112" t="s">
        <v>2648</v>
      </c>
      <c r="B1787" s="112">
        <v>2</v>
      </c>
      <c r="C1787" s="114">
        <v>0.0011629074319522783</v>
      </c>
      <c r="D1787" s="112" t="s">
        <v>2051</v>
      </c>
      <c r="E1787" s="112" t="b">
        <v>0</v>
      </c>
      <c r="F1787" s="112" t="b">
        <v>0</v>
      </c>
      <c r="G1787" s="112" t="b">
        <v>0</v>
      </c>
    </row>
    <row r="1788" spans="1:7" ht="15">
      <c r="A1788" s="112" t="s">
        <v>2643</v>
      </c>
      <c r="B1788" s="112">
        <v>2</v>
      </c>
      <c r="C1788" s="114">
        <v>0.0011629074319522783</v>
      </c>
      <c r="D1788" s="112" t="s">
        <v>2051</v>
      </c>
      <c r="E1788" s="112" t="b">
        <v>0</v>
      </c>
      <c r="F1788" s="112" t="b">
        <v>0</v>
      </c>
      <c r="G1788" s="112" t="b">
        <v>0</v>
      </c>
    </row>
    <row r="1789" spans="1:7" ht="15">
      <c r="A1789" s="112" t="s">
        <v>2843</v>
      </c>
      <c r="B1789" s="112">
        <v>2</v>
      </c>
      <c r="C1789" s="114">
        <v>0.0011629074319522783</v>
      </c>
      <c r="D1789" s="112" t="s">
        <v>2051</v>
      </c>
      <c r="E1789" s="112" t="b">
        <v>0</v>
      </c>
      <c r="F1789" s="112" t="b">
        <v>0</v>
      </c>
      <c r="G1789" s="112" t="b">
        <v>0</v>
      </c>
    </row>
    <row r="1790" spans="1:7" ht="15">
      <c r="A1790" s="112" t="s">
        <v>2653</v>
      </c>
      <c r="B1790" s="112">
        <v>2</v>
      </c>
      <c r="C1790" s="114">
        <v>0.0014182339761965373</v>
      </c>
      <c r="D1790" s="112" t="s">
        <v>2051</v>
      </c>
      <c r="E1790" s="112" t="b">
        <v>0</v>
      </c>
      <c r="F1790" s="112" t="b">
        <v>0</v>
      </c>
      <c r="G1790" s="112" t="b">
        <v>0</v>
      </c>
    </row>
    <row r="1791" spans="1:7" ht="15">
      <c r="A1791" s="112" t="s">
        <v>2447</v>
      </c>
      <c r="B1791" s="112">
        <v>2</v>
      </c>
      <c r="C1791" s="114">
        <v>0.0014182339761965373</v>
      </c>
      <c r="D1791" s="112" t="s">
        <v>2051</v>
      </c>
      <c r="E1791" s="112" t="b">
        <v>0</v>
      </c>
      <c r="F1791" s="112" t="b">
        <v>0</v>
      </c>
      <c r="G1791" s="112" t="b">
        <v>0</v>
      </c>
    </row>
    <row r="1792" spans="1:7" ht="15">
      <c r="A1792" s="112" t="s">
        <v>2869</v>
      </c>
      <c r="B1792" s="112">
        <v>2</v>
      </c>
      <c r="C1792" s="114">
        <v>0.0014182339761965373</v>
      </c>
      <c r="D1792" s="112" t="s">
        <v>2051</v>
      </c>
      <c r="E1792" s="112" t="b">
        <v>0</v>
      </c>
      <c r="F1792" s="112" t="b">
        <v>0</v>
      </c>
      <c r="G1792" s="112" t="b">
        <v>0</v>
      </c>
    </row>
    <row r="1793" spans="1:7" ht="15">
      <c r="A1793" s="112" t="s">
        <v>2317</v>
      </c>
      <c r="B1793" s="112">
        <v>2</v>
      </c>
      <c r="C1793" s="114">
        <v>0.0014182339761965373</v>
      </c>
      <c r="D1793" s="112" t="s">
        <v>2051</v>
      </c>
      <c r="E1793" s="112" t="b">
        <v>0</v>
      </c>
      <c r="F1793" s="112" t="b">
        <v>0</v>
      </c>
      <c r="G1793" s="112" t="b">
        <v>0</v>
      </c>
    </row>
    <row r="1794" spans="1:7" ht="15">
      <c r="A1794" s="112" t="s">
        <v>2834</v>
      </c>
      <c r="B1794" s="112">
        <v>2</v>
      </c>
      <c r="C1794" s="114">
        <v>0.0011629074319522783</v>
      </c>
      <c r="D1794" s="112" t="s">
        <v>2051</v>
      </c>
      <c r="E1794" s="112" t="b">
        <v>0</v>
      </c>
      <c r="F1794" s="112" t="b">
        <v>1</v>
      </c>
      <c r="G1794" s="112" t="b">
        <v>0</v>
      </c>
    </row>
    <row r="1795" spans="1:7" ht="15">
      <c r="A1795" s="112" t="s">
        <v>2866</v>
      </c>
      <c r="B1795" s="112">
        <v>2</v>
      </c>
      <c r="C1795" s="114">
        <v>0.0014182339761965373</v>
      </c>
      <c r="D1795" s="112" t="s">
        <v>2051</v>
      </c>
      <c r="E1795" s="112" t="b">
        <v>0</v>
      </c>
      <c r="F1795" s="112" t="b">
        <v>0</v>
      </c>
      <c r="G1795" s="112" t="b">
        <v>0</v>
      </c>
    </row>
    <row r="1796" spans="1:7" ht="15">
      <c r="A1796" s="112" t="s">
        <v>2856</v>
      </c>
      <c r="B1796" s="112">
        <v>2</v>
      </c>
      <c r="C1796" s="114">
        <v>0.0014182339761965373</v>
      </c>
      <c r="D1796" s="112" t="s">
        <v>2051</v>
      </c>
      <c r="E1796" s="112" t="b">
        <v>0</v>
      </c>
      <c r="F1796" s="112" t="b">
        <v>1</v>
      </c>
      <c r="G1796" s="112" t="b">
        <v>0</v>
      </c>
    </row>
    <row r="1797" spans="1:7" ht="15">
      <c r="A1797" s="112" t="s">
        <v>2858</v>
      </c>
      <c r="B1797" s="112">
        <v>2</v>
      </c>
      <c r="C1797" s="114">
        <v>0.0014182339761965373</v>
      </c>
      <c r="D1797" s="112" t="s">
        <v>2051</v>
      </c>
      <c r="E1797" s="112" t="b">
        <v>0</v>
      </c>
      <c r="F1797" s="112" t="b">
        <v>0</v>
      </c>
      <c r="G1797" s="112" t="b">
        <v>0</v>
      </c>
    </row>
    <row r="1798" spans="1:7" ht="15">
      <c r="A1798" s="112" t="s">
        <v>2351</v>
      </c>
      <c r="B1798" s="112">
        <v>2</v>
      </c>
      <c r="C1798" s="114">
        <v>0.0014182339761965373</v>
      </c>
      <c r="D1798" s="112" t="s">
        <v>2051</v>
      </c>
      <c r="E1798" s="112" t="b">
        <v>0</v>
      </c>
      <c r="F1798" s="112" t="b">
        <v>0</v>
      </c>
      <c r="G1798" s="112" t="b">
        <v>0</v>
      </c>
    </row>
    <row r="1799" spans="1:7" ht="15">
      <c r="A1799" s="112" t="s">
        <v>2855</v>
      </c>
      <c r="B1799" s="112">
        <v>2</v>
      </c>
      <c r="C1799" s="114">
        <v>0.0014182339761965373</v>
      </c>
      <c r="D1799" s="112" t="s">
        <v>2051</v>
      </c>
      <c r="E1799" s="112" t="b">
        <v>0</v>
      </c>
      <c r="F1799" s="112" t="b">
        <v>0</v>
      </c>
      <c r="G1799" s="112" t="b">
        <v>0</v>
      </c>
    </row>
    <row r="1800" spans="1:7" ht="15">
      <c r="A1800" s="112" t="s">
        <v>2836</v>
      </c>
      <c r="B1800" s="112">
        <v>2</v>
      </c>
      <c r="C1800" s="114">
        <v>0.0011629074319522783</v>
      </c>
      <c r="D1800" s="112" t="s">
        <v>2051</v>
      </c>
      <c r="E1800" s="112" t="b">
        <v>0</v>
      </c>
      <c r="F1800" s="112" t="b">
        <v>0</v>
      </c>
      <c r="G1800" s="112" t="b">
        <v>0</v>
      </c>
    </row>
    <row r="1801" spans="1:7" ht="15">
      <c r="A1801" s="112" t="s">
        <v>2644</v>
      </c>
      <c r="B1801" s="112">
        <v>2</v>
      </c>
      <c r="C1801" s="114">
        <v>0.0014182339761965373</v>
      </c>
      <c r="D1801" s="112" t="s">
        <v>2051</v>
      </c>
      <c r="E1801" s="112" t="b">
        <v>0</v>
      </c>
      <c r="F1801" s="112" t="b">
        <v>0</v>
      </c>
      <c r="G1801" s="112" t="b">
        <v>0</v>
      </c>
    </row>
    <row r="1802" spans="1:7" ht="15">
      <c r="A1802" s="112" t="s">
        <v>2850</v>
      </c>
      <c r="B1802" s="112">
        <v>2</v>
      </c>
      <c r="C1802" s="114">
        <v>0.0014182339761965373</v>
      </c>
      <c r="D1802" s="112" t="s">
        <v>2051</v>
      </c>
      <c r="E1802" s="112" t="b">
        <v>0</v>
      </c>
      <c r="F1802" s="112" t="b">
        <v>0</v>
      </c>
      <c r="G1802" s="112" t="b">
        <v>0</v>
      </c>
    </row>
    <row r="1803" spans="1:7" ht="15">
      <c r="A1803" s="112" t="s">
        <v>2389</v>
      </c>
      <c r="B1803" s="112">
        <v>2</v>
      </c>
      <c r="C1803" s="114">
        <v>0.0014182339761965373</v>
      </c>
      <c r="D1803" s="112" t="s">
        <v>2051</v>
      </c>
      <c r="E1803" s="112" t="b">
        <v>0</v>
      </c>
      <c r="F1803" s="112" t="b">
        <v>0</v>
      </c>
      <c r="G1803" s="112" t="b">
        <v>0</v>
      </c>
    </row>
    <row r="1804" spans="1:7" ht="15">
      <c r="A1804" s="112" t="s">
        <v>2840</v>
      </c>
      <c r="B1804" s="112">
        <v>2</v>
      </c>
      <c r="C1804" s="114">
        <v>0.0014182339761965373</v>
      </c>
      <c r="D1804" s="112" t="s">
        <v>2051</v>
      </c>
      <c r="E1804" s="112" t="b">
        <v>0</v>
      </c>
      <c r="F1804" s="112" t="b">
        <v>0</v>
      </c>
      <c r="G1804" s="112" t="b">
        <v>0</v>
      </c>
    </row>
    <row r="1805" spans="1:7" ht="15">
      <c r="A1805" s="112" t="s">
        <v>2841</v>
      </c>
      <c r="B1805" s="112">
        <v>2</v>
      </c>
      <c r="C1805" s="114">
        <v>0.0014182339761965373</v>
      </c>
      <c r="D1805" s="112" t="s">
        <v>2051</v>
      </c>
      <c r="E1805" s="112" t="b">
        <v>0</v>
      </c>
      <c r="F1805" s="112" t="b">
        <v>0</v>
      </c>
      <c r="G1805" s="112" t="b">
        <v>0</v>
      </c>
    </row>
    <row r="1806" spans="1:7" ht="15">
      <c r="A1806" s="112" t="s">
        <v>2842</v>
      </c>
      <c r="B1806" s="112">
        <v>2</v>
      </c>
      <c r="C1806" s="114">
        <v>0.0014182339761965373</v>
      </c>
      <c r="D1806" s="112" t="s">
        <v>2051</v>
      </c>
      <c r="E1806" s="112" t="b">
        <v>0</v>
      </c>
      <c r="F1806" s="112" t="b">
        <v>1</v>
      </c>
      <c r="G1806" s="112" t="b">
        <v>0</v>
      </c>
    </row>
    <row r="1807" spans="1:7" ht="15">
      <c r="A1807" s="112" t="s">
        <v>2348</v>
      </c>
      <c r="B1807" s="112">
        <v>2</v>
      </c>
      <c r="C1807" s="114">
        <v>0.0014182339761965373</v>
      </c>
      <c r="D1807" s="112" t="s">
        <v>2051</v>
      </c>
      <c r="E1807" s="112" t="b">
        <v>0</v>
      </c>
      <c r="F1807" s="112" t="b">
        <v>0</v>
      </c>
      <c r="G1807" s="112" t="b">
        <v>0</v>
      </c>
    </row>
    <row r="1808" spans="1:7" ht="15">
      <c r="A1808" s="112" t="s">
        <v>2635</v>
      </c>
      <c r="B1808" s="112">
        <v>2</v>
      </c>
      <c r="C1808" s="114">
        <v>0.0014182339761965373</v>
      </c>
      <c r="D1808" s="112" t="s">
        <v>2051</v>
      </c>
      <c r="E1808" s="112" t="b">
        <v>0</v>
      </c>
      <c r="F1808" s="112" t="b">
        <v>1</v>
      </c>
      <c r="G1808" s="112" t="b">
        <v>0</v>
      </c>
    </row>
    <row r="1809" spans="1:7" ht="15">
      <c r="A1809" s="112" t="s">
        <v>2837</v>
      </c>
      <c r="B1809" s="112">
        <v>2</v>
      </c>
      <c r="C1809" s="114">
        <v>0.0014182339761965373</v>
      </c>
      <c r="D1809" s="112" t="s">
        <v>2051</v>
      </c>
      <c r="E1809" s="112" t="b">
        <v>0</v>
      </c>
      <c r="F1809" s="112" t="b">
        <v>0</v>
      </c>
      <c r="G1809" s="112" t="b">
        <v>0</v>
      </c>
    </row>
    <row r="1810" spans="1:7" ht="15">
      <c r="A1810" s="112" t="s">
        <v>2308</v>
      </c>
      <c r="B1810" s="112">
        <v>2</v>
      </c>
      <c r="C1810" s="114">
        <v>0.0014182339761965373</v>
      </c>
      <c r="D1810" s="112" t="s">
        <v>2051</v>
      </c>
      <c r="E1810" s="112" t="b">
        <v>0</v>
      </c>
      <c r="F1810" s="112" t="b">
        <v>0</v>
      </c>
      <c r="G1810" s="112" t="b">
        <v>0</v>
      </c>
    </row>
    <row r="1811" spans="1:7" ht="15">
      <c r="A1811" s="112" t="s">
        <v>2832</v>
      </c>
      <c r="B1811" s="112">
        <v>2</v>
      </c>
      <c r="C1811" s="114">
        <v>0.0014182339761965373</v>
      </c>
      <c r="D1811" s="112" t="s">
        <v>2051</v>
      </c>
      <c r="E1811" s="112" t="b">
        <v>0</v>
      </c>
      <c r="F1811" s="112" t="b">
        <v>0</v>
      </c>
      <c r="G1811" s="112" t="b">
        <v>0</v>
      </c>
    </row>
    <row r="1812" spans="1:7" ht="15">
      <c r="A1812" s="112" t="s">
        <v>2825</v>
      </c>
      <c r="B1812" s="112">
        <v>2</v>
      </c>
      <c r="C1812" s="114">
        <v>0.0014182339761965373</v>
      </c>
      <c r="D1812" s="112" t="s">
        <v>2051</v>
      </c>
      <c r="E1812" s="112" t="b">
        <v>0</v>
      </c>
      <c r="F1812" s="112" t="b">
        <v>0</v>
      </c>
      <c r="G1812" s="112" t="b">
        <v>0</v>
      </c>
    </row>
    <row r="1813" spans="1:7" ht="15">
      <c r="A1813" s="112" t="s">
        <v>2826</v>
      </c>
      <c r="B1813" s="112">
        <v>2</v>
      </c>
      <c r="C1813" s="114">
        <v>0.0014182339761965373</v>
      </c>
      <c r="D1813" s="112" t="s">
        <v>2051</v>
      </c>
      <c r="E1813" s="112" t="b">
        <v>0</v>
      </c>
      <c r="F1813" s="112" t="b">
        <v>1</v>
      </c>
      <c r="G1813" s="112" t="b">
        <v>0</v>
      </c>
    </row>
    <row r="1814" spans="1:7" ht="15">
      <c r="A1814" s="112" t="s">
        <v>2827</v>
      </c>
      <c r="B1814" s="112">
        <v>2</v>
      </c>
      <c r="C1814" s="114">
        <v>0.0014182339761965373</v>
      </c>
      <c r="D1814" s="112" t="s">
        <v>2051</v>
      </c>
      <c r="E1814" s="112" t="b">
        <v>0</v>
      </c>
      <c r="F1814" s="112" t="b">
        <v>0</v>
      </c>
      <c r="G1814" s="112" t="b">
        <v>0</v>
      </c>
    </row>
    <row r="1815" spans="1:7" ht="15">
      <c r="A1815" s="112" t="s">
        <v>2505</v>
      </c>
      <c r="B1815" s="112">
        <v>2</v>
      </c>
      <c r="C1815" s="114">
        <v>0.0014182339761965373</v>
      </c>
      <c r="D1815" s="112" t="s">
        <v>2051</v>
      </c>
      <c r="E1815" s="112" t="b">
        <v>0</v>
      </c>
      <c r="F1815" s="112" t="b">
        <v>1</v>
      </c>
      <c r="G1815" s="112" t="b">
        <v>0</v>
      </c>
    </row>
    <row r="1816" spans="1:7" ht="15">
      <c r="A1816" s="112" t="s">
        <v>2830</v>
      </c>
      <c r="B1816" s="112">
        <v>2</v>
      </c>
      <c r="C1816" s="114">
        <v>0.0014182339761965373</v>
      </c>
      <c r="D1816" s="112" t="s">
        <v>2051</v>
      </c>
      <c r="E1816" s="112" t="b">
        <v>0</v>
      </c>
      <c r="F1816" s="112" t="b">
        <v>0</v>
      </c>
      <c r="G1816" s="112" t="b">
        <v>0</v>
      </c>
    </row>
    <row r="1817" spans="1:7" ht="15">
      <c r="A1817" s="112" t="s">
        <v>2622</v>
      </c>
      <c r="B1817" s="112">
        <v>2</v>
      </c>
      <c r="C1817" s="114">
        <v>0.0014182339761965373</v>
      </c>
      <c r="D1817" s="112" t="s">
        <v>2051</v>
      </c>
      <c r="E1817" s="112" t="b">
        <v>0</v>
      </c>
      <c r="F1817" s="112" t="b">
        <v>0</v>
      </c>
      <c r="G1817" s="112" t="b">
        <v>0</v>
      </c>
    </row>
    <row r="1818" spans="1:7" ht="15">
      <c r="A1818" s="112" t="s">
        <v>2082</v>
      </c>
      <c r="B1818" s="112">
        <v>73</v>
      </c>
      <c r="C1818" s="114">
        <v>0.006465013012249501</v>
      </c>
      <c r="D1818" s="112" t="s">
        <v>2052</v>
      </c>
      <c r="E1818" s="112" t="b">
        <v>0</v>
      </c>
      <c r="F1818" s="112" t="b">
        <v>0</v>
      </c>
      <c r="G1818" s="112" t="b">
        <v>0</v>
      </c>
    </row>
    <row r="1819" spans="1:7" ht="15">
      <c r="A1819" s="112" t="s">
        <v>2148</v>
      </c>
      <c r="B1819" s="112">
        <v>26</v>
      </c>
      <c r="C1819" s="114">
        <v>0.00428064050294842</v>
      </c>
      <c r="D1819" s="112" t="s">
        <v>2052</v>
      </c>
      <c r="E1819" s="112" t="b">
        <v>0</v>
      </c>
      <c r="F1819" s="112" t="b">
        <v>0</v>
      </c>
      <c r="G1819" s="112" t="b">
        <v>0</v>
      </c>
    </row>
    <row r="1820" spans="1:7" ht="15">
      <c r="A1820" s="112" t="s">
        <v>2187</v>
      </c>
      <c r="B1820" s="112">
        <v>17</v>
      </c>
      <c r="C1820" s="114">
        <v>0.007534870053083273</v>
      </c>
      <c r="D1820" s="112" t="s">
        <v>2052</v>
      </c>
      <c r="E1820" s="112" t="b">
        <v>0</v>
      </c>
      <c r="F1820" s="112" t="b">
        <v>0</v>
      </c>
      <c r="G1820" s="112" t="b">
        <v>0</v>
      </c>
    </row>
    <row r="1821" spans="1:7" ht="15">
      <c r="A1821" s="112" t="s">
        <v>2156</v>
      </c>
      <c r="B1821" s="112">
        <v>15</v>
      </c>
      <c r="C1821" s="114">
        <v>0.01237504751741263</v>
      </c>
      <c r="D1821" s="112" t="s">
        <v>2052</v>
      </c>
      <c r="E1821" s="112" t="b">
        <v>0</v>
      </c>
      <c r="F1821" s="112" t="b">
        <v>0</v>
      </c>
      <c r="G1821" s="112" t="b">
        <v>0</v>
      </c>
    </row>
    <row r="1822" spans="1:7" ht="15">
      <c r="A1822" s="112" t="s">
        <v>2133</v>
      </c>
      <c r="B1822" s="112">
        <v>14</v>
      </c>
      <c r="C1822" s="114">
        <v>0.008017285870568934</v>
      </c>
      <c r="D1822" s="112" t="s">
        <v>2052</v>
      </c>
      <c r="E1822" s="112" t="b">
        <v>0</v>
      </c>
      <c r="F1822" s="112" t="b">
        <v>0</v>
      </c>
      <c r="G1822" s="112" t="b">
        <v>0</v>
      </c>
    </row>
    <row r="1823" spans="1:7" ht="15">
      <c r="A1823" s="112" t="s">
        <v>2138</v>
      </c>
      <c r="B1823" s="112">
        <v>13</v>
      </c>
      <c r="C1823" s="114">
        <v>0.008243500317057704</v>
      </c>
      <c r="D1823" s="112" t="s">
        <v>2052</v>
      </c>
      <c r="E1823" s="112" t="b">
        <v>0</v>
      </c>
      <c r="F1823" s="112" t="b">
        <v>0</v>
      </c>
      <c r="G1823" s="112" t="b">
        <v>0</v>
      </c>
    </row>
    <row r="1824" spans="1:7" ht="15">
      <c r="A1824" s="112" t="s">
        <v>2140</v>
      </c>
      <c r="B1824" s="112">
        <v>11</v>
      </c>
      <c r="C1824" s="114">
        <v>0.004875504151995058</v>
      </c>
      <c r="D1824" s="112" t="s">
        <v>2052</v>
      </c>
      <c r="E1824" s="112" t="b">
        <v>0</v>
      </c>
      <c r="F1824" s="112" t="b">
        <v>0</v>
      </c>
      <c r="G1824" s="112" t="b">
        <v>0</v>
      </c>
    </row>
    <row r="1825" spans="1:7" ht="15">
      <c r="A1825" s="112" t="s">
        <v>2250</v>
      </c>
      <c r="B1825" s="112">
        <v>11</v>
      </c>
      <c r="C1825" s="114">
        <v>0.007846750857762395</v>
      </c>
      <c r="D1825" s="112" t="s">
        <v>2052</v>
      </c>
      <c r="E1825" s="112" t="b">
        <v>0</v>
      </c>
      <c r="F1825" s="112" t="b">
        <v>0</v>
      </c>
      <c r="G1825" s="112" t="b">
        <v>0</v>
      </c>
    </row>
    <row r="1826" spans="1:7" ht="15">
      <c r="A1826" s="112" t="s">
        <v>2249</v>
      </c>
      <c r="B1826" s="112">
        <v>11</v>
      </c>
      <c r="C1826" s="114">
        <v>0.009075034846102595</v>
      </c>
      <c r="D1826" s="112" t="s">
        <v>2052</v>
      </c>
      <c r="E1826" s="112" t="b">
        <v>0</v>
      </c>
      <c r="F1826" s="112" t="b">
        <v>0</v>
      </c>
      <c r="G1826" s="112" t="b">
        <v>0</v>
      </c>
    </row>
    <row r="1827" spans="1:7" ht="15">
      <c r="A1827" s="112" t="s">
        <v>2305</v>
      </c>
      <c r="B1827" s="112">
        <v>9</v>
      </c>
      <c r="C1827" s="114">
        <v>0.009143018339855207</v>
      </c>
      <c r="D1827" s="112" t="s">
        <v>2052</v>
      </c>
      <c r="E1827" s="112" t="b">
        <v>1</v>
      </c>
      <c r="F1827" s="112" t="b">
        <v>0</v>
      </c>
      <c r="G1827" s="112" t="b">
        <v>0</v>
      </c>
    </row>
    <row r="1828" spans="1:7" ht="15">
      <c r="A1828" s="112" t="s">
        <v>2304</v>
      </c>
      <c r="B1828" s="112">
        <v>9</v>
      </c>
      <c r="C1828" s="114">
        <v>0.003697119427392351</v>
      </c>
      <c r="D1828" s="112" t="s">
        <v>2052</v>
      </c>
      <c r="E1828" s="112" t="b">
        <v>0</v>
      </c>
      <c r="F1828" s="112" t="b">
        <v>0</v>
      </c>
      <c r="G1828" s="112" t="b">
        <v>0</v>
      </c>
    </row>
    <row r="1829" spans="1:7" ht="15">
      <c r="A1829" s="112" t="s">
        <v>2130</v>
      </c>
      <c r="B1829" s="112">
        <v>9</v>
      </c>
      <c r="C1829" s="114">
        <v>0.0074250285104475785</v>
      </c>
      <c r="D1829" s="112" t="s">
        <v>2052</v>
      </c>
      <c r="E1829" s="112" t="b">
        <v>0</v>
      </c>
      <c r="F1829" s="112" t="b">
        <v>0</v>
      </c>
      <c r="G1829" s="112" t="b">
        <v>0</v>
      </c>
    </row>
    <row r="1830" spans="1:7" ht="15">
      <c r="A1830" s="112" t="s">
        <v>2144</v>
      </c>
      <c r="B1830" s="112">
        <v>9</v>
      </c>
      <c r="C1830" s="114">
        <v>0.0074250285104475785</v>
      </c>
      <c r="D1830" s="112" t="s">
        <v>2052</v>
      </c>
      <c r="E1830" s="112" t="b">
        <v>0</v>
      </c>
      <c r="F1830" s="112" t="b">
        <v>0</v>
      </c>
      <c r="G1830" s="112" t="b">
        <v>0</v>
      </c>
    </row>
    <row r="1831" spans="1:7" ht="15">
      <c r="A1831" s="112" t="s">
        <v>2303</v>
      </c>
      <c r="B1831" s="112">
        <v>9</v>
      </c>
      <c r="C1831" s="114">
        <v>0.003697119427392351</v>
      </c>
      <c r="D1831" s="112" t="s">
        <v>2052</v>
      </c>
      <c r="E1831" s="112" t="b">
        <v>0</v>
      </c>
      <c r="F1831" s="112" t="b">
        <v>0</v>
      </c>
      <c r="G1831" s="112" t="b">
        <v>0</v>
      </c>
    </row>
    <row r="1832" spans="1:7" ht="15">
      <c r="A1832" s="112" t="s">
        <v>2217</v>
      </c>
      <c r="B1832" s="112">
        <v>9</v>
      </c>
      <c r="C1832" s="114">
        <v>0.0074250285104475785</v>
      </c>
      <c r="D1832" s="112" t="s">
        <v>2052</v>
      </c>
      <c r="E1832" s="112" t="b">
        <v>0</v>
      </c>
      <c r="F1832" s="112" t="b">
        <v>1</v>
      </c>
      <c r="G1832" s="112" t="b">
        <v>0</v>
      </c>
    </row>
    <row r="1833" spans="1:7" ht="15">
      <c r="A1833" s="112" t="s">
        <v>2269</v>
      </c>
      <c r="B1833" s="112">
        <v>8</v>
      </c>
      <c r="C1833" s="114">
        <v>0.0035458212014509516</v>
      </c>
      <c r="D1833" s="112" t="s">
        <v>2052</v>
      </c>
      <c r="E1833" s="112" t="b">
        <v>0</v>
      </c>
      <c r="F1833" s="112" t="b">
        <v>0</v>
      </c>
      <c r="G1833" s="112" t="b">
        <v>0</v>
      </c>
    </row>
    <row r="1834" spans="1:7" ht="15">
      <c r="A1834" s="112" t="s">
        <v>2264</v>
      </c>
      <c r="B1834" s="112">
        <v>8</v>
      </c>
      <c r="C1834" s="114">
        <v>0.0050729232720355105</v>
      </c>
      <c r="D1834" s="112" t="s">
        <v>2052</v>
      </c>
      <c r="E1834" s="112" t="b">
        <v>0</v>
      </c>
      <c r="F1834" s="112" t="b">
        <v>0</v>
      </c>
      <c r="G1834" s="112" t="b">
        <v>0</v>
      </c>
    </row>
    <row r="1835" spans="1:7" ht="15">
      <c r="A1835" s="112" t="s">
        <v>2339</v>
      </c>
      <c r="B1835" s="112">
        <v>8</v>
      </c>
      <c r="C1835" s="114">
        <v>0.0035458212014509516</v>
      </c>
      <c r="D1835" s="112" t="s">
        <v>2052</v>
      </c>
      <c r="E1835" s="112" t="b">
        <v>0</v>
      </c>
      <c r="F1835" s="112" t="b">
        <v>0</v>
      </c>
      <c r="G1835" s="112" t="b">
        <v>0</v>
      </c>
    </row>
    <row r="1836" spans="1:7" ht="15">
      <c r="A1836" s="112" t="s">
        <v>2340</v>
      </c>
      <c r="B1836" s="112">
        <v>8</v>
      </c>
      <c r="C1836" s="114">
        <v>0.008127127413204628</v>
      </c>
      <c r="D1836" s="112" t="s">
        <v>2052</v>
      </c>
      <c r="E1836" s="112" t="b">
        <v>0</v>
      </c>
      <c r="F1836" s="112" t="b">
        <v>0</v>
      </c>
      <c r="G1836" s="112" t="b">
        <v>0</v>
      </c>
    </row>
    <row r="1837" spans="1:7" ht="15">
      <c r="A1837" s="112" t="s">
        <v>2222</v>
      </c>
      <c r="B1837" s="112">
        <v>8</v>
      </c>
      <c r="C1837" s="114">
        <v>0.0035458212014509516</v>
      </c>
      <c r="D1837" s="112" t="s">
        <v>2052</v>
      </c>
      <c r="E1837" s="112" t="b">
        <v>0</v>
      </c>
      <c r="F1837" s="112" t="b">
        <v>0</v>
      </c>
      <c r="G1837" s="112" t="b">
        <v>0</v>
      </c>
    </row>
    <row r="1838" spans="1:7" ht="15">
      <c r="A1838" s="112" t="s">
        <v>2183</v>
      </c>
      <c r="B1838" s="112">
        <v>8</v>
      </c>
      <c r="C1838" s="114">
        <v>0.0050729232720355105</v>
      </c>
      <c r="D1838" s="112" t="s">
        <v>2052</v>
      </c>
      <c r="E1838" s="112" t="b">
        <v>0</v>
      </c>
      <c r="F1838" s="112" t="b">
        <v>1</v>
      </c>
      <c r="G1838" s="112" t="b">
        <v>0</v>
      </c>
    </row>
    <row r="1839" spans="1:7" ht="15">
      <c r="A1839" s="112" t="s">
        <v>2379</v>
      </c>
      <c r="B1839" s="112">
        <v>7</v>
      </c>
      <c r="C1839" s="114">
        <v>0.0033600086615066193</v>
      </c>
      <c r="D1839" s="112" t="s">
        <v>2052</v>
      </c>
      <c r="E1839" s="112" t="b">
        <v>1</v>
      </c>
      <c r="F1839" s="112" t="b">
        <v>0</v>
      </c>
      <c r="G1839" s="112" t="b">
        <v>0</v>
      </c>
    </row>
    <row r="1840" spans="1:7" ht="15">
      <c r="A1840" s="112" t="s">
        <v>2333</v>
      </c>
      <c r="B1840" s="112">
        <v>7</v>
      </c>
      <c r="C1840" s="114">
        <v>0.005775022174792561</v>
      </c>
      <c r="D1840" s="112" t="s">
        <v>2052</v>
      </c>
      <c r="E1840" s="112" t="b">
        <v>0</v>
      </c>
      <c r="F1840" s="112" t="b">
        <v>0</v>
      </c>
      <c r="G1840" s="112" t="b">
        <v>0</v>
      </c>
    </row>
    <row r="1841" spans="1:7" ht="15">
      <c r="A1841" s="112" t="s">
        <v>2198</v>
      </c>
      <c r="B1841" s="112">
        <v>7</v>
      </c>
      <c r="C1841" s="114">
        <v>0.004993386909485161</v>
      </c>
      <c r="D1841" s="112" t="s">
        <v>2052</v>
      </c>
      <c r="E1841" s="112" t="b">
        <v>0</v>
      </c>
      <c r="F1841" s="112" t="b">
        <v>0</v>
      </c>
      <c r="G1841" s="112" t="b">
        <v>0</v>
      </c>
    </row>
    <row r="1842" spans="1:7" ht="15">
      <c r="A1842" s="112" t="s">
        <v>2380</v>
      </c>
      <c r="B1842" s="112">
        <v>7</v>
      </c>
      <c r="C1842" s="114">
        <v>0.005775022174792561</v>
      </c>
      <c r="D1842" s="112" t="s">
        <v>2052</v>
      </c>
      <c r="E1842" s="112" t="b">
        <v>0</v>
      </c>
      <c r="F1842" s="112" t="b">
        <v>1</v>
      </c>
      <c r="G1842" s="112" t="b">
        <v>0</v>
      </c>
    </row>
    <row r="1843" spans="1:7" ht="15">
      <c r="A1843" s="112" t="s">
        <v>2181</v>
      </c>
      <c r="B1843" s="112">
        <v>7</v>
      </c>
      <c r="C1843" s="114">
        <v>0.005775022174792561</v>
      </c>
      <c r="D1843" s="112" t="s">
        <v>2052</v>
      </c>
      <c r="E1843" s="112" t="b">
        <v>1</v>
      </c>
      <c r="F1843" s="112" t="b">
        <v>0</v>
      </c>
      <c r="G1843" s="112" t="b">
        <v>0</v>
      </c>
    </row>
    <row r="1844" spans="1:7" ht="15">
      <c r="A1844" s="112" t="s">
        <v>2190</v>
      </c>
      <c r="B1844" s="112">
        <v>7</v>
      </c>
      <c r="C1844" s="114">
        <v>0.004438807863031071</v>
      </c>
      <c r="D1844" s="112" t="s">
        <v>2052</v>
      </c>
      <c r="E1844" s="112" t="b">
        <v>0</v>
      </c>
      <c r="F1844" s="112" t="b">
        <v>0</v>
      </c>
      <c r="G1844" s="112" t="b">
        <v>0</v>
      </c>
    </row>
    <row r="1845" spans="1:7" ht="15">
      <c r="A1845" s="112" t="s">
        <v>2185</v>
      </c>
      <c r="B1845" s="112">
        <v>7</v>
      </c>
      <c r="C1845" s="114">
        <v>0.007111236486554049</v>
      </c>
      <c r="D1845" s="112" t="s">
        <v>2052</v>
      </c>
      <c r="E1845" s="112" t="b">
        <v>0</v>
      </c>
      <c r="F1845" s="112" t="b">
        <v>0</v>
      </c>
      <c r="G1845" s="112" t="b">
        <v>0</v>
      </c>
    </row>
    <row r="1846" spans="1:7" ht="15">
      <c r="A1846" s="112" t="s">
        <v>2090</v>
      </c>
      <c r="B1846" s="112">
        <v>6</v>
      </c>
      <c r="C1846" s="114">
        <v>0.004950019006965053</v>
      </c>
      <c r="D1846" s="112" t="s">
        <v>2052</v>
      </c>
      <c r="E1846" s="112" t="b">
        <v>0</v>
      </c>
      <c r="F1846" s="112" t="b">
        <v>0</v>
      </c>
      <c r="G1846" s="112" t="b">
        <v>0</v>
      </c>
    </row>
    <row r="1847" spans="1:7" ht="15">
      <c r="A1847" s="112" t="s">
        <v>2274</v>
      </c>
      <c r="B1847" s="112">
        <v>6</v>
      </c>
      <c r="C1847" s="114">
        <v>0.004280045922415853</v>
      </c>
      <c r="D1847" s="112" t="s">
        <v>2052</v>
      </c>
      <c r="E1847" s="112" t="b">
        <v>1</v>
      </c>
      <c r="F1847" s="112" t="b">
        <v>0</v>
      </c>
      <c r="G1847" s="112" t="b">
        <v>0</v>
      </c>
    </row>
    <row r="1848" spans="1:7" ht="15">
      <c r="A1848" s="112" t="s">
        <v>2430</v>
      </c>
      <c r="B1848" s="112">
        <v>6</v>
      </c>
      <c r="C1848" s="114">
        <v>0.006095345559903471</v>
      </c>
      <c r="D1848" s="112" t="s">
        <v>2052</v>
      </c>
      <c r="E1848" s="112" t="b">
        <v>0</v>
      </c>
      <c r="F1848" s="112" t="b">
        <v>0</v>
      </c>
      <c r="G1848" s="112" t="b">
        <v>0</v>
      </c>
    </row>
    <row r="1849" spans="1:7" ht="15">
      <c r="A1849" s="112" t="s">
        <v>2213</v>
      </c>
      <c r="B1849" s="112">
        <v>6</v>
      </c>
      <c r="C1849" s="114">
        <v>0.004280045922415853</v>
      </c>
      <c r="D1849" s="112" t="s">
        <v>2052</v>
      </c>
      <c r="E1849" s="112" t="b">
        <v>0</v>
      </c>
      <c r="F1849" s="112" t="b">
        <v>1</v>
      </c>
      <c r="G1849" s="112" t="b">
        <v>0</v>
      </c>
    </row>
    <row r="1850" spans="1:7" ht="15">
      <c r="A1850" s="112" t="s">
        <v>2275</v>
      </c>
      <c r="B1850" s="112">
        <v>6</v>
      </c>
      <c r="C1850" s="114">
        <v>0.006095345559903471</v>
      </c>
      <c r="D1850" s="112" t="s">
        <v>2052</v>
      </c>
      <c r="E1850" s="112" t="b">
        <v>0</v>
      </c>
      <c r="F1850" s="112" t="b">
        <v>0</v>
      </c>
      <c r="G1850" s="112" t="b">
        <v>0</v>
      </c>
    </row>
    <row r="1851" spans="1:7" ht="15">
      <c r="A1851" s="112" t="s">
        <v>2371</v>
      </c>
      <c r="B1851" s="112">
        <v>6</v>
      </c>
      <c r="C1851" s="114">
        <v>0.004950019006965053</v>
      </c>
      <c r="D1851" s="112" t="s">
        <v>2052</v>
      </c>
      <c r="E1851" s="112" t="b">
        <v>0</v>
      </c>
      <c r="F1851" s="112" t="b">
        <v>1</v>
      </c>
      <c r="G1851" s="112" t="b">
        <v>0</v>
      </c>
    </row>
    <row r="1852" spans="1:7" ht="15">
      <c r="A1852" s="112" t="s">
        <v>2429</v>
      </c>
      <c r="B1852" s="112">
        <v>6</v>
      </c>
      <c r="C1852" s="114">
        <v>0.006095345559903471</v>
      </c>
      <c r="D1852" s="112" t="s">
        <v>2052</v>
      </c>
      <c r="E1852" s="112" t="b">
        <v>0</v>
      </c>
      <c r="F1852" s="112" t="b">
        <v>0</v>
      </c>
      <c r="G1852" s="112" t="b">
        <v>0</v>
      </c>
    </row>
    <row r="1853" spans="1:7" ht="15">
      <c r="A1853" s="112" t="s">
        <v>2243</v>
      </c>
      <c r="B1853" s="112">
        <v>6</v>
      </c>
      <c r="C1853" s="114">
        <v>0.004280045922415853</v>
      </c>
      <c r="D1853" s="112" t="s">
        <v>2052</v>
      </c>
      <c r="E1853" s="112" t="b">
        <v>0</v>
      </c>
      <c r="F1853" s="112" t="b">
        <v>1</v>
      </c>
      <c r="G1853" s="112" t="b">
        <v>0</v>
      </c>
    </row>
    <row r="1854" spans="1:7" ht="15">
      <c r="A1854" s="112" t="s">
        <v>2323</v>
      </c>
      <c r="B1854" s="112">
        <v>5</v>
      </c>
      <c r="C1854" s="114">
        <v>0.003566704935346544</v>
      </c>
      <c r="D1854" s="112" t="s">
        <v>2052</v>
      </c>
      <c r="E1854" s="112" t="b">
        <v>0</v>
      </c>
      <c r="F1854" s="112" t="b">
        <v>0</v>
      </c>
      <c r="G1854" s="112" t="b">
        <v>0</v>
      </c>
    </row>
    <row r="1855" spans="1:7" ht="15">
      <c r="A1855" s="112" t="s">
        <v>2377</v>
      </c>
      <c r="B1855" s="112">
        <v>5</v>
      </c>
      <c r="C1855" s="114">
        <v>0.0031705770450221942</v>
      </c>
      <c r="D1855" s="112" t="s">
        <v>2052</v>
      </c>
      <c r="E1855" s="112" t="b">
        <v>0</v>
      </c>
      <c r="F1855" s="112" t="b">
        <v>0</v>
      </c>
      <c r="G1855" s="112" t="b">
        <v>0</v>
      </c>
    </row>
    <row r="1856" spans="1:7" ht="15">
      <c r="A1856" s="112" t="s">
        <v>2106</v>
      </c>
      <c r="B1856" s="112">
        <v>5</v>
      </c>
      <c r="C1856" s="114">
        <v>0.0031705770450221942</v>
      </c>
      <c r="D1856" s="112" t="s">
        <v>2052</v>
      </c>
      <c r="E1856" s="112" t="b">
        <v>0</v>
      </c>
      <c r="F1856" s="112" t="b">
        <v>0</v>
      </c>
      <c r="G1856" s="112" t="b">
        <v>0</v>
      </c>
    </row>
    <row r="1857" spans="1:7" ht="15">
      <c r="A1857" s="112" t="s">
        <v>2086</v>
      </c>
      <c r="B1857" s="112">
        <v>5</v>
      </c>
      <c r="C1857" s="114">
        <v>0.003566704935346544</v>
      </c>
      <c r="D1857" s="112" t="s">
        <v>2052</v>
      </c>
      <c r="E1857" s="112" t="b">
        <v>0</v>
      </c>
      <c r="F1857" s="112" t="b">
        <v>0</v>
      </c>
      <c r="G1857" s="112" t="b">
        <v>0</v>
      </c>
    </row>
    <row r="1858" spans="1:7" ht="15">
      <c r="A1858" s="112" t="s">
        <v>2132</v>
      </c>
      <c r="B1858" s="112">
        <v>5</v>
      </c>
      <c r="C1858" s="114">
        <v>0.0028633163823460483</v>
      </c>
      <c r="D1858" s="112" t="s">
        <v>2052</v>
      </c>
      <c r="E1858" s="112" t="b">
        <v>0</v>
      </c>
      <c r="F1858" s="112" t="b">
        <v>0</v>
      </c>
      <c r="G1858" s="112" t="b">
        <v>0</v>
      </c>
    </row>
    <row r="1859" spans="1:7" ht="15">
      <c r="A1859" s="112" t="s">
        <v>2207</v>
      </c>
      <c r="B1859" s="112">
        <v>5</v>
      </c>
      <c r="C1859" s="114">
        <v>0.0031705770450221942</v>
      </c>
      <c r="D1859" s="112" t="s">
        <v>2052</v>
      </c>
      <c r="E1859" s="112" t="b">
        <v>0</v>
      </c>
      <c r="F1859" s="112" t="b">
        <v>0</v>
      </c>
      <c r="G1859" s="112" t="b">
        <v>0</v>
      </c>
    </row>
    <row r="1860" spans="1:7" ht="15">
      <c r="A1860" s="112" t="s">
        <v>2084</v>
      </c>
      <c r="B1860" s="112">
        <v>5</v>
      </c>
      <c r="C1860" s="114">
        <v>0.0028633163823460483</v>
      </c>
      <c r="D1860" s="112" t="s">
        <v>2052</v>
      </c>
      <c r="E1860" s="112" t="b">
        <v>0</v>
      </c>
      <c r="F1860" s="112" t="b">
        <v>1</v>
      </c>
      <c r="G1860" s="112" t="b">
        <v>0</v>
      </c>
    </row>
    <row r="1861" spans="1:7" ht="15">
      <c r="A1861" s="112" t="s">
        <v>2348</v>
      </c>
      <c r="B1861" s="112">
        <v>5</v>
      </c>
      <c r="C1861" s="114">
        <v>0.004125015839137544</v>
      </c>
      <c r="D1861" s="112" t="s">
        <v>2052</v>
      </c>
      <c r="E1861" s="112" t="b">
        <v>0</v>
      </c>
      <c r="F1861" s="112" t="b">
        <v>0</v>
      </c>
      <c r="G1861" s="112" t="b">
        <v>0</v>
      </c>
    </row>
    <row r="1862" spans="1:7" ht="15">
      <c r="A1862" s="112" t="s">
        <v>2226</v>
      </c>
      <c r="B1862" s="112">
        <v>5</v>
      </c>
      <c r="C1862" s="114">
        <v>0.0028633163823460483</v>
      </c>
      <c r="D1862" s="112" t="s">
        <v>2052</v>
      </c>
      <c r="E1862" s="112" t="b">
        <v>0</v>
      </c>
      <c r="F1862" s="112" t="b">
        <v>0</v>
      </c>
      <c r="G1862" s="112" t="b">
        <v>0</v>
      </c>
    </row>
    <row r="1863" spans="1:7" ht="15">
      <c r="A1863" s="112" t="s">
        <v>2366</v>
      </c>
      <c r="B1863" s="112">
        <v>5</v>
      </c>
      <c r="C1863" s="114">
        <v>0.0031705770450221942</v>
      </c>
      <c r="D1863" s="112" t="s">
        <v>2052</v>
      </c>
      <c r="E1863" s="112" t="b">
        <v>0</v>
      </c>
      <c r="F1863" s="112" t="b">
        <v>0</v>
      </c>
      <c r="G1863" s="112" t="b">
        <v>0</v>
      </c>
    </row>
    <row r="1864" spans="1:7" ht="15">
      <c r="A1864" s="112" t="s">
        <v>2501</v>
      </c>
      <c r="B1864" s="112">
        <v>5</v>
      </c>
      <c r="C1864" s="114">
        <v>0.005079454633252893</v>
      </c>
      <c r="D1864" s="112" t="s">
        <v>2052</v>
      </c>
      <c r="E1864" s="112" t="b">
        <v>0</v>
      </c>
      <c r="F1864" s="112" t="b">
        <v>1</v>
      </c>
      <c r="G1864" s="112" t="b">
        <v>0</v>
      </c>
    </row>
    <row r="1865" spans="1:7" ht="15">
      <c r="A1865" s="112" t="s">
        <v>2394</v>
      </c>
      <c r="B1865" s="112">
        <v>5</v>
      </c>
      <c r="C1865" s="114">
        <v>0.003566704935346544</v>
      </c>
      <c r="D1865" s="112" t="s">
        <v>2052</v>
      </c>
      <c r="E1865" s="112" t="b">
        <v>1</v>
      </c>
      <c r="F1865" s="112" t="b">
        <v>0</v>
      </c>
      <c r="G1865" s="112" t="b">
        <v>0</v>
      </c>
    </row>
    <row r="1866" spans="1:7" ht="15">
      <c r="A1866" s="112" t="s">
        <v>2179</v>
      </c>
      <c r="B1866" s="112">
        <v>5</v>
      </c>
      <c r="C1866" s="114">
        <v>0.003566704935346544</v>
      </c>
      <c r="D1866" s="112" t="s">
        <v>2052</v>
      </c>
      <c r="E1866" s="112" t="b">
        <v>0</v>
      </c>
      <c r="F1866" s="112" t="b">
        <v>1</v>
      </c>
      <c r="G1866" s="112" t="b">
        <v>0</v>
      </c>
    </row>
    <row r="1867" spans="1:7" ht="15">
      <c r="A1867" s="112" t="s">
        <v>2378</v>
      </c>
      <c r="B1867" s="112">
        <v>5</v>
      </c>
      <c r="C1867" s="114">
        <v>0.0028633163823460483</v>
      </c>
      <c r="D1867" s="112" t="s">
        <v>2052</v>
      </c>
      <c r="E1867" s="112" t="b">
        <v>0</v>
      </c>
      <c r="F1867" s="112" t="b">
        <v>0</v>
      </c>
      <c r="G1867" s="112" t="b">
        <v>0</v>
      </c>
    </row>
    <row r="1868" spans="1:7" ht="15">
      <c r="A1868" s="112" t="s">
        <v>2367</v>
      </c>
      <c r="B1868" s="112">
        <v>5</v>
      </c>
      <c r="C1868" s="114">
        <v>0.004125015839137544</v>
      </c>
      <c r="D1868" s="112" t="s">
        <v>2052</v>
      </c>
      <c r="E1868" s="112" t="b">
        <v>1</v>
      </c>
      <c r="F1868" s="112" t="b">
        <v>0</v>
      </c>
      <c r="G1868" s="112" t="b">
        <v>0</v>
      </c>
    </row>
    <row r="1869" spans="1:7" ht="15">
      <c r="A1869" s="112" t="s">
        <v>2500</v>
      </c>
      <c r="B1869" s="112">
        <v>5</v>
      </c>
      <c r="C1869" s="114">
        <v>0.005079454633252893</v>
      </c>
      <c r="D1869" s="112" t="s">
        <v>2052</v>
      </c>
      <c r="E1869" s="112" t="b">
        <v>0</v>
      </c>
      <c r="F1869" s="112" t="b">
        <v>0</v>
      </c>
      <c r="G1869" s="112" t="b">
        <v>0</v>
      </c>
    </row>
    <row r="1870" spans="1:7" ht="15">
      <c r="A1870" s="112" t="s">
        <v>2171</v>
      </c>
      <c r="B1870" s="112">
        <v>5</v>
      </c>
      <c r="C1870" s="114">
        <v>0.005079454633252893</v>
      </c>
      <c r="D1870" s="112" t="s">
        <v>2052</v>
      </c>
      <c r="E1870" s="112" t="b">
        <v>0</v>
      </c>
      <c r="F1870" s="112" t="b">
        <v>0</v>
      </c>
      <c r="G1870" s="112" t="b">
        <v>0</v>
      </c>
    </row>
    <row r="1871" spans="1:7" ht="15">
      <c r="A1871" s="112" t="s">
        <v>2390</v>
      </c>
      <c r="B1871" s="112">
        <v>5</v>
      </c>
      <c r="C1871" s="114">
        <v>0.005079454633252893</v>
      </c>
      <c r="D1871" s="112" t="s">
        <v>2052</v>
      </c>
      <c r="E1871" s="112" t="b">
        <v>0</v>
      </c>
      <c r="F1871" s="112" t="b">
        <v>0</v>
      </c>
      <c r="G1871" s="112" t="b">
        <v>0</v>
      </c>
    </row>
    <row r="1872" spans="1:7" ht="15">
      <c r="A1872" s="112" t="s">
        <v>2498</v>
      </c>
      <c r="B1872" s="112">
        <v>5</v>
      </c>
      <c r="C1872" s="114">
        <v>0.005079454633252893</v>
      </c>
      <c r="D1872" s="112" t="s">
        <v>2052</v>
      </c>
      <c r="E1872" s="112" t="b">
        <v>0</v>
      </c>
      <c r="F1872" s="112" t="b">
        <v>0</v>
      </c>
      <c r="G1872" s="112" t="b">
        <v>0</v>
      </c>
    </row>
    <row r="1873" spans="1:7" ht="15">
      <c r="A1873" s="112" t="s">
        <v>2499</v>
      </c>
      <c r="B1873" s="112">
        <v>5</v>
      </c>
      <c r="C1873" s="114">
        <v>0.005079454633252893</v>
      </c>
      <c r="D1873" s="112" t="s">
        <v>2052</v>
      </c>
      <c r="E1873" s="112" t="b">
        <v>0</v>
      </c>
      <c r="F1873" s="112" t="b">
        <v>0</v>
      </c>
      <c r="G1873" s="112" t="b">
        <v>0</v>
      </c>
    </row>
    <row r="1874" spans="1:7" ht="15">
      <c r="A1874" s="112" t="s">
        <v>2328</v>
      </c>
      <c r="B1874" s="112">
        <v>4</v>
      </c>
      <c r="C1874" s="114">
        <v>0.003300012671310035</v>
      </c>
      <c r="D1874" s="112" t="s">
        <v>2052</v>
      </c>
      <c r="E1874" s="112" t="b">
        <v>0</v>
      </c>
      <c r="F1874" s="112" t="b">
        <v>0</v>
      </c>
      <c r="G1874" s="112" t="b">
        <v>0</v>
      </c>
    </row>
    <row r="1875" spans="1:7" ht="15">
      <c r="A1875" s="112" t="s">
        <v>2620</v>
      </c>
      <c r="B1875" s="112">
        <v>4</v>
      </c>
      <c r="C1875" s="114">
        <v>0.002853363948277235</v>
      </c>
      <c r="D1875" s="112" t="s">
        <v>2052</v>
      </c>
      <c r="E1875" s="112" t="b">
        <v>0</v>
      </c>
      <c r="F1875" s="112" t="b">
        <v>0</v>
      </c>
      <c r="G1875" s="112" t="b">
        <v>0</v>
      </c>
    </row>
    <row r="1876" spans="1:7" ht="15">
      <c r="A1876" s="112" t="s">
        <v>2160</v>
      </c>
      <c r="B1876" s="112">
        <v>4</v>
      </c>
      <c r="C1876" s="114">
        <v>0.002853363948277235</v>
      </c>
      <c r="D1876" s="112" t="s">
        <v>2052</v>
      </c>
      <c r="E1876" s="112" t="b">
        <v>0</v>
      </c>
      <c r="F1876" s="112" t="b">
        <v>1</v>
      </c>
      <c r="G1876" s="112" t="b">
        <v>0</v>
      </c>
    </row>
    <row r="1877" spans="1:7" ht="15">
      <c r="A1877" s="112" t="s">
        <v>2621</v>
      </c>
      <c r="B1877" s="112">
        <v>4</v>
      </c>
      <c r="C1877" s="114">
        <v>0.004063563706602314</v>
      </c>
      <c r="D1877" s="112" t="s">
        <v>2052</v>
      </c>
      <c r="E1877" s="112" t="b">
        <v>0</v>
      </c>
      <c r="F1877" s="112" t="b">
        <v>0</v>
      </c>
      <c r="G1877" s="112" t="b">
        <v>0</v>
      </c>
    </row>
    <row r="1878" spans="1:7" ht="15">
      <c r="A1878" s="112" t="s">
        <v>2494</v>
      </c>
      <c r="B1878" s="112">
        <v>4</v>
      </c>
      <c r="C1878" s="114">
        <v>0.002853363948277235</v>
      </c>
      <c r="D1878" s="112" t="s">
        <v>2052</v>
      </c>
      <c r="E1878" s="112" t="b">
        <v>0</v>
      </c>
      <c r="F1878" s="112" t="b">
        <v>0</v>
      </c>
      <c r="G1878" s="112" t="b">
        <v>0</v>
      </c>
    </row>
    <row r="1879" spans="1:7" ht="15">
      <c r="A1879" s="112" t="s">
        <v>2618</v>
      </c>
      <c r="B1879" s="112">
        <v>4</v>
      </c>
      <c r="C1879" s="114">
        <v>0.002853363948277235</v>
      </c>
      <c r="D1879" s="112" t="s">
        <v>2052</v>
      </c>
      <c r="E1879" s="112" t="b">
        <v>1</v>
      </c>
      <c r="F1879" s="112" t="b">
        <v>0</v>
      </c>
      <c r="G1879" s="112" t="b">
        <v>0</v>
      </c>
    </row>
    <row r="1880" spans="1:7" ht="15">
      <c r="A1880" s="112" t="s">
        <v>2616</v>
      </c>
      <c r="B1880" s="112">
        <v>4</v>
      </c>
      <c r="C1880" s="114">
        <v>0.003300012671310035</v>
      </c>
      <c r="D1880" s="112" t="s">
        <v>2052</v>
      </c>
      <c r="E1880" s="112" t="b">
        <v>0</v>
      </c>
      <c r="F1880" s="112" t="b">
        <v>0</v>
      </c>
      <c r="G1880" s="112" t="b">
        <v>0</v>
      </c>
    </row>
    <row r="1881" spans="1:7" ht="15">
      <c r="A1881" s="112" t="s">
        <v>2281</v>
      </c>
      <c r="B1881" s="112">
        <v>4</v>
      </c>
      <c r="C1881" s="114">
        <v>0.004063563706602314</v>
      </c>
      <c r="D1881" s="112" t="s">
        <v>2052</v>
      </c>
      <c r="E1881" s="112" t="b">
        <v>0</v>
      </c>
      <c r="F1881" s="112" t="b">
        <v>1</v>
      </c>
      <c r="G1881" s="112" t="b">
        <v>0</v>
      </c>
    </row>
    <row r="1882" spans="1:7" ht="15">
      <c r="A1882" s="112" t="s">
        <v>2332</v>
      </c>
      <c r="B1882" s="112">
        <v>4</v>
      </c>
      <c r="C1882" s="114">
        <v>0.0025364616360177552</v>
      </c>
      <c r="D1882" s="112" t="s">
        <v>2052</v>
      </c>
      <c r="E1882" s="112" t="b">
        <v>0</v>
      </c>
      <c r="F1882" s="112" t="b">
        <v>0</v>
      </c>
      <c r="G1882" s="112" t="b">
        <v>0</v>
      </c>
    </row>
    <row r="1883" spans="1:7" ht="15">
      <c r="A1883" s="112" t="s">
        <v>2349</v>
      </c>
      <c r="B1883" s="112">
        <v>4</v>
      </c>
      <c r="C1883" s="114">
        <v>0.004063563706602314</v>
      </c>
      <c r="D1883" s="112" t="s">
        <v>2052</v>
      </c>
      <c r="E1883" s="112" t="b">
        <v>0</v>
      </c>
      <c r="F1883" s="112" t="b">
        <v>1</v>
      </c>
      <c r="G1883" s="112" t="b">
        <v>0</v>
      </c>
    </row>
    <row r="1884" spans="1:7" ht="15">
      <c r="A1884" s="112" t="s">
        <v>2615</v>
      </c>
      <c r="B1884" s="112">
        <v>4</v>
      </c>
      <c r="C1884" s="114">
        <v>0.0025364616360177552</v>
      </c>
      <c r="D1884" s="112" t="s">
        <v>2052</v>
      </c>
      <c r="E1884" s="112" t="b">
        <v>0</v>
      </c>
      <c r="F1884" s="112" t="b">
        <v>0</v>
      </c>
      <c r="G1884" s="112" t="b">
        <v>0</v>
      </c>
    </row>
    <row r="1885" spans="1:7" ht="15">
      <c r="A1885" s="112" t="s">
        <v>2151</v>
      </c>
      <c r="B1885" s="112">
        <v>4</v>
      </c>
      <c r="C1885" s="114">
        <v>0.0025364616360177552</v>
      </c>
      <c r="D1885" s="112" t="s">
        <v>2052</v>
      </c>
      <c r="E1885" s="112" t="b">
        <v>0</v>
      </c>
      <c r="F1885" s="112" t="b">
        <v>0</v>
      </c>
      <c r="G1885" s="112" t="b">
        <v>0</v>
      </c>
    </row>
    <row r="1886" spans="1:7" ht="15">
      <c r="A1886" s="112" t="s">
        <v>2301</v>
      </c>
      <c r="B1886" s="112">
        <v>4</v>
      </c>
      <c r="C1886" s="114">
        <v>0.002853363948277235</v>
      </c>
      <c r="D1886" s="112" t="s">
        <v>2052</v>
      </c>
      <c r="E1886" s="112" t="b">
        <v>0</v>
      </c>
      <c r="F1886" s="112" t="b">
        <v>0</v>
      </c>
      <c r="G1886" s="112" t="b">
        <v>0</v>
      </c>
    </row>
    <row r="1887" spans="1:7" ht="15">
      <c r="A1887" s="112" t="s">
        <v>2145</v>
      </c>
      <c r="B1887" s="112">
        <v>4</v>
      </c>
      <c r="C1887" s="114">
        <v>0.0025364616360177552</v>
      </c>
      <c r="D1887" s="112" t="s">
        <v>2052</v>
      </c>
      <c r="E1887" s="112" t="b">
        <v>0</v>
      </c>
      <c r="F1887" s="112" t="b">
        <v>0</v>
      </c>
      <c r="G1887" s="112" t="b">
        <v>0</v>
      </c>
    </row>
    <row r="1888" spans="1:7" ht="15">
      <c r="A1888" s="112" t="s">
        <v>2240</v>
      </c>
      <c r="B1888" s="112">
        <v>4</v>
      </c>
      <c r="C1888" s="114">
        <v>0.002853363948277235</v>
      </c>
      <c r="D1888" s="112" t="s">
        <v>2052</v>
      </c>
      <c r="E1888" s="112" t="b">
        <v>0</v>
      </c>
      <c r="F1888" s="112" t="b">
        <v>0</v>
      </c>
      <c r="G1888" s="112" t="b">
        <v>0</v>
      </c>
    </row>
    <row r="1889" spans="1:7" ht="15">
      <c r="A1889" s="112" t="s">
        <v>2619</v>
      </c>
      <c r="B1889" s="112">
        <v>4</v>
      </c>
      <c r="C1889" s="114">
        <v>0.004063563706602314</v>
      </c>
      <c r="D1889" s="112" t="s">
        <v>2052</v>
      </c>
      <c r="E1889" s="112" t="b">
        <v>0</v>
      </c>
      <c r="F1889" s="112" t="b">
        <v>1</v>
      </c>
      <c r="G1889" s="112" t="b">
        <v>0</v>
      </c>
    </row>
    <row r="1890" spans="1:7" ht="15">
      <c r="A1890" s="112" t="s">
        <v>2220</v>
      </c>
      <c r="B1890" s="112">
        <v>4</v>
      </c>
      <c r="C1890" s="114">
        <v>0.002853363948277235</v>
      </c>
      <c r="D1890" s="112" t="s">
        <v>2052</v>
      </c>
      <c r="E1890" s="112" t="b">
        <v>0</v>
      </c>
      <c r="F1890" s="112" t="b">
        <v>1</v>
      </c>
      <c r="G1890" s="112" t="b">
        <v>0</v>
      </c>
    </row>
    <row r="1891" spans="1:7" ht="15">
      <c r="A1891" s="112" t="s">
        <v>2617</v>
      </c>
      <c r="B1891" s="112">
        <v>4</v>
      </c>
      <c r="C1891" s="114">
        <v>0.004063563706602314</v>
      </c>
      <c r="D1891" s="112" t="s">
        <v>2052</v>
      </c>
      <c r="E1891" s="112" t="b">
        <v>0</v>
      </c>
      <c r="F1891" s="112" t="b">
        <v>0</v>
      </c>
      <c r="G1891" s="112" t="b">
        <v>0</v>
      </c>
    </row>
    <row r="1892" spans="1:7" ht="15">
      <c r="A1892" s="112" t="s">
        <v>2245</v>
      </c>
      <c r="B1892" s="112">
        <v>4</v>
      </c>
      <c r="C1892" s="114">
        <v>0.004063563706602314</v>
      </c>
      <c r="D1892" s="112" t="s">
        <v>2052</v>
      </c>
      <c r="E1892" s="112" t="b">
        <v>0</v>
      </c>
      <c r="F1892" s="112" t="b">
        <v>0</v>
      </c>
      <c r="G1892" s="112" t="b">
        <v>0</v>
      </c>
    </row>
    <row r="1893" spans="1:7" ht="15">
      <c r="A1893" s="112" t="s">
        <v>2096</v>
      </c>
      <c r="B1893" s="112">
        <v>3</v>
      </c>
      <c r="C1893" s="114">
        <v>0.0024750095034825263</v>
      </c>
      <c r="D1893" s="112" t="s">
        <v>2052</v>
      </c>
      <c r="E1893" s="112" t="b">
        <v>0</v>
      </c>
      <c r="F1893" s="112" t="b">
        <v>0</v>
      </c>
      <c r="G1893" s="112" t="b">
        <v>0</v>
      </c>
    </row>
    <row r="1894" spans="1:7" ht="15">
      <c r="A1894" s="112" t="s">
        <v>2547</v>
      </c>
      <c r="B1894" s="112">
        <v>3</v>
      </c>
      <c r="C1894" s="114">
        <v>0.0030476727799517355</v>
      </c>
      <c r="D1894" s="112" t="s">
        <v>2052</v>
      </c>
      <c r="E1894" s="112" t="b">
        <v>0</v>
      </c>
      <c r="F1894" s="112" t="b">
        <v>0</v>
      </c>
      <c r="G1894" s="112" t="b">
        <v>0</v>
      </c>
    </row>
    <row r="1895" spans="1:7" ht="15">
      <c r="A1895" s="112" t="s">
        <v>2147</v>
      </c>
      <c r="B1895" s="112">
        <v>3</v>
      </c>
      <c r="C1895" s="114">
        <v>0.0021400229612079263</v>
      </c>
      <c r="D1895" s="112" t="s">
        <v>2052</v>
      </c>
      <c r="E1895" s="112" t="b">
        <v>0</v>
      </c>
      <c r="F1895" s="112" t="b">
        <v>0</v>
      </c>
      <c r="G1895" s="112" t="b">
        <v>0</v>
      </c>
    </row>
    <row r="1896" spans="1:7" ht="15">
      <c r="A1896" s="112" t="s">
        <v>2608</v>
      </c>
      <c r="B1896" s="112">
        <v>3</v>
      </c>
      <c r="C1896" s="114">
        <v>0.0024750095034825263</v>
      </c>
      <c r="D1896" s="112" t="s">
        <v>2052</v>
      </c>
      <c r="E1896" s="112" t="b">
        <v>0</v>
      </c>
      <c r="F1896" s="112" t="b">
        <v>0</v>
      </c>
      <c r="G1896" s="112" t="b">
        <v>0</v>
      </c>
    </row>
    <row r="1897" spans="1:7" ht="15">
      <c r="A1897" s="112" t="s">
        <v>2822</v>
      </c>
      <c r="B1897" s="112">
        <v>3</v>
      </c>
      <c r="C1897" s="114">
        <v>0.0021400229612079263</v>
      </c>
      <c r="D1897" s="112" t="s">
        <v>2052</v>
      </c>
      <c r="E1897" s="112" t="b">
        <v>0</v>
      </c>
      <c r="F1897" s="112" t="b">
        <v>0</v>
      </c>
      <c r="G1897" s="112" t="b">
        <v>0</v>
      </c>
    </row>
    <row r="1898" spans="1:7" ht="15">
      <c r="A1898" s="112" t="s">
        <v>2448</v>
      </c>
      <c r="B1898" s="112">
        <v>3</v>
      </c>
      <c r="C1898" s="114">
        <v>0.0021400229612079263</v>
      </c>
      <c r="D1898" s="112" t="s">
        <v>2052</v>
      </c>
      <c r="E1898" s="112" t="b">
        <v>0</v>
      </c>
      <c r="F1898" s="112" t="b">
        <v>0</v>
      </c>
      <c r="G1898" s="112" t="b">
        <v>0</v>
      </c>
    </row>
    <row r="1899" spans="1:7" ht="15">
      <c r="A1899" s="112" t="s">
        <v>2279</v>
      </c>
      <c r="B1899" s="112">
        <v>3</v>
      </c>
      <c r="C1899" s="114">
        <v>0.0024750095034825263</v>
      </c>
      <c r="D1899" s="112" t="s">
        <v>2052</v>
      </c>
      <c r="E1899" s="112" t="b">
        <v>0</v>
      </c>
      <c r="F1899" s="112" t="b">
        <v>0</v>
      </c>
      <c r="G1899" s="112" t="b">
        <v>0</v>
      </c>
    </row>
    <row r="1900" spans="1:7" ht="15">
      <c r="A1900" s="112" t="s">
        <v>2495</v>
      </c>
      <c r="B1900" s="112">
        <v>3</v>
      </c>
      <c r="C1900" s="114">
        <v>0.0021400229612079263</v>
      </c>
      <c r="D1900" s="112" t="s">
        <v>2052</v>
      </c>
      <c r="E1900" s="112" t="b">
        <v>1</v>
      </c>
      <c r="F1900" s="112" t="b">
        <v>0</v>
      </c>
      <c r="G1900" s="112" t="b">
        <v>0</v>
      </c>
    </row>
    <row r="1901" spans="1:7" ht="15">
      <c r="A1901" s="112" t="s">
        <v>2813</v>
      </c>
      <c r="B1901" s="112">
        <v>3</v>
      </c>
      <c r="C1901" s="114">
        <v>0.0024750095034825263</v>
      </c>
      <c r="D1901" s="112" t="s">
        <v>2052</v>
      </c>
      <c r="E1901" s="112" t="b">
        <v>0</v>
      </c>
      <c r="F1901" s="112" t="b">
        <v>0</v>
      </c>
      <c r="G1901" s="112" t="b">
        <v>0</v>
      </c>
    </row>
    <row r="1902" spans="1:7" ht="15">
      <c r="A1902" s="112" t="s">
        <v>2326</v>
      </c>
      <c r="B1902" s="112">
        <v>3</v>
      </c>
      <c r="C1902" s="114">
        <v>0.0024750095034825263</v>
      </c>
      <c r="D1902" s="112" t="s">
        <v>2052</v>
      </c>
      <c r="E1902" s="112" t="b">
        <v>0</v>
      </c>
      <c r="F1902" s="112" t="b">
        <v>0</v>
      </c>
      <c r="G1902" s="112" t="b">
        <v>0</v>
      </c>
    </row>
    <row r="1903" spans="1:7" ht="15">
      <c r="A1903" s="112" t="s">
        <v>2489</v>
      </c>
      <c r="B1903" s="112">
        <v>3</v>
      </c>
      <c r="C1903" s="114">
        <v>0.0030476727799517355</v>
      </c>
      <c r="D1903" s="112" t="s">
        <v>2052</v>
      </c>
      <c r="E1903" s="112" t="b">
        <v>0</v>
      </c>
      <c r="F1903" s="112" t="b">
        <v>0</v>
      </c>
      <c r="G1903" s="112" t="b">
        <v>0</v>
      </c>
    </row>
    <row r="1904" spans="1:7" ht="15">
      <c r="A1904" s="112" t="s">
        <v>2597</v>
      </c>
      <c r="B1904" s="112">
        <v>3</v>
      </c>
      <c r="C1904" s="114">
        <v>0.0021400229612079263</v>
      </c>
      <c r="D1904" s="112" t="s">
        <v>2052</v>
      </c>
      <c r="E1904" s="112" t="b">
        <v>0</v>
      </c>
      <c r="F1904" s="112" t="b">
        <v>0</v>
      </c>
      <c r="G1904" s="112" t="b">
        <v>0</v>
      </c>
    </row>
    <row r="1905" spans="1:7" ht="15">
      <c r="A1905" s="112" t="s">
        <v>2386</v>
      </c>
      <c r="B1905" s="112">
        <v>3</v>
      </c>
      <c r="C1905" s="114">
        <v>0.0024750095034825263</v>
      </c>
      <c r="D1905" s="112" t="s">
        <v>2052</v>
      </c>
      <c r="E1905" s="112" t="b">
        <v>0</v>
      </c>
      <c r="F1905" s="112" t="b">
        <v>0</v>
      </c>
      <c r="G1905" s="112" t="b">
        <v>0</v>
      </c>
    </row>
    <row r="1906" spans="1:7" ht="15">
      <c r="A1906" s="112" t="s">
        <v>2812</v>
      </c>
      <c r="B1906" s="112">
        <v>3</v>
      </c>
      <c r="C1906" s="114">
        <v>0.0024750095034825263</v>
      </c>
      <c r="D1906" s="112" t="s">
        <v>2052</v>
      </c>
      <c r="E1906" s="112" t="b">
        <v>0</v>
      </c>
      <c r="F1906" s="112" t="b">
        <v>0</v>
      </c>
      <c r="G1906" s="112" t="b">
        <v>0</v>
      </c>
    </row>
    <row r="1907" spans="1:7" ht="15">
      <c r="A1907" s="112" t="s">
        <v>2803</v>
      </c>
      <c r="B1907" s="112">
        <v>3</v>
      </c>
      <c r="C1907" s="114">
        <v>0.0024750095034825263</v>
      </c>
      <c r="D1907" s="112" t="s">
        <v>2052</v>
      </c>
      <c r="E1907" s="112" t="b">
        <v>0</v>
      </c>
      <c r="F1907" s="112" t="b">
        <v>0</v>
      </c>
      <c r="G1907" s="112" t="b">
        <v>0</v>
      </c>
    </row>
    <row r="1908" spans="1:7" ht="15">
      <c r="A1908" s="112" t="s">
        <v>2806</v>
      </c>
      <c r="B1908" s="112">
        <v>3</v>
      </c>
      <c r="C1908" s="114">
        <v>0.0024750095034825263</v>
      </c>
      <c r="D1908" s="112" t="s">
        <v>2052</v>
      </c>
      <c r="E1908" s="112" t="b">
        <v>0</v>
      </c>
      <c r="F1908" s="112" t="b">
        <v>0</v>
      </c>
      <c r="G1908" s="112" t="b">
        <v>0</v>
      </c>
    </row>
    <row r="1909" spans="1:7" ht="15">
      <c r="A1909" s="112" t="s">
        <v>2368</v>
      </c>
      <c r="B1909" s="112">
        <v>3</v>
      </c>
      <c r="C1909" s="114">
        <v>0.0021400229612079263</v>
      </c>
      <c r="D1909" s="112" t="s">
        <v>2052</v>
      </c>
      <c r="E1909" s="112" t="b">
        <v>0</v>
      </c>
      <c r="F1909" s="112" t="b">
        <v>0</v>
      </c>
      <c r="G1909" s="112" t="b">
        <v>0</v>
      </c>
    </row>
    <row r="1910" spans="1:7" ht="15">
      <c r="A1910" s="112" t="s">
        <v>2354</v>
      </c>
      <c r="B1910" s="112">
        <v>3</v>
      </c>
      <c r="C1910" s="114">
        <v>0.0030476727799517355</v>
      </c>
      <c r="D1910" s="112" t="s">
        <v>2052</v>
      </c>
      <c r="E1910" s="112" t="b">
        <v>0</v>
      </c>
      <c r="F1910" s="112" t="b">
        <v>0</v>
      </c>
      <c r="G1910" s="112" t="b">
        <v>0</v>
      </c>
    </row>
    <row r="1911" spans="1:7" ht="15">
      <c r="A1911" s="112" t="s">
        <v>2481</v>
      </c>
      <c r="B1911" s="112">
        <v>3</v>
      </c>
      <c r="C1911" s="114">
        <v>0.0030476727799517355</v>
      </c>
      <c r="D1911" s="112" t="s">
        <v>2052</v>
      </c>
      <c r="E1911" s="112" t="b">
        <v>0</v>
      </c>
      <c r="F1911" s="112" t="b">
        <v>0</v>
      </c>
      <c r="G1911" s="112" t="b">
        <v>0</v>
      </c>
    </row>
    <row r="1912" spans="1:7" ht="15">
      <c r="A1912" s="112" t="s">
        <v>2598</v>
      </c>
      <c r="B1912" s="112">
        <v>3</v>
      </c>
      <c r="C1912" s="114">
        <v>0.0021400229612079263</v>
      </c>
      <c r="D1912" s="112" t="s">
        <v>2052</v>
      </c>
      <c r="E1912" s="112" t="b">
        <v>0</v>
      </c>
      <c r="F1912" s="112" t="b">
        <v>0</v>
      </c>
      <c r="G1912" s="112" t="b">
        <v>0</v>
      </c>
    </row>
    <row r="1913" spans="1:7" ht="15">
      <c r="A1913" s="112" t="s">
        <v>2808</v>
      </c>
      <c r="B1913" s="112">
        <v>3</v>
      </c>
      <c r="C1913" s="114">
        <v>0.0021400229612079263</v>
      </c>
      <c r="D1913" s="112" t="s">
        <v>2052</v>
      </c>
      <c r="E1913" s="112" t="b">
        <v>0</v>
      </c>
      <c r="F1913" s="112" t="b">
        <v>0</v>
      </c>
      <c r="G1913" s="112" t="b">
        <v>0</v>
      </c>
    </row>
    <row r="1914" spans="1:7" ht="15">
      <c r="A1914" s="112" t="s">
        <v>2820</v>
      </c>
      <c r="B1914" s="112">
        <v>3</v>
      </c>
      <c r="C1914" s="114">
        <v>0.0021400229612079263</v>
      </c>
      <c r="D1914" s="112" t="s">
        <v>2052</v>
      </c>
      <c r="E1914" s="112" t="b">
        <v>0</v>
      </c>
      <c r="F1914" s="112" t="b">
        <v>0</v>
      </c>
      <c r="G1914" s="112" t="b">
        <v>0</v>
      </c>
    </row>
    <row r="1915" spans="1:7" ht="15">
      <c r="A1915" s="112" t="s">
        <v>2809</v>
      </c>
      <c r="B1915" s="112">
        <v>3</v>
      </c>
      <c r="C1915" s="114">
        <v>0.0021400229612079263</v>
      </c>
      <c r="D1915" s="112" t="s">
        <v>2052</v>
      </c>
      <c r="E1915" s="112" t="b">
        <v>0</v>
      </c>
      <c r="F1915" s="112" t="b">
        <v>0</v>
      </c>
      <c r="G1915" s="112" t="b">
        <v>0</v>
      </c>
    </row>
    <row r="1916" spans="1:7" ht="15">
      <c r="A1916" s="112" t="s">
        <v>2482</v>
      </c>
      <c r="B1916" s="112">
        <v>3</v>
      </c>
      <c r="C1916" s="114">
        <v>0.0021400229612079263</v>
      </c>
      <c r="D1916" s="112" t="s">
        <v>2052</v>
      </c>
      <c r="E1916" s="112" t="b">
        <v>0</v>
      </c>
      <c r="F1916" s="112" t="b">
        <v>1</v>
      </c>
      <c r="G1916" s="112" t="b">
        <v>0</v>
      </c>
    </row>
    <row r="1917" spans="1:7" ht="15">
      <c r="A1917" s="112" t="s">
        <v>2807</v>
      </c>
      <c r="B1917" s="112">
        <v>3</v>
      </c>
      <c r="C1917" s="114">
        <v>0.0021400229612079263</v>
      </c>
      <c r="D1917" s="112" t="s">
        <v>2052</v>
      </c>
      <c r="E1917" s="112" t="b">
        <v>0</v>
      </c>
      <c r="F1917" s="112" t="b">
        <v>1</v>
      </c>
      <c r="G1917" s="112" t="b">
        <v>0</v>
      </c>
    </row>
    <row r="1918" spans="1:7" ht="15">
      <c r="A1918" s="112" t="s">
        <v>2242</v>
      </c>
      <c r="B1918" s="112">
        <v>3</v>
      </c>
      <c r="C1918" s="114">
        <v>0.0024750095034825263</v>
      </c>
      <c r="D1918" s="112" t="s">
        <v>2052</v>
      </c>
      <c r="E1918" s="112" t="b">
        <v>0</v>
      </c>
      <c r="F1918" s="112" t="b">
        <v>1</v>
      </c>
      <c r="G1918" s="112" t="b">
        <v>0</v>
      </c>
    </row>
    <row r="1919" spans="1:7" ht="15">
      <c r="A1919" s="112" t="s">
        <v>2819</v>
      </c>
      <c r="B1919" s="112">
        <v>3</v>
      </c>
      <c r="C1919" s="114">
        <v>0.0024750095034825263</v>
      </c>
      <c r="D1919" s="112" t="s">
        <v>2052</v>
      </c>
      <c r="E1919" s="112" t="b">
        <v>0</v>
      </c>
      <c r="F1919" s="112" t="b">
        <v>0</v>
      </c>
      <c r="G1919" s="112" t="b">
        <v>0</v>
      </c>
    </row>
    <row r="1920" spans="1:7" ht="15">
      <c r="A1920" s="112" t="s">
        <v>2810</v>
      </c>
      <c r="B1920" s="112">
        <v>3</v>
      </c>
      <c r="C1920" s="114">
        <v>0.0024750095034825263</v>
      </c>
      <c r="D1920" s="112" t="s">
        <v>2052</v>
      </c>
      <c r="E1920" s="112" t="b">
        <v>1</v>
      </c>
      <c r="F1920" s="112" t="b">
        <v>0</v>
      </c>
      <c r="G1920" s="112" t="b">
        <v>0</v>
      </c>
    </row>
    <row r="1921" spans="1:7" ht="15">
      <c r="A1921" s="112" t="s">
        <v>2587</v>
      </c>
      <c r="B1921" s="112">
        <v>3</v>
      </c>
      <c r="C1921" s="114">
        <v>0.0021400229612079263</v>
      </c>
      <c r="D1921" s="112" t="s">
        <v>2052</v>
      </c>
      <c r="E1921" s="112" t="b">
        <v>0</v>
      </c>
      <c r="F1921" s="112" t="b">
        <v>0</v>
      </c>
      <c r="G1921" s="112" t="b">
        <v>0</v>
      </c>
    </row>
    <row r="1922" spans="1:7" ht="15">
      <c r="A1922" s="112" t="s">
        <v>2259</v>
      </c>
      <c r="B1922" s="112">
        <v>3</v>
      </c>
      <c r="C1922" s="114">
        <v>0.0024750095034825263</v>
      </c>
      <c r="D1922" s="112" t="s">
        <v>2052</v>
      </c>
      <c r="E1922" s="112" t="b">
        <v>0</v>
      </c>
      <c r="F1922" s="112" t="b">
        <v>0</v>
      </c>
      <c r="G1922" s="112" t="b">
        <v>0</v>
      </c>
    </row>
    <row r="1923" spans="1:7" ht="15">
      <c r="A1923" s="112" t="s">
        <v>2805</v>
      </c>
      <c r="B1923" s="112">
        <v>3</v>
      </c>
      <c r="C1923" s="114">
        <v>0.0021400229612079263</v>
      </c>
      <c r="D1923" s="112" t="s">
        <v>2052</v>
      </c>
      <c r="E1923" s="112" t="b">
        <v>0</v>
      </c>
      <c r="F1923" s="112" t="b">
        <v>0</v>
      </c>
      <c r="G1923" s="112" t="b">
        <v>0</v>
      </c>
    </row>
    <row r="1924" spans="1:7" ht="15">
      <c r="A1924" s="112" t="s">
        <v>2270</v>
      </c>
      <c r="B1924" s="112">
        <v>3</v>
      </c>
      <c r="C1924" s="114">
        <v>0.0024750095034825263</v>
      </c>
      <c r="D1924" s="112" t="s">
        <v>2052</v>
      </c>
      <c r="E1924" s="112" t="b">
        <v>0</v>
      </c>
      <c r="F1924" s="112" t="b">
        <v>0</v>
      </c>
      <c r="G1924" s="112" t="b">
        <v>0</v>
      </c>
    </row>
    <row r="1925" spans="1:7" ht="15">
      <c r="A1925" s="112" t="s">
        <v>2462</v>
      </c>
      <c r="B1925" s="112">
        <v>3</v>
      </c>
      <c r="C1925" s="114">
        <v>0.0024750095034825263</v>
      </c>
      <c r="D1925" s="112" t="s">
        <v>2052</v>
      </c>
      <c r="E1925" s="112" t="b">
        <v>0</v>
      </c>
      <c r="F1925" s="112" t="b">
        <v>0</v>
      </c>
      <c r="G1925" s="112" t="b">
        <v>0</v>
      </c>
    </row>
    <row r="1926" spans="1:7" ht="15">
      <c r="A1926" s="112" t="s">
        <v>2817</v>
      </c>
      <c r="B1926" s="112">
        <v>3</v>
      </c>
      <c r="C1926" s="114">
        <v>0.0030476727799517355</v>
      </c>
      <c r="D1926" s="112" t="s">
        <v>2052</v>
      </c>
      <c r="E1926" s="112" t="b">
        <v>0</v>
      </c>
      <c r="F1926" s="112" t="b">
        <v>0</v>
      </c>
      <c r="G1926" s="112" t="b">
        <v>0</v>
      </c>
    </row>
    <row r="1927" spans="1:7" ht="15">
      <c r="A1927" s="112" t="s">
        <v>2818</v>
      </c>
      <c r="B1927" s="112">
        <v>3</v>
      </c>
      <c r="C1927" s="114">
        <v>0.0030476727799517355</v>
      </c>
      <c r="D1927" s="112" t="s">
        <v>2052</v>
      </c>
      <c r="E1927" s="112" t="b">
        <v>0</v>
      </c>
      <c r="F1927" s="112" t="b">
        <v>0</v>
      </c>
      <c r="G1927" s="112" t="b">
        <v>0</v>
      </c>
    </row>
    <row r="1928" spans="1:7" ht="15">
      <c r="A1928" s="112" t="s">
        <v>2821</v>
      </c>
      <c r="B1928" s="112">
        <v>3</v>
      </c>
      <c r="C1928" s="114">
        <v>0.0030476727799517355</v>
      </c>
      <c r="D1928" s="112" t="s">
        <v>2052</v>
      </c>
      <c r="E1928" s="112" t="b">
        <v>0</v>
      </c>
      <c r="F1928" s="112" t="b">
        <v>0</v>
      </c>
      <c r="G1928" s="112" t="b">
        <v>0</v>
      </c>
    </row>
    <row r="1929" spans="1:7" ht="15">
      <c r="A1929" s="112" t="s">
        <v>2596</v>
      </c>
      <c r="B1929" s="112">
        <v>3</v>
      </c>
      <c r="C1929" s="114">
        <v>0.0030476727799517355</v>
      </c>
      <c r="D1929" s="112" t="s">
        <v>2052</v>
      </c>
      <c r="E1929" s="112" t="b">
        <v>0</v>
      </c>
      <c r="F1929" s="112" t="b">
        <v>0</v>
      </c>
      <c r="G1929" s="112" t="b">
        <v>0</v>
      </c>
    </row>
    <row r="1930" spans="1:7" ht="15">
      <c r="A1930" s="112" t="s">
        <v>2468</v>
      </c>
      <c r="B1930" s="112">
        <v>3</v>
      </c>
      <c r="C1930" s="114">
        <v>0.0030476727799517355</v>
      </c>
      <c r="D1930" s="112" t="s">
        <v>2052</v>
      </c>
      <c r="E1930" s="112" t="b">
        <v>0</v>
      </c>
      <c r="F1930" s="112" t="b">
        <v>1</v>
      </c>
      <c r="G1930" s="112" t="b">
        <v>0</v>
      </c>
    </row>
    <row r="1931" spans="1:7" ht="15">
      <c r="A1931" s="112" t="s">
        <v>2814</v>
      </c>
      <c r="B1931" s="112">
        <v>3</v>
      </c>
      <c r="C1931" s="114">
        <v>0.0030476727799517355</v>
      </c>
      <c r="D1931" s="112" t="s">
        <v>2052</v>
      </c>
      <c r="E1931" s="112" t="b">
        <v>0</v>
      </c>
      <c r="F1931" s="112" t="b">
        <v>0</v>
      </c>
      <c r="G1931" s="112" t="b">
        <v>0</v>
      </c>
    </row>
    <row r="1932" spans="1:7" ht="15">
      <c r="A1932" s="112" t="s">
        <v>2172</v>
      </c>
      <c r="B1932" s="112">
        <v>3</v>
      </c>
      <c r="C1932" s="114">
        <v>0.0024750095034825263</v>
      </c>
      <c r="D1932" s="112" t="s">
        <v>2052</v>
      </c>
      <c r="E1932" s="112" t="b">
        <v>0</v>
      </c>
      <c r="F1932" s="112" t="b">
        <v>0</v>
      </c>
      <c r="G1932" s="112" t="b">
        <v>0</v>
      </c>
    </row>
    <row r="1933" spans="1:7" ht="15">
      <c r="A1933" s="112" t="s">
        <v>2815</v>
      </c>
      <c r="B1933" s="112">
        <v>3</v>
      </c>
      <c r="C1933" s="114">
        <v>0.0030476727799517355</v>
      </c>
      <c r="D1933" s="112" t="s">
        <v>2052</v>
      </c>
      <c r="E1933" s="112" t="b">
        <v>0</v>
      </c>
      <c r="F1933" s="112" t="b">
        <v>0</v>
      </c>
      <c r="G1933" s="112" t="b">
        <v>0</v>
      </c>
    </row>
    <row r="1934" spans="1:7" ht="15">
      <c r="A1934" s="112" t="s">
        <v>2816</v>
      </c>
      <c r="B1934" s="112">
        <v>3</v>
      </c>
      <c r="C1934" s="114">
        <v>0.0030476727799517355</v>
      </c>
      <c r="D1934" s="112" t="s">
        <v>2052</v>
      </c>
      <c r="E1934" s="112" t="b">
        <v>0</v>
      </c>
      <c r="F1934" s="112" t="b">
        <v>0</v>
      </c>
      <c r="G1934" s="112" t="b">
        <v>0</v>
      </c>
    </row>
    <row r="1935" spans="1:7" ht="15">
      <c r="A1935" s="112" t="s">
        <v>2104</v>
      </c>
      <c r="B1935" s="112">
        <v>3</v>
      </c>
      <c r="C1935" s="114">
        <v>0.0021400229612079263</v>
      </c>
      <c r="D1935" s="112" t="s">
        <v>2052</v>
      </c>
      <c r="E1935" s="112" t="b">
        <v>0</v>
      </c>
      <c r="F1935" s="112" t="b">
        <v>0</v>
      </c>
      <c r="G1935" s="112" t="b">
        <v>0</v>
      </c>
    </row>
    <row r="1936" spans="1:7" ht="15">
      <c r="A1936" s="112" t="s">
        <v>2469</v>
      </c>
      <c r="B1936" s="112">
        <v>3</v>
      </c>
      <c r="C1936" s="114">
        <v>0.0024750095034825263</v>
      </c>
      <c r="D1936" s="112" t="s">
        <v>2052</v>
      </c>
      <c r="E1936" s="112" t="b">
        <v>0</v>
      </c>
      <c r="F1936" s="112" t="b">
        <v>0</v>
      </c>
      <c r="G1936" s="112" t="b">
        <v>0</v>
      </c>
    </row>
    <row r="1937" spans="1:7" ht="15">
      <c r="A1937" s="112" t="s">
        <v>2811</v>
      </c>
      <c r="B1937" s="112">
        <v>3</v>
      </c>
      <c r="C1937" s="114">
        <v>0.0030476727799517355</v>
      </c>
      <c r="D1937" s="112" t="s">
        <v>2052</v>
      </c>
      <c r="E1937" s="112" t="b">
        <v>0</v>
      </c>
      <c r="F1937" s="112" t="b">
        <v>0</v>
      </c>
      <c r="G1937" s="112" t="b">
        <v>0</v>
      </c>
    </row>
    <row r="1938" spans="1:7" ht="15">
      <c r="A1938" s="112" t="s">
        <v>2601</v>
      </c>
      <c r="B1938" s="112">
        <v>3</v>
      </c>
      <c r="C1938" s="114">
        <v>0.0030476727799517355</v>
      </c>
      <c r="D1938" s="112" t="s">
        <v>2052</v>
      </c>
      <c r="E1938" s="112" t="b">
        <v>0</v>
      </c>
      <c r="F1938" s="112" t="b">
        <v>0</v>
      </c>
      <c r="G1938" s="112" t="b">
        <v>0</v>
      </c>
    </row>
    <row r="1939" spans="1:7" ht="15">
      <c r="A1939" s="112" t="s">
        <v>2109</v>
      </c>
      <c r="B1939" s="112">
        <v>3</v>
      </c>
      <c r="C1939" s="114">
        <v>0.0024750095034825263</v>
      </c>
      <c r="D1939" s="112" t="s">
        <v>2052</v>
      </c>
      <c r="E1939" s="112" t="b">
        <v>0</v>
      </c>
      <c r="F1939" s="112" t="b">
        <v>0</v>
      </c>
      <c r="G1939" s="112" t="b">
        <v>0</v>
      </c>
    </row>
    <row r="1940" spans="1:7" ht="15">
      <c r="A1940" s="112" t="s">
        <v>2492</v>
      </c>
      <c r="B1940" s="112">
        <v>3</v>
      </c>
      <c r="C1940" s="114">
        <v>0.0030476727799517355</v>
      </c>
      <c r="D1940" s="112" t="s">
        <v>2052</v>
      </c>
      <c r="E1940" s="112" t="b">
        <v>0</v>
      </c>
      <c r="F1940" s="112" t="b">
        <v>0</v>
      </c>
      <c r="G1940" s="112" t="b">
        <v>0</v>
      </c>
    </row>
    <row r="1941" spans="1:7" ht="15">
      <c r="A1941" s="112" t="s">
        <v>2804</v>
      </c>
      <c r="B1941" s="112">
        <v>3</v>
      </c>
      <c r="C1941" s="114">
        <v>0.0030476727799517355</v>
      </c>
      <c r="D1941" s="112" t="s">
        <v>2052</v>
      </c>
      <c r="E1941" s="112" t="b">
        <v>0</v>
      </c>
      <c r="F1941" s="112" t="b">
        <v>0</v>
      </c>
      <c r="G1941" s="112" t="b">
        <v>0</v>
      </c>
    </row>
    <row r="1942" spans="1:7" ht="15">
      <c r="A1942" s="112" t="s">
        <v>2080</v>
      </c>
      <c r="B1942" s="112">
        <v>2</v>
      </c>
      <c r="C1942" s="114">
        <v>0.002031781853301157</v>
      </c>
      <c r="D1942" s="112" t="s">
        <v>2052</v>
      </c>
      <c r="E1942" s="112" t="b">
        <v>0</v>
      </c>
      <c r="F1942" s="112" t="b">
        <v>0</v>
      </c>
      <c r="G1942" s="112" t="b">
        <v>0</v>
      </c>
    </row>
    <row r="1943" spans="1:7" ht="15">
      <c r="A1943" s="112" t="s">
        <v>2268</v>
      </c>
      <c r="B1943" s="112">
        <v>2</v>
      </c>
      <c r="C1943" s="114">
        <v>0.0016500063356550175</v>
      </c>
      <c r="D1943" s="112" t="s">
        <v>2052</v>
      </c>
      <c r="E1943" s="112" t="b">
        <v>0</v>
      </c>
      <c r="F1943" s="112" t="b">
        <v>0</v>
      </c>
      <c r="G1943" s="112" t="b">
        <v>0</v>
      </c>
    </row>
    <row r="1944" spans="1:7" ht="15">
      <c r="A1944" s="112" t="s">
        <v>2126</v>
      </c>
      <c r="B1944" s="112">
        <v>2</v>
      </c>
      <c r="C1944" s="114">
        <v>0.0016500063356550175</v>
      </c>
      <c r="D1944" s="112" t="s">
        <v>2052</v>
      </c>
      <c r="E1944" s="112" t="b">
        <v>0</v>
      </c>
      <c r="F1944" s="112" t="b">
        <v>0</v>
      </c>
      <c r="G1944" s="112" t="b">
        <v>0</v>
      </c>
    </row>
    <row r="1945" spans="1:7" ht="15">
      <c r="A1945" s="112" t="s">
        <v>2083</v>
      </c>
      <c r="B1945" s="112">
        <v>2</v>
      </c>
      <c r="C1945" s="114">
        <v>0.0016500063356550175</v>
      </c>
      <c r="D1945" s="112" t="s">
        <v>2052</v>
      </c>
      <c r="E1945" s="112" t="b">
        <v>0</v>
      </c>
      <c r="F1945" s="112" t="b">
        <v>0</v>
      </c>
      <c r="G1945" s="112" t="b">
        <v>0</v>
      </c>
    </row>
    <row r="1946" spans="1:7" ht="15">
      <c r="A1946" s="112" t="s">
        <v>2230</v>
      </c>
      <c r="B1946" s="112">
        <v>2</v>
      </c>
      <c r="C1946" s="114">
        <v>0.0016500063356550175</v>
      </c>
      <c r="D1946" s="112" t="s">
        <v>2052</v>
      </c>
      <c r="E1946" s="112" t="b">
        <v>0</v>
      </c>
      <c r="F1946" s="112" t="b">
        <v>0</v>
      </c>
      <c r="G1946" s="112" t="b">
        <v>0</v>
      </c>
    </row>
    <row r="1947" spans="1:7" ht="15">
      <c r="A1947" s="112" t="s">
        <v>2137</v>
      </c>
      <c r="B1947" s="112">
        <v>2</v>
      </c>
      <c r="C1947" s="114">
        <v>0.0016500063356550175</v>
      </c>
      <c r="D1947" s="112" t="s">
        <v>2052</v>
      </c>
      <c r="E1947" s="112" t="b">
        <v>0</v>
      </c>
      <c r="F1947" s="112" t="b">
        <v>0</v>
      </c>
      <c r="G1947" s="112" t="b">
        <v>0</v>
      </c>
    </row>
    <row r="1948" spans="1:7" ht="15">
      <c r="A1948" s="112" t="s">
        <v>2163</v>
      </c>
      <c r="B1948" s="112">
        <v>2</v>
      </c>
      <c r="C1948" s="114">
        <v>0.0016500063356550175</v>
      </c>
      <c r="D1948" s="112" t="s">
        <v>2052</v>
      </c>
      <c r="E1948" s="112" t="b">
        <v>0</v>
      </c>
      <c r="F1948" s="112" t="b">
        <v>1</v>
      </c>
      <c r="G1948" s="112" t="b">
        <v>0</v>
      </c>
    </row>
    <row r="1949" spans="1:7" ht="15">
      <c r="A1949" s="112" t="s">
        <v>2510</v>
      </c>
      <c r="B1949" s="112">
        <v>2</v>
      </c>
      <c r="C1949" s="114">
        <v>0.002031781853301157</v>
      </c>
      <c r="D1949" s="112" t="s">
        <v>2052</v>
      </c>
      <c r="E1949" s="112" t="b">
        <v>0</v>
      </c>
      <c r="F1949" s="112" t="b">
        <v>0</v>
      </c>
      <c r="G1949" s="112" t="b">
        <v>0</v>
      </c>
    </row>
    <row r="1950" spans="1:7" ht="15">
      <c r="A1950" s="112" t="s">
        <v>3307</v>
      </c>
      <c r="B1950" s="112">
        <v>2</v>
      </c>
      <c r="C1950" s="114">
        <v>0.002031781853301157</v>
      </c>
      <c r="D1950" s="112" t="s">
        <v>2052</v>
      </c>
      <c r="E1950" s="112" t="b">
        <v>0</v>
      </c>
      <c r="F1950" s="112" t="b">
        <v>0</v>
      </c>
      <c r="G1950" s="112" t="b">
        <v>0</v>
      </c>
    </row>
    <row r="1951" spans="1:7" ht="15">
      <c r="A1951" s="112" t="s">
        <v>3308</v>
      </c>
      <c r="B1951" s="112">
        <v>2</v>
      </c>
      <c r="C1951" s="114">
        <v>0.002031781853301157</v>
      </c>
      <c r="D1951" s="112" t="s">
        <v>2052</v>
      </c>
      <c r="E1951" s="112" t="b">
        <v>0</v>
      </c>
      <c r="F1951" s="112" t="b">
        <v>0</v>
      </c>
      <c r="G1951" s="112" t="b">
        <v>0</v>
      </c>
    </row>
    <row r="1952" spans="1:7" ht="15">
      <c r="A1952" s="112" t="s">
        <v>3274</v>
      </c>
      <c r="B1952" s="112">
        <v>2</v>
      </c>
      <c r="C1952" s="114">
        <v>0.0016500063356550175</v>
      </c>
      <c r="D1952" s="112" t="s">
        <v>2052</v>
      </c>
      <c r="E1952" s="112" t="b">
        <v>0</v>
      </c>
      <c r="F1952" s="112" t="b">
        <v>0</v>
      </c>
      <c r="G1952" s="112" t="b">
        <v>0</v>
      </c>
    </row>
    <row r="1953" spans="1:7" ht="15">
      <c r="A1953" s="112" t="s">
        <v>3275</v>
      </c>
      <c r="B1953" s="112">
        <v>2</v>
      </c>
      <c r="C1953" s="114">
        <v>0.0016500063356550175</v>
      </c>
      <c r="D1953" s="112" t="s">
        <v>2052</v>
      </c>
      <c r="E1953" s="112" t="b">
        <v>0</v>
      </c>
      <c r="F1953" s="112" t="b">
        <v>0</v>
      </c>
      <c r="G1953" s="112" t="b">
        <v>0</v>
      </c>
    </row>
    <row r="1954" spans="1:7" ht="15">
      <c r="A1954" s="112" t="s">
        <v>3276</v>
      </c>
      <c r="B1954" s="112">
        <v>2</v>
      </c>
      <c r="C1954" s="114">
        <v>0.0016500063356550175</v>
      </c>
      <c r="D1954" s="112" t="s">
        <v>2052</v>
      </c>
      <c r="E1954" s="112" t="b">
        <v>0</v>
      </c>
      <c r="F1954" s="112" t="b">
        <v>0</v>
      </c>
      <c r="G1954" s="112" t="b">
        <v>0</v>
      </c>
    </row>
    <row r="1955" spans="1:7" ht="15">
      <c r="A1955" s="112" t="s">
        <v>3277</v>
      </c>
      <c r="B1955" s="112">
        <v>2</v>
      </c>
      <c r="C1955" s="114">
        <v>0.0016500063356550175</v>
      </c>
      <c r="D1955" s="112" t="s">
        <v>2052</v>
      </c>
      <c r="E1955" s="112" t="b">
        <v>0</v>
      </c>
      <c r="F1955" s="112" t="b">
        <v>0</v>
      </c>
      <c r="G1955" s="112" t="b">
        <v>0</v>
      </c>
    </row>
    <row r="1956" spans="1:7" ht="15">
      <c r="A1956" s="112" t="s">
        <v>3251</v>
      </c>
      <c r="B1956" s="112">
        <v>2</v>
      </c>
      <c r="C1956" s="114">
        <v>0.0016500063356550175</v>
      </c>
      <c r="D1956" s="112" t="s">
        <v>2052</v>
      </c>
      <c r="E1956" s="112" t="b">
        <v>0</v>
      </c>
      <c r="F1956" s="112" t="b">
        <v>0</v>
      </c>
      <c r="G1956" s="112" t="b">
        <v>0</v>
      </c>
    </row>
    <row r="1957" spans="1:7" ht="15">
      <c r="A1957" s="112" t="s">
        <v>3305</v>
      </c>
      <c r="B1957" s="112">
        <v>2</v>
      </c>
      <c r="C1957" s="114">
        <v>0.002031781853301157</v>
      </c>
      <c r="D1957" s="112" t="s">
        <v>2052</v>
      </c>
      <c r="E1957" s="112" t="b">
        <v>0</v>
      </c>
      <c r="F1957" s="112" t="b">
        <v>0</v>
      </c>
      <c r="G1957" s="112" t="b">
        <v>0</v>
      </c>
    </row>
    <row r="1958" spans="1:7" ht="15">
      <c r="A1958" s="112" t="s">
        <v>2359</v>
      </c>
      <c r="B1958" s="112">
        <v>2</v>
      </c>
      <c r="C1958" s="114">
        <v>0.0016500063356550175</v>
      </c>
      <c r="D1958" s="112" t="s">
        <v>2052</v>
      </c>
      <c r="E1958" s="112" t="b">
        <v>0</v>
      </c>
      <c r="F1958" s="112" t="b">
        <v>0</v>
      </c>
      <c r="G1958" s="112" t="b">
        <v>0</v>
      </c>
    </row>
    <row r="1959" spans="1:7" ht="15">
      <c r="A1959" s="112" t="s">
        <v>2553</v>
      </c>
      <c r="B1959" s="112">
        <v>2</v>
      </c>
      <c r="C1959" s="114">
        <v>0.002031781853301157</v>
      </c>
      <c r="D1959" s="112" t="s">
        <v>2052</v>
      </c>
      <c r="E1959" s="112" t="b">
        <v>0</v>
      </c>
      <c r="F1959" s="112" t="b">
        <v>0</v>
      </c>
      <c r="G1959" s="112" t="b">
        <v>0</v>
      </c>
    </row>
    <row r="1960" spans="1:7" ht="15">
      <c r="A1960" s="112" t="s">
        <v>3306</v>
      </c>
      <c r="B1960" s="112">
        <v>2</v>
      </c>
      <c r="C1960" s="114">
        <v>0.002031781853301157</v>
      </c>
      <c r="D1960" s="112" t="s">
        <v>2052</v>
      </c>
      <c r="E1960" s="112" t="b">
        <v>0</v>
      </c>
      <c r="F1960" s="112" t="b">
        <v>0</v>
      </c>
      <c r="G1960" s="112" t="b">
        <v>0</v>
      </c>
    </row>
    <row r="1961" spans="1:7" ht="15">
      <c r="A1961" s="112" t="s">
        <v>2389</v>
      </c>
      <c r="B1961" s="112">
        <v>2</v>
      </c>
      <c r="C1961" s="114">
        <v>0.002031781853301157</v>
      </c>
      <c r="D1961" s="112" t="s">
        <v>2052</v>
      </c>
      <c r="E1961" s="112" t="b">
        <v>0</v>
      </c>
      <c r="F1961" s="112" t="b">
        <v>0</v>
      </c>
      <c r="G1961" s="112" t="b">
        <v>0</v>
      </c>
    </row>
    <row r="1962" spans="1:7" ht="15">
      <c r="A1962" s="112" t="s">
        <v>2634</v>
      </c>
      <c r="B1962" s="112">
        <v>2</v>
      </c>
      <c r="C1962" s="114">
        <v>0.0016500063356550175</v>
      </c>
      <c r="D1962" s="112" t="s">
        <v>2052</v>
      </c>
      <c r="E1962" s="112" t="b">
        <v>0</v>
      </c>
      <c r="F1962" s="112" t="b">
        <v>0</v>
      </c>
      <c r="G1962" s="112" t="b">
        <v>0</v>
      </c>
    </row>
    <row r="1963" spans="1:7" ht="15">
      <c r="A1963" s="112" t="s">
        <v>3286</v>
      </c>
      <c r="B1963" s="112">
        <v>2</v>
      </c>
      <c r="C1963" s="114">
        <v>0.0016500063356550175</v>
      </c>
      <c r="D1963" s="112" t="s">
        <v>2052</v>
      </c>
      <c r="E1963" s="112" t="b">
        <v>0</v>
      </c>
      <c r="F1963" s="112" t="b">
        <v>0</v>
      </c>
      <c r="G1963" s="112" t="b">
        <v>0</v>
      </c>
    </row>
    <row r="1964" spans="1:7" ht="15">
      <c r="A1964" s="112" t="s">
        <v>2793</v>
      </c>
      <c r="B1964" s="112">
        <v>2</v>
      </c>
      <c r="C1964" s="114">
        <v>0.0016500063356550175</v>
      </c>
      <c r="D1964" s="112" t="s">
        <v>2052</v>
      </c>
      <c r="E1964" s="112" t="b">
        <v>0</v>
      </c>
      <c r="F1964" s="112" t="b">
        <v>0</v>
      </c>
      <c r="G1964" s="112" t="b">
        <v>0</v>
      </c>
    </row>
    <row r="1965" spans="1:7" ht="15">
      <c r="A1965" s="112" t="s">
        <v>2554</v>
      </c>
      <c r="B1965" s="112">
        <v>2</v>
      </c>
      <c r="C1965" s="114">
        <v>0.0016500063356550175</v>
      </c>
      <c r="D1965" s="112" t="s">
        <v>2052</v>
      </c>
      <c r="E1965" s="112" t="b">
        <v>0</v>
      </c>
      <c r="F1965" s="112" t="b">
        <v>0</v>
      </c>
      <c r="G1965" s="112" t="b">
        <v>0</v>
      </c>
    </row>
    <row r="1966" spans="1:7" ht="15">
      <c r="A1966" s="112" t="s">
        <v>3284</v>
      </c>
      <c r="B1966" s="112">
        <v>2</v>
      </c>
      <c r="C1966" s="114">
        <v>0.0016500063356550175</v>
      </c>
      <c r="D1966" s="112" t="s">
        <v>2052</v>
      </c>
      <c r="E1966" s="112" t="b">
        <v>0</v>
      </c>
      <c r="F1966" s="112" t="b">
        <v>0</v>
      </c>
      <c r="G1966" s="112" t="b">
        <v>0</v>
      </c>
    </row>
    <row r="1967" spans="1:7" ht="15">
      <c r="A1967" s="112" t="s">
        <v>2773</v>
      </c>
      <c r="B1967" s="112">
        <v>2</v>
      </c>
      <c r="C1967" s="114">
        <v>0.0016500063356550175</v>
      </c>
      <c r="D1967" s="112" t="s">
        <v>2052</v>
      </c>
      <c r="E1967" s="112" t="b">
        <v>0</v>
      </c>
      <c r="F1967" s="112" t="b">
        <v>0</v>
      </c>
      <c r="G1967" s="112" t="b">
        <v>0</v>
      </c>
    </row>
    <row r="1968" spans="1:7" ht="15">
      <c r="A1968" s="112" t="s">
        <v>3304</v>
      </c>
      <c r="B1968" s="112">
        <v>2</v>
      </c>
      <c r="C1968" s="114">
        <v>0.002031781853301157</v>
      </c>
      <c r="D1968" s="112" t="s">
        <v>2052</v>
      </c>
      <c r="E1968" s="112" t="b">
        <v>1</v>
      </c>
      <c r="F1968" s="112" t="b">
        <v>0</v>
      </c>
      <c r="G1968" s="112" t="b">
        <v>0</v>
      </c>
    </row>
    <row r="1969" spans="1:7" ht="15">
      <c r="A1969" s="112" t="s">
        <v>2711</v>
      </c>
      <c r="B1969" s="112">
        <v>2</v>
      </c>
      <c r="C1969" s="114">
        <v>0.0016500063356550175</v>
      </c>
      <c r="D1969" s="112" t="s">
        <v>2052</v>
      </c>
      <c r="E1969" s="112" t="b">
        <v>0</v>
      </c>
      <c r="F1969" s="112" t="b">
        <v>0</v>
      </c>
      <c r="G1969" s="112" t="b">
        <v>0</v>
      </c>
    </row>
    <row r="1970" spans="1:7" ht="15">
      <c r="A1970" s="112" t="s">
        <v>3303</v>
      </c>
      <c r="B1970" s="112">
        <v>2</v>
      </c>
      <c r="C1970" s="114">
        <v>0.0016500063356550175</v>
      </c>
      <c r="D1970" s="112" t="s">
        <v>2052</v>
      </c>
      <c r="E1970" s="112" t="b">
        <v>0</v>
      </c>
      <c r="F1970" s="112" t="b">
        <v>0</v>
      </c>
      <c r="G1970" s="112" t="b">
        <v>0</v>
      </c>
    </row>
    <row r="1971" spans="1:7" ht="15">
      <c r="A1971" s="112" t="s">
        <v>2789</v>
      </c>
      <c r="B1971" s="112">
        <v>2</v>
      </c>
      <c r="C1971" s="114">
        <v>0.0016500063356550175</v>
      </c>
      <c r="D1971" s="112" t="s">
        <v>2052</v>
      </c>
      <c r="E1971" s="112" t="b">
        <v>0</v>
      </c>
      <c r="F1971" s="112" t="b">
        <v>0</v>
      </c>
      <c r="G1971" s="112" t="b">
        <v>0</v>
      </c>
    </row>
    <row r="1972" spans="1:7" ht="15">
      <c r="A1972" s="112" t="s">
        <v>3302</v>
      </c>
      <c r="B1972" s="112">
        <v>2</v>
      </c>
      <c r="C1972" s="114">
        <v>0.002031781853301157</v>
      </c>
      <c r="D1972" s="112" t="s">
        <v>2052</v>
      </c>
      <c r="E1972" s="112" t="b">
        <v>0</v>
      </c>
      <c r="F1972" s="112" t="b">
        <v>0</v>
      </c>
      <c r="G1972" s="112" t="b">
        <v>0</v>
      </c>
    </row>
    <row r="1973" spans="1:7" ht="15">
      <c r="A1973" s="112" t="s">
        <v>2437</v>
      </c>
      <c r="B1973" s="112">
        <v>2</v>
      </c>
      <c r="C1973" s="114">
        <v>0.0016500063356550175</v>
      </c>
      <c r="D1973" s="112" t="s">
        <v>2052</v>
      </c>
      <c r="E1973" s="112" t="b">
        <v>0</v>
      </c>
      <c r="F1973" s="112" t="b">
        <v>0</v>
      </c>
      <c r="G1973" s="112" t="b">
        <v>0</v>
      </c>
    </row>
    <row r="1974" spans="1:7" ht="15">
      <c r="A1974" s="112" t="s">
        <v>2632</v>
      </c>
      <c r="B1974" s="112">
        <v>2</v>
      </c>
      <c r="C1974" s="114">
        <v>0.002031781853301157</v>
      </c>
      <c r="D1974" s="112" t="s">
        <v>2052</v>
      </c>
      <c r="E1974" s="112" t="b">
        <v>0</v>
      </c>
      <c r="F1974" s="112" t="b">
        <v>0</v>
      </c>
      <c r="G1974" s="112" t="b">
        <v>0</v>
      </c>
    </row>
    <row r="1975" spans="1:7" ht="15">
      <c r="A1975" s="112" t="s">
        <v>2316</v>
      </c>
      <c r="B1975" s="112">
        <v>2</v>
      </c>
      <c r="C1975" s="114">
        <v>0.0016500063356550175</v>
      </c>
      <c r="D1975" s="112" t="s">
        <v>2052</v>
      </c>
      <c r="E1975" s="112" t="b">
        <v>0</v>
      </c>
      <c r="F1975" s="112" t="b">
        <v>0</v>
      </c>
      <c r="G1975" s="112" t="b">
        <v>0</v>
      </c>
    </row>
    <row r="1976" spans="1:7" ht="15">
      <c r="A1976" s="112" t="s">
        <v>2214</v>
      </c>
      <c r="B1976" s="112">
        <v>2</v>
      </c>
      <c r="C1976" s="114">
        <v>0.0016500063356550175</v>
      </c>
      <c r="D1976" s="112" t="s">
        <v>2052</v>
      </c>
      <c r="E1976" s="112" t="b">
        <v>0</v>
      </c>
      <c r="F1976" s="112" t="b">
        <v>0</v>
      </c>
      <c r="G1976" s="112" t="b">
        <v>0</v>
      </c>
    </row>
    <row r="1977" spans="1:7" ht="15">
      <c r="A1977" s="112" t="s">
        <v>2436</v>
      </c>
      <c r="B1977" s="112">
        <v>2</v>
      </c>
      <c r="C1977" s="114">
        <v>0.002031781853301157</v>
      </c>
      <c r="D1977" s="112" t="s">
        <v>2052</v>
      </c>
      <c r="E1977" s="112" t="b">
        <v>0</v>
      </c>
      <c r="F1977" s="112" t="b">
        <v>0</v>
      </c>
      <c r="G1977" s="112" t="b">
        <v>0</v>
      </c>
    </row>
    <row r="1978" spans="1:7" ht="15">
      <c r="A1978" s="112" t="s">
        <v>2604</v>
      </c>
      <c r="B1978" s="112">
        <v>2</v>
      </c>
      <c r="C1978" s="114">
        <v>0.0016500063356550175</v>
      </c>
      <c r="D1978" s="112" t="s">
        <v>2052</v>
      </c>
      <c r="E1978" s="112" t="b">
        <v>0</v>
      </c>
      <c r="F1978" s="112" t="b">
        <v>0</v>
      </c>
      <c r="G1978" s="112" t="b">
        <v>0</v>
      </c>
    </row>
    <row r="1979" spans="1:7" ht="15">
      <c r="A1979" s="112" t="s">
        <v>2759</v>
      </c>
      <c r="B1979" s="112">
        <v>2</v>
      </c>
      <c r="C1979" s="114">
        <v>0.0016500063356550175</v>
      </c>
      <c r="D1979" s="112" t="s">
        <v>2052</v>
      </c>
      <c r="E1979" s="112" t="b">
        <v>0</v>
      </c>
      <c r="F1979" s="112" t="b">
        <v>0</v>
      </c>
      <c r="G1979" s="112" t="b">
        <v>0</v>
      </c>
    </row>
    <row r="1980" spans="1:7" ht="15">
      <c r="A1980" s="112" t="s">
        <v>2387</v>
      </c>
      <c r="B1980" s="112">
        <v>2</v>
      </c>
      <c r="C1980" s="114">
        <v>0.002031781853301157</v>
      </c>
      <c r="D1980" s="112" t="s">
        <v>2052</v>
      </c>
      <c r="E1980" s="112" t="b">
        <v>0</v>
      </c>
      <c r="F1980" s="112" t="b">
        <v>0</v>
      </c>
      <c r="G1980" s="112" t="b">
        <v>0</v>
      </c>
    </row>
    <row r="1981" spans="1:7" ht="15">
      <c r="A1981" s="112" t="s">
        <v>3301</v>
      </c>
      <c r="B1981" s="112">
        <v>2</v>
      </c>
      <c r="C1981" s="114">
        <v>0.002031781853301157</v>
      </c>
      <c r="D1981" s="112" t="s">
        <v>2052</v>
      </c>
      <c r="E1981" s="112" t="b">
        <v>0</v>
      </c>
      <c r="F1981" s="112" t="b">
        <v>0</v>
      </c>
      <c r="G1981" s="112" t="b">
        <v>0</v>
      </c>
    </row>
    <row r="1982" spans="1:7" ht="15">
      <c r="A1982" s="112" t="s">
        <v>2271</v>
      </c>
      <c r="B1982" s="112">
        <v>2</v>
      </c>
      <c r="C1982" s="114">
        <v>0.0016500063356550175</v>
      </c>
      <c r="D1982" s="112" t="s">
        <v>2052</v>
      </c>
      <c r="E1982" s="112" t="b">
        <v>0</v>
      </c>
      <c r="F1982" s="112" t="b">
        <v>0</v>
      </c>
      <c r="G1982" s="112" t="b">
        <v>0</v>
      </c>
    </row>
    <row r="1983" spans="1:7" ht="15">
      <c r="A1983" s="112" t="s">
        <v>2365</v>
      </c>
      <c r="B1983" s="112">
        <v>2</v>
      </c>
      <c r="C1983" s="114">
        <v>0.0016500063356550175</v>
      </c>
      <c r="D1983" s="112" t="s">
        <v>2052</v>
      </c>
      <c r="E1983" s="112" t="b">
        <v>0</v>
      </c>
      <c r="F1983" s="112" t="b">
        <v>0</v>
      </c>
      <c r="G1983" s="112" t="b">
        <v>0</v>
      </c>
    </row>
    <row r="1984" spans="1:7" ht="15">
      <c r="A1984" s="112" t="s">
        <v>3299</v>
      </c>
      <c r="B1984" s="112">
        <v>2</v>
      </c>
      <c r="C1984" s="114">
        <v>0.002031781853301157</v>
      </c>
      <c r="D1984" s="112" t="s">
        <v>2052</v>
      </c>
      <c r="E1984" s="112" t="b">
        <v>0</v>
      </c>
      <c r="F1984" s="112" t="b">
        <v>1</v>
      </c>
      <c r="G1984" s="112" t="b">
        <v>0</v>
      </c>
    </row>
    <row r="1985" spans="1:7" ht="15">
      <c r="A1985" s="112" t="s">
        <v>2650</v>
      </c>
      <c r="B1985" s="112">
        <v>2</v>
      </c>
      <c r="C1985" s="114">
        <v>0.002031781853301157</v>
      </c>
      <c r="D1985" s="112" t="s">
        <v>2052</v>
      </c>
      <c r="E1985" s="112" t="b">
        <v>0</v>
      </c>
      <c r="F1985" s="112" t="b">
        <v>0</v>
      </c>
      <c r="G1985" s="112" t="b">
        <v>0</v>
      </c>
    </row>
    <row r="1986" spans="1:7" ht="15">
      <c r="A1986" s="112" t="s">
        <v>3300</v>
      </c>
      <c r="B1986" s="112">
        <v>2</v>
      </c>
      <c r="C1986" s="114">
        <v>0.002031781853301157</v>
      </c>
      <c r="D1986" s="112" t="s">
        <v>2052</v>
      </c>
      <c r="E1986" s="112" t="b">
        <v>0</v>
      </c>
      <c r="F1986" s="112" t="b">
        <v>0</v>
      </c>
      <c r="G1986" s="112" t="b">
        <v>0</v>
      </c>
    </row>
    <row r="1987" spans="1:7" ht="15">
      <c r="A1987" s="112" t="s">
        <v>3297</v>
      </c>
      <c r="B1987" s="112">
        <v>2</v>
      </c>
      <c r="C1987" s="114">
        <v>0.0016500063356550175</v>
      </c>
      <c r="D1987" s="112" t="s">
        <v>2052</v>
      </c>
      <c r="E1987" s="112" t="b">
        <v>0</v>
      </c>
      <c r="F1987" s="112" t="b">
        <v>0</v>
      </c>
      <c r="G1987" s="112" t="b">
        <v>0</v>
      </c>
    </row>
    <row r="1988" spans="1:7" ht="15">
      <c r="A1988" s="112" t="s">
        <v>2611</v>
      </c>
      <c r="B1988" s="112">
        <v>2</v>
      </c>
      <c r="C1988" s="114">
        <v>0.0016500063356550175</v>
      </c>
      <c r="D1988" s="112" t="s">
        <v>2052</v>
      </c>
      <c r="E1988" s="112" t="b">
        <v>0</v>
      </c>
      <c r="F1988" s="112" t="b">
        <v>0</v>
      </c>
      <c r="G1988" s="112" t="b">
        <v>0</v>
      </c>
    </row>
    <row r="1989" spans="1:7" ht="15">
      <c r="A1989" s="112" t="s">
        <v>3263</v>
      </c>
      <c r="B1989" s="112">
        <v>2</v>
      </c>
      <c r="C1989" s="114">
        <v>0.0016500063356550175</v>
      </c>
      <c r="D1989" s="112" t="s">
        <v>2052</v>
      </c>
      <c r="E1989" s="112" t="b">
        <v>0</v>
      </c>
      <c r="F1989" s="112" t="b">
        <v>0</v>
      </c>
      <c r="G1989" s="112" t="b">
        <v>0</v>
      </c>
    </row>
    <row r="1990" spans="1:7" ht="15">
      <c r="A1990" s="112" t="s">
        <v>2797</v>
      </c>
      <c r="B1990" s="112">
        <v>2</v>
      </c>
      <c r="C1990" s="114">
        <v>0.0016500063356550175</v>
      </c>
      <c r="D1990" s="112" t="s">
        <v>2052</v>
      </c>
      <c r="E1990" s="112" t="b">
        <v>0</v>
      </c>
      <c r="F1990" s="112" t="b">
        <v>0</v>
      </c>
      <c r="G1990" s="112" t="b">
        <v>0</v>
      </c>
    </row>
    <row r="1991" spans="1:7" ht="15">
      <c r="A1991" s="112" t="s">
        <v>2785</v>
      </c>
      <c r="B1991" s="112">
        <v>2</v>
      </c>
      <c r="C1991" s="114">
        <v>0.0016500063356550175</v>
      </c>
      <c r="D1991" s="112" t="s">
        <v>2052</v>
      </c>
      <c r="E1991" s="112" t="b">
        <v>0</v>
      </c>
      <c r="F1991" s="112" t="b">
        <v>0</v>
      </c>
      <c r="G1991" s="112" t="b">
        <v>0</v>
      </c>
    </row>
    <row r="1992" spans="1:7" ht="15">
      <c r="A1992" s="112" t="s">
        <v>2445</v>
      </c>
      <c r="B1992" s="112">
        <v>2</v>
      </c>
      <c r="C1992" s="114">
        <v>0.002031781853301157</v>
      </c>
      <c r="D1992" s="112" t="s">
        <v>2052</v>
      </c>
      <c r="E1992" s="112" t="b">
        <v>0</v>
      </c>
      <c r="F1992" s="112" t="b">
        <v>0</v>
      </c>
      <c r="G1992" s="112" t="b">
        <v>0</v>
      </c>
    </row>
    <row r="1993" spans="1:7" ht="15">
      <c r="A1993" s="112" t="s">
        <v>3298</v>
      </c>
      <c r="B1993" s="112">
        <v>2</v>
      </c>
      <c r="C1993" s="114">
        <v>0.002031781853301157</v>
      </c>
      <c r="D1993" s="112" t="s">
        <v>2052</v>
      </c>
      <c r="E1993" s="112" t="b">
        <v>0</v>
      </c>
      <c r="F1993" s="112" t="b">
        <v>0</v>
      </c>
      <c r="G1993" s="112" t="b">
        <v>0</v>
      </c>
    </row>
    <row r="1994" spans="1:7" ht="15">
      <c r="A1994" s="112" t="s">
        <v>2722</v>
      </c>
      <c r="B1994" s="112">
        <v>2</v>
      </c>
      <c r="C1994" s="114">
        <v>0.002031781853301157</v>
      </c>
      <c r="D1994" s="112" t="s">
        <v>2052</v>
      </c>
      <c r="E1994" s="112" t="b">
        <v>0</v>
      </c>
      <c r="F1994" s="112" t="b">
        <v>0</v>
      </c>
      <c r="G1994" s="112" t="b">
        <v>0</v>
      </c>
    </row>
    <row r="1995" spans="1:7" ht="15">
      <c r="A1995" s="112" t="s">
        <v>3244</v>
      </c>
      <c r="B1995" s="112">
        <v>2</v>
      </c>
      <c r="C1995" s="114">
        <v>0.0016500063356550175</v>
      </c>
      <c r="D1995" s="112" t="s">
        <v>2052</v>
      </c>
      <c r="E1995" s="112" t="b">
        <v>0</v>
      </c>
      <c r="F1995" s="112" t="b">
        <v>0</v>
      </c>
      <c r="G1995" s="112" t="b">
        <v>0</v>
      </c>
    </row>
    <row r="1996" spans="1:7" ht="15">
      <c r="A1996" s="112" t="s">
        <v>3245</v>
      </c>
      <c r="B1996" s="112">
        <v>2</v>
      </c>
      <c r="C1996" s="114">
        <v>0.0016500063356550175</v>
      </c>
      <c r="D1996" s="112" t="s">
        <v>2052</v>
      </c>
      <c r="E1996" s="112" t="b">
        <v>0</v>
      </c>
      <c r="F1996" s="112" t="b">
        <v>0</v>
      </c>
      <c r="G1996" s="112" t="b">
        <v>0</v>
      </c>
    </row>
    <row r="1997" spans="1:7" ht="15">
      <c r="A1997" s="112" t="s">
        <v>3295</v>
      </c>
      <c r="B1997" s="112">
        <v>2</v>
      </c>
      <c r="C1997" s="114">
        <v>0.002031781853301157</v>
      </c>
      <c r="D1997" s="112" t="s">
        <v>2052</v>
      </c>
      <c r="E1997" s="112" t="b">
        <v>0</v>
      </c>
      <c r="F1997" s="112" t="b">
        <v>0</v>
      </c>
      <c r="G1997" s="112" t="b">
        <v>0</v>
      </c>
    </row>
    <row r="1998" spans="1:7" ht="15">
      <c r="A1998" s="112" t="s">
        <v>3296</v>
      </c>
      <c r="B1998" s="112">
        <v>2</v>
      </c>
      <c r="C1998" s="114">
        <v>0.002031781853301157</v>
      </c>
      <c r="D1998" s="112" t="s">
        <v>2052</v>
      </c>
      <c r="E1998" s="112" t="b">
        <v>0</v>
      </c>
      <c r="F1998" s="112" t="b">
        <v>0</v>
      </c>
      <c r="G1998" s="112" t="b">
        <v>0</v>
      </c>
    </row>
    <row r="1999" spans="1:7" ht="15">
      <c r="A1999" s="112" t="s">
        <v>2182</v>
      </c>
      <c r="B1999" s="112">
        <v>2</v>
      </c>
      <c r="C1999" s="114">
        <v>0.002031781853301157</v>
      </c>
      <c r="D1999" s="112" t="s">
        <v>2052</v>
      </c>
      <c r="E1999" s="112" t="b">
        <v>0</v>
      </c>
      <c r="F1999" s="112" t="b">
        <v>0</v>
      </c>
      <c r="G1999" s="112" t="b">
        <v>0</v>
      </c>
    </row>
    <row r="2000" spans="1:7" ht="15">
      <c r="A2000" s="112" t="s">
        <v>2568</v>
      </c>
      <c r="B2000" s="112">
        <v>2</v>
      </c>
      <c r="C2000" s="114">
        <v>0.0016500063356550175</v>
      </c>
      <c r="D2000" s="112" t="s">
        <v>2052</v>
      </c>
      <c r="E2000" s="112" t="b">
        <v>0</v>
      </c>
      <c r="F2000" s="112" t="b">
        <v>0</v>
      </c>
      <c r="G2000" s="112" t="b">
        <v>0</v>
      </c>
    </row>
    <row r="2001" spans="1:7" ht="15">
      <c r="A2001" s="112" t="s">
        <v>3290</v>
      </c>
      <c r="B2001" s="112">
        <v>2</v>
      </c>
      <c r="C2001" s="114">
        <v>0.002031781853301157</v>
      </c>
      <c r="D2001" s="112" t="s">
        <v>2052</v>
      </c>
      <c r="E2001" s="112" t="b">
        <v>0</v>
      </c>
      <c r="F2001" s="112" t="b">
        <v>0</v>
      </c>
      <c r="G2001" s="112" t="b">
        <v>0</v>
      </c>
    </row>
    <row r="2002" spans="1:7" ht="15">
      <c r="A2002" s="112" t="s">
        <v>3291</v>
      </c>
      <c r="B2002" s="112">
        <v>2</v>
      </c>
      <c r="C2002" s="114">
        <v>0.002031781853301157</v>
      </c>
      <c r="D2002" s="112" t="s">
        <v>2052</v>
      </c>
      <c r="E2002" s="112" t="b">
        <v>0</v>
      </c>
      <c r="F2002" s="112" t="b">
        <v>0</v>
      </c>
      <c r="G2002" s="112" t="b">
        <v>0</v>
      </c>
    </row>
    <row r="2003" spans="1:7" ht="15">
      <c r="A2003" s="112" t="s">
        <v>3292</v>
      </c>
      <c r="B2003" s="112">
        <v>2</v>
      </c>
      <c r="C2003" s="114">
        <v>0.002031781853301157</v>
      </c>
      <c r="D2003" s="112" t="s">
        <v>2052</v>
      </c>
      <c r="E2003" s="112" t="b">
        <v>0</v>
      </c>
      <c r="F2003" s="112" t="b">
        <v>0</v>
      </c>
      <c r="G2003" s="112" t="b">
        <v>0</v>
      </c>
    </row>
    <row r="2004" spans="1:7" ht="15">
      <c r="A2004" s="112" t="s">
        <v>3293</v>
      </c>
      <c r="B2004" s="112">
        <v>2</v>
      </c>
      <c r="C2004" s="114">
        <v>0.002031781853301157</v>
      </c>
      <c r="D2004" s="112" t="s">
        <v>2052</v>
      </c>
      <c r="E2004" s="112" t="b">
        <v>0</v>
      </c>
      <c r="F2004" s="112" t="b">
        <v>0</v>
      </c>
      <c r="G2004" s="112" t="b">
        <v>0</v>
      </c>
    </row>
    <row r="2005" spans="1:7" ht="15">
      <c r="A2005" s="112" t="s">
        <v>3294</v>
      </c>
      <c r="B2005" s="112">
        <v>2</v>
      </c>
      <c r="C2005" s="114">
        <v>0.002031781853301157</v>
      </c>
      <c r="D2005" s="112" t="s">
        <v>2052</v>
      </c>
      <c r="E2005" s="112" t="b">
        <v>0</v>
      </c>
      <c r="F2005" s="112" t="b">
        <v>0</v>
      </c>
      <c r="G2005" s="112" t="b">
        <v>0</v>
      </c>
    </row>
    <row r="2006" spans="1:7" ht="15">
      <c r="A2006" s="112" t="s">
        <v>2699</v>
      </c>
      <c r="B2006" s="112">
        <v>2</v>
      </c>
      <c r="C2006" s="114">
        <v>0.0016500063356550175</v>
      </c>
      <c r="D2006" s="112" t="s">
        <v>2052</v>
      </c>
      <c r="E2006" s="112" t="b">
        <v>0</v>
      </c>
      <c r="F2006" s="112" t="b">
        <v>1</v>
      </c>
      <c r="G2006" s="112" t="b">
        <v>0</v>
      </c>
    </row>
    <row r="2007" spans="1:7" ht="15">
      <c r="A2007" s="112" t="s">
        <v>3285</v>
      </c>
      <c r="B2007" s="112">
        <v>2</v>
      </c>
      <c r="C2007" s="114">
        <v>0.0016500063356550175</v>
      </c>
      <c r="D2007" s="112" t="s">
        <v>2052</v>
      </c>
      <c r="E2007" s="112" t="b">
        <v>0</v>
      </c>
      <c r="F2007" s="112" t="b">
        <v>1</v>
      </c>
      <c r="G2007" s="112" t="b">
        <v>0</v>
      </c>
    </row>
    <row r="2008" spans="1:7" ht="15">
      <c r="A2008" s="112" t="s">
        <v>3262</v>
      </c>
      <c r="B2008" s="112">
        <v>2</v>
      </c>
      <c r="C2008" s="114">
        <v>0.0016500063356550175</v>
      </c>
      <c r="D2008" s="112" t="s">
        <v>2052</v>
      </c>
      <c r="E2008" s="112" t="b">
        <v>0</v>
      </c>
      <c r="F2008" s="112" t="b">
        <v>0</v>
      </c>
      <c r="G2008" s="112" t="b">
        <v>0</v>
      </c>
    </row>
    <row r="2009" spans="1:7" ht="15">
      <c r="A2009" s="112" t="s">
        <v>2358</v>
      </c>
      <c r="B2009" s="112">
        <v>2</v>
      </c>
      <c r="C2009" s="114">
        <v>0.0016500063356550175</v>
      </c>
      <c r="D2009" s="112" t="s">
        <v>2052</v>
      </c>
      <c r="E2009" s="112" t="b">
        <v>0</v>
      </c>
      <c r="F2009" s="112" t="b">
        <v>0</v>
      </c>
      <c r="G2009" s="112" t="b">
        <v>0</v>
      </c>
    </row>
    <row r="2010" spans="1:7" ht="15">
      <c r="A2010" s="112" t="s">
        <v>3241</v>
      </c>
      <c r="B2010" s="112">
        <v>2</v>
      </c>
      <c r="C2010" s="114">
        <v>0.0016500063356550175</v>
      </c>
      <c r="D2010" s="112" t="s">
        <v>2052</v>
      </c>
      <c r="E2010" s="112" t="b">
        <v>0</v>
      </c>
      <c r="F2010" s="112" t="b">
        <v>0</v>
      </c>
      <c r="G2010" s="112" t="b">
        <v>0</v>
      </c>
    </row>
    <row r="2011" spans="1:7" ht="15">
      <c r="A2011" s="112" t="s">
        <v>2490</v>
      </c>
      <c r="B2011" s="112">
        <v>2</v>
      </c>
      <c r="C2011" s="114">
        <v>0.002031781853301157</v>
      </c>
      <c r="D2011" s="112" t="s">
        <v>2052</v>
      </c>
      <c r="E2011" s="112" t="b">
        <v>0</v>
      </c>
      <c r="F2011" s="112" t="b">
        <v>1</v>
      </c>
      <c r="G2011" s="112" t="b">
        <v>0</v>
      </c>
    </row>
    <row r="2012" spans="1:7" ht="15">
      <c r="A2012" s="112" t="s">
        <v>2330</v>
      </c>
      <c r="B2012" s="112">
        <v>2</v>
      </c>
      <c r="C2012" s="114">
        <v>0.0016500063356550175</v>
      </c>
      <c r="D2012" s="112" t="s">
        <v>2052</v>
      </c>
      <c r="E2012" s="112" t="b">
        <v>0</v>
      </c>
      <c r="F2012" s="112" t="b">
        <v>1</v>
      </c>
      <c r="G2012" s="112" t="b">
        <v>0</v>
      </c>
    </row>
    <row r="2013" spans="1:7" ht="15">
      <c r="A2013" s="112" t="s">
        <v>3289</v>
      </c>
      <c r="B2013" s="112">
        <v>2</v>
      </c>
      <c r="C2013" s="114">
        <v>0.002031781853301157</v>
      </c>
      <c r="D2013" s="112" t="s">
        <v>2052</v>
      </c>
      <c r="E2013" s="112" t="b">
        <v>0</v>
      </c>
      <c r="F2013" s="112" t="b">
        <v>1</v>
      </c>
      <c r="G2013" s="112" t="b">
        <v>0</v>
      </c>
    </row>
    <row r="2014" spans="1:7" ht="15">
      <c r="A2014" s="112" t="s">
        <v>3268</v>
      </c>
      <c r="B2014" s="112">
        <v>2</v>
      </c>
      <c r="C2014" s="114">
        <v>0.0016500063356550175</v>
      </c>
      <c r="D2014" s="112" t="s">
        <v>2052</v>
      </c>
      <c r="E2014" s="112" t="b">
        <v>0</v>
      </c>
      <c r="F2014" s="112" t="b">
        <v>0</v>
      </c>
      <c r="G2014" s="112" t="b">
        <v>0</v>
      </c>
    </row>
    <row r="2015" spans="1:7" ht="15">
      <c r="A2015" s="112" t="s">
        <v>3288</v>
      </c>
      <c r="B2015" s="112">
        <v>2</v>
      </c>
      <c r="C2015" s="114">
        <v>0.002031781853301157</v>
      </c>
      <c r="D2015" s="112" t="s">
        <v>2052</v>
      </c>
      <c r="E2015" s="112" t="b">
        <v>0</v>
      </c>
      <c r="F2015" s="112" t="b">
        <v>0</v>
      </c>
      <c r="G2015" s="112" t="b">
        <v>0</v>
      </c>
    </row>
    <row r="2016" spans="1:7" ht="15">
      <c r="A2016" s="112" t="s">
        <v>2531</v>
      </c>
      <c r="B2016" s="112">
        <v>2</v>
      </c>
      <c r="C2016" s="114">
        <v>0.0016500063356550175</v>
      </c>
      <c r="D2016" s="112" t="s">
        <v>2052</v>
      </c>
      <c r="E2016" s="112" t="b">
        <v>0</v>
      </c>
      <c r="F2016" s="112" t="b">
        <v>1</v>
      </c>
      <c r="G2016" s="112" t="b">
        <v>0</v>
      </c>
    </row>
    <row r="2017" spans="1:7" ht="15">
      <c r="A2017" s="112" t="s">
        <v>3267</v>
      </c>
      <c r="B2017" s="112">
        <v>2</v>
      </c>
      <c r="C2017" s="114">
        <v>0.0016500063356550175</v>
      </c>
      <c r="D2017" s="112" t="s">
        <v>2052</v>
      </c>
      <c r="E2017" s="112" t="b">
        <v>0</v>
      </c>
      <c r="F2017" s="112" t="b">
        <v>0</v>
      </c>
      <c r="G2017" s="112" t="b">
        <v>0</v>
      </c>
    </row>
    <row r="2018" spans="1:7" ht="15">
      <c r="A2018" s="112" t="s">
        <v>3266</v>
      </c>
      <c r="B2018" s="112">
        <v>2</v>
      </c>
      <c r="C2018" s="114">
        <v>0.0016500063356550175</v>
      </c>
      <c r="D2018" s="112" t="s">
        <v>2052</v>
      </c>
      <c r="E2018" s="112" t="b">
        <v>0</v>
      </c>
      <c r="F2018" s="112" t="b">
        <v>0</v>
      </c>
      <c r="G2018" s="112" t="b">
        <v>0</v>
      </c>
    </row>
    <row r="2019" spans="1:7" ht="15">
      <c r="A2019" s="112" t="s">
        <v>2593</v>
      </c>
      <c r="B2019" s="112">
        <v>2</v>
      </c>
      <c r="C2019" s="114">
        <v>0.0016500063356550175</v>
      </c>
      <c r="D2019" s="112" t="s">
        <v>2052</v>
      </c>
      <c r="E2019" s="112" t="b">
        <v>0</v>
      </c>
      <c r="F2019" s="112" t="b">
        <v>0</v>
      </c>
      <c r="G2019" s="112" t="b">
        <v>0</v>
      </c>
    </row>
    <row r="2020" spans="1:7" ht="15">
      <c r="A2020" s="112" t="s">
        <v>2770</v>
      </c>
      <c r="B2020" s="112">
        <v>2</v>
      </c>
      <c r="C2020" s="114">
        <v>0.0016500063356550175</v>
      </c>
      <c r="D2020" s="112" t="s">
        <v>2052</v>
      </c>
      <c r="E2020" s="112" t="b">
        <v>0</v>
      </c>
      <c r="F2020" s="112" t="b">
        <v>1</v>
      </c>
      <c r="G2020" s="112" t="b">
        <v>0</v>
      </c>
    </row>
    <row r="2021" spans="1:7" ht="15">
      <c r="A2021" s="112" t="s">
        <v>2089</v>
      </c>
      <c r="B2021" s="112">
        <v>2</v>
      </c>
      <c r="C2021" s="114">
        <v>0.0016500063356550175</v>
      </c>
      <c r="D2021" s="112" t="s">
        <v>2052</v>
      </c>
      <c r="E2021" s="112" t="b">
        <v>0</v>
      </c>
      <c r="F2021" s="112" t="b">
        <v>0</v>
      </c>
      <c r="G2021" s="112" t="b">
        <v>0</v>
      </c>
    </row>
    <row r="2022" spans="1:7" ht="15">
      <c r="A2022" s="112" t="s">
        <v>3287</v>
      </c>
      <c r="B2022" s="112">
        <v>2</v>
      </c>
      <c r="C2022" s="114">
        <v>0.002031781853301157</v>
      </c>
      <c r="D2022" s="112" t="s">
        <v>2052</v>
      </c>
      <c r="E2022" s="112" t="b">
        <v>0</v>
      </c>
      <c r="F2022" s="112" t="b">
        <v>0</v>
      </c>
      <c r="G2022" s="112" t="b">
        <v>0</v>
      </c>
    </row>
    <row r="2023" spans="1:7" ht="15">
      <c r="A2023" s="112" t="s">
        <v>2602</v>
      </c>
      <c r="B2023" s="112">
        <v>2</v>
      </c>
      <c r="C2023" s="114">
        <v>0.0016500063356550175</v>
      </c>
      <c r="D2023" s="112" t="s">
        <v>2052</v>
      </c>
      <c r="E2023" s="112" t="b">
        <v>0</v>
      </c>
      <c r="F2023" s="112" t="b">
        <v>0</v>
      </c>
      <c r="G2023" s="112" t="b">
        <v>0</v>
      </c>
    </row>
    <row r="2024" spans="1:7" ht="15">
      <c r="A2024" s="112" t="s">
        <v>3269</v>
      </c>
      <c r="B2024" s="112">
        <v>2</v>
      </c>
      <c r="C2024" s="114">
        <v>0.0016500063356550175</v>
      </c>
      <c r="D2024" s="112" t="s">
        <v>2052</v>
      </c>
      <c r="E2024" s="112" t="b">
        <v>0</v>
      </c>
      <c r="F2024" s="112" t="b">
        <v>1</v>
      </c>
      <c r="G2024" s="112" t="b">
        <v>0</v>
      </c>
    </row>
    <row r="2025" spans="1:7" ht="15">
      <c r="A2025" s="112" t="s">
        <v>3281</v>
      </c>
      <c r="B2025" s="112">
        <v>2</v>
      </c>
      <c r="C2025" s="114">
        <v>0.002031781853301157</v>
      </c>
      <c r="D2025" s="112" t="s">
        <v>2052</v>
      </c>
      <c r="E2025" s="112" t="b">
        <v>0</v>
      </c>
      <c r="F2025" s="112" t="b">
        <v>0</v>
      </c>
      <c r="G2025" s="112" t="b">
        <v>0</v>
      </c>
    </row>
    <row r="2026" spans="1:7" ht="15">
      <c r="A2026" s="112" t="s">
        <v>3282</v>
      </c>
      <c r="B2026" s="112">
        <v>2</v>
      </c>
      <c r="C2026" s="114">
        <v>0.002031781853301157</v>
      </c>
      <c r="D2026" s="112" t="s">
        <v>2052</v>
      </c>
      <c r="E2026" s="112" t="b">
        <v>0</v>
      </c>
      <c r="F2026" s="112" t="b">
        <v>0</v>
      </c>
      <c r="G2026" s="112" t="b">
        <v>0</v>
      </c>
    </row>
    <row r="2027" spans="1:7" ht="15">
      <c r="A2027" s="112" t="s">
        <v>2119</v>
      </c>
      <c r="B2027" s="112">
        <v>2</v>
      </c>
      <c r="C2027" s="114">
        <v>0.0016500063356550175</v>
      </c>
      <c r="D2027" s="112" t="s">
        <v>2052</v>
      </c>
      <c r="E2027" s="112" t="b">
        <v>0</v>
      </c>
      <c r="F2027" s="112" t="b">
        <v>0</v>
      </c>
      <c r="G2027" s="112" t="b">
        <v>0</v>
      </c>
    </row>
    <row r="2028" spans="1:7" ht="15">
      <c r="A2028" s="112" t="s">
        <v>3283</v>
      </c>
      <c r="B2028" s="112">
        <v>2</v>
      </c>
      <c r="C2028" s="114">
        <v>0.002031781853301157</v>
      </c>
      <c r="D2028" s="112" t="s">
        <v>2052</v>
      </c>
      <c r="E2028" s="112" t="b">
        <v>0</v>
      </c>
      <c r="F2028" s="112" t="b">
        <v>0</v>
      </c>
      <c r="G2028" s="112" t="b">
        <v>0</v>
      </c>
    </row>
    <row r="2029" spans="1:7" ht="15">
      <c r="A2029" s="112" t="s">
        <v>2511</v>
      </c>
      <c r="B2029" s="112">
        <v>2</v>
      </c>
      <c r="C2029" s="114">
        <v>0.0016500063356550175</v>
      </c>
      <c r="D2029" s="112" t="s">
        <v>2052</v>
      </c>
      <c r="E2029" s="112" t="b">
        <v>0</v>
      </c>
      <c r="F2029" s="112" t="b">
        <v>0</v>
      </c>
      <c r="G2029" s="112" t="b">
        <v>0</v>
      </c>
    </row>
    <row r="2030" spans="1:7" ht="15">
      <c r="A2030" s="112" t="s">
        <v>3278</v>
      </c>
      <c r="B2030" s="112">
        <v>2</v>
      </c>
      <c r="C2030" s="114">
        <v>0.002031781853301157</v>
      </c>
      <c r="D2030" s="112" t="s">
        <v>2052</v>
      </c>
      <c r="E2030" s="112" t="b">
        <v>0</v>
      </c>
      <c r="F2030" s="112" t="b">
        <v>0</v>
      </c>
      <c r="G2030" s="112" t="b">
        <v>0</v>
      </c>
    </row>
    <row r="2031" spans="1:7" ht="15">
      <c r="A2031" s="112" t="s">
        <v>3279</v>
      </c>
      <c r="B2031" s="112">
        <v>2</v>
      </c>
      <c r="C2031" s="114">
        <v>0.002031781853301157</v>
      </c>
      <c r="D2031" s="112" t="s">
        <v>2052</v>
      </c>
      <c r="E2031" s="112" t="b">
        <v>0</v>
      </c>
      <c r="F2031" s="112" t="b">
        <v>0</v>
      </c>
      <c r="G2031" s="112" t="b">
        <v>0</v>
      </c>
    </row>
    <row r="2032" spans="1:7" ht="15">
      <c r="A2032" s="112" t="s">
        <v>3280</v>
      </c>
      <c r="B2032" s="112">
        <v>2</v>
      </c>
      <c r="C2032" s="114">
        <v>0.002031781853301157</v>
      </c>
      <c r="D2032" s="112" t="s">
        <v>2052</v>
      </c>
      <c r="E2032" s="112" t="b">
        <v>0</v>
      </c>
      <c r="F2032" s="112" t="b">
        <v>0</v>
      </c>
      <c r="G2032" s="112" t="b">
        <v>0</v>
      </c>
    </row>
    <row r="2033" spans="1:7" ht="15">
      <c r="A2033" s="112" t="s">
        <v>3271</v>
      </c>
      <c r="B2033" s="112">
        <v>2</v>
      </c>
      <c r="C2033" s="114">
        <v>0.002031781853301157</v>
      </c>
      <c r="D2033" s="112" t="s">
        <v>2052</v>
      </c>
      <c r="E2033" s="112" t="b">
        <v>0</v>
      </c>
      <c r="F2033" s="112" t="b">
        <v>0</v>
      </c>
      <c r="G2033" s="112" t="b">
        <v>0</v>
      </c>
    </row>
    <row r="2034" spans="1:7" ht="15">
      <c r="A2034" s="112" t="s">
        <v>2792</v>
      </c>
      <c r="B2034" s="112">
        <v>2</v>
      </c>
      <c r="C2034" s="114">
        <v>0.002031781853301157</v>
      </c>
      <c r="D2034" s="112" t="s">
        <v>2052</v>
      </c>
      <c r="E2034" s="112" t="b">
        <v>0</v>
      </c>
      <c r="F2034" s="112" t="b">
        <v>0</v>
      </c>
      <c r="G2034" s="112" t="b">
        <v>0</v>
      </c>
    </row>
    <row r="2035" spans="1:7" ht="15">
      <c r="A2035" s="112" t="s">
        <v>3272</v>
      </c>
      <c r="B2035" s="112">
        <v>2</v>
      </c>
      <c r="C2035" s="114">
        <v>0.002031781853301157</v>
      </c>
      <c r="D2035" s="112" t="s">
        <v>2052</v>
      </c>
      <c r="E2035" s="112" t="b">
        <v>0</v>
      </c>
      <c r="F2035" s="112" t="b">
        <v>0</v>
      </c>
      <c r="G2035" s="112" t="b">
        <v>0</v>
      </c>
    </row>
    <row r="2036" spans="1:7" ht="15">
      <c r="A2036" s="112" t="s">
        <v>2753</v>
      </c>
      <c r="B2036" s="112">
        <v>2</v>
      </c>
      <c r="C2036" s="114">
        <v>0.002031781853301157</v>
      </c>
      <c r="D2036" s="112" t="s">
        <v>2052</v>
      </c>
      <c r="E2036" s="112" t="b">
        <v>0</v>
      </c>
      <c r="F2036" s="112" t="b">
        <v>0</v>
      </c>
      <c r="G2036" s="112" t="b">
        <v>0</v>
      </c>
    </row>
    <row r="2037" spans="1:7" ht="15">
      <c r="A2037" s="112" t="s">
        <v>3273</v>
      </c>
      <c r="B2037" s="112">
        <v>2</v>
      </c>
      <c r="C2037" s="114">
        <v>0.002031781853301157</v>
      </c>
      <c r="D2037" s="112" t="s">
        <v>2052</v>
      </c>
      <c r="E2037" s="112" t="b">
        <v>0</v>
      </c>
      <c r="F2037" s="112" t="b">
        <v>1</v>
      </c>
      <c r="G2037" s="112" t="b">
        <v>0</v>
      </c>
    </row>
    <row r="2038" spans="1:7" ht="15">
      <c r="A2038" s="112" t="s">
        <v>3270</v>
      </c>
      <c r="B2038" s="112">
        <v>2</v>
      </c>
      <c r="C2038" s="114">
        <v>0.002031781853301157</v>
      </c>
      <c r="D2038" s="112" t="s">
        <v>2052</v>
      </c>
      <c r="E2038" s="112" t="b">
        <v>0</v>
      </c>
      <c r="F2038" s="112" t="b">
        <v>0</v>
      </c>
      <c r="G2038" s="112" t="b">
        <v>0</v>
      </c>
    </row>
    <row r="2039" spans="1:7" ht="15">
      <c r="A2039" s="112" t="s">
        <v>2698</v>
      </c>
      <c r="B2039" s="112">
        <v>2</v>
      </c>
      <c r="C2039" s="114">
        <v>0.0016500063356550175</v>
      </c>
      <c r="D2039" s="112" t="s">
        <v>2052</v>
      </c>
      <c r="E2039" s="112" t="b">
        <v>0</v>
      </c>
      <c r="F2039" s="112" t="b">
        <v>1</v>
      </c>
      <c r="G2039" s="112" t="b">
        <v>0</v>
      </c>
    </row>
    <row r="2040" spans="1:7" ht="15">
      <c r="A2040" s="112" t="s">
        <v>2338</v>
      </c>
      <c r="B2040" s="112">
        <v>2</v>
      </c>
      <c r="C2040" s="114">
        <v>0.0016500063356550175</v>
      </c>
      <c r="D2040" s="112" t="s">
        <v>2052</v>
      </c>
      <c r="E2040" s="112" t="b">
        <v>0</v>
      </c>
      <c r="F2040" s="112" t="b">
        <v>1</v>
      </c>
      <c r="G2040" s="112" t="b">
        <v>0</v>
      </c>
    </row>
    <row r="2041" spans="1:7" ht="15">
      <c r="A2041" s="112" t="s">
        <v>2786</v>
      </c>
      <c r="B2041" s="112">
        <v>2</v>
      </c>
      <c r="C2041" s="114">
        <v>0.002031781853301157</v>
      </c>
      <c r="D2041" s="112" t="s">
        <v>2052</v>
      </c>
      <c r="E2041" s="112" t="b">
        <v>0</v>
      </c>
      <c r="F2041" s="112" t="b">
        <v>1</v>
      </c>
      <c r="G2041" s="112" t="b">
        <v>0</v>
      </c>
    </row>
    <row r="2042" spans="1:7" ht="15">
      <c r="A2042" s="112" t="s">
        <v>3261</v>
      </c>
      <c r="B2042" s="112">
        <v>2</v>
      </c>
      <c r="C2042" s="114">
        <v>0.0016500063356550175</v>
      </c>
      <c r="D2042" s="112" t="s">
        <v>2052</v>
      </c>
      <c r="E2042" s="112" t="b">
        <v>0</v>
      </c>
      <c r="F2042" s="112" t="b">
        <v>0</v>
      </c>
      <c r="G2042" s="112" t="b">
        <v>0</v>
      </c>
    </row>
    <row r="2043" spans="1:7" ht="15">
      <c r="A2043" s="112" t="s">
        <v>2438</v>
      </c>
      <c r="B2043" s="112">
        <v>2</v>
      </c>
      <c r="C2043" s="114">
        <v>0.0016500063356550175</v>
      </c>
      <c r="D2043" s="112" t="s">
        <v>2052</v>
      </c>
      <c r="E2043" s="112" t="b">
        <v>0</v>
      </c>
      <c r="F2043" s="112" t="b">
        <v>0</v>
      </c>
      <c r="G2043" s="112" t="b">
        <v>0</v>
      </c>
    </row>
    <row r="2044" spans="1:7" ht="15">
      <c r="A2044" s="112" t="s">
        <v>3255</v>
      </c>
      <c r="B2044" s="112">
        <v>2</v>
      </c>
      <c r="C2044" s="114">
        <v>0.0016500063356550175</v>
      </c>
      <c r="D2044" s="112" t="s">
        <v>2052</v>
      </c>
      <c r="E2044" s="112" t="b">
        <v>0</v>
      </c>
      <c r="F2044" s="112" t="b">
        <v>1</v>
      </c>
      <c r="G2044" s="112" t="b">
        <v>0</v>
      </c>
    </row>
    <row r="2045" spans="1:7" ht="15">
      <c r="A2045" s="112" t="s">
        <v>2092</v>
      </c>
      <c r="B2045" s="112">
        <v>2</v>
      </c>
      <c r="C2045" s="114">
        <v>0.002031781853301157</v>
      </c>
      <c r="D2045" s="112" t="s">
        <v>2052</v>
      </c>
      <c r="E2045" s="112" t="b">
        <v>0</v>
      </c>
      <c r="F2045" s="112" t="b">
        <v>0</v>
      </c>
      <c r="G2045" s="112" t="b">
        <v>0</v>
      </c>
    </row>
    <row r="2046" spans="1:7" ht="15">
      <c r="A2046" s="112" t="s">
        <v>2113</v>
      </c>
      <c r="B2046" s="112">
        <v>2</v>
      </c>
      <c r="C2046" s="114">
        <v>0.002031781853301157</v>
      </c>
      <c r="D2046" s="112" t="s">
        <v>2052</v>
      </c>
      <c r="E2046" s="112" t="b">
        <v>0</v>
      </c>
      <c r="F2046" s="112" t="b">
        <v>0</v>
      </c>
      <c r="G2046" s="112" t="b">
        <v>0</v>
      </c>
    </row>
    <row r="2047" spans="1:7" ht="15">
      <c r="A2047" s="112" t="s">
        <v>2528</v>
      </c>
      <c r="B2047" s="112">
        <v>2</v>
      </c>
      <c r="C2047" s="114">
        <v>0.002031781853301157</v>
      </c>
      <c r="D2047" s="112" t="s">
        <v>2052</v>
      </c>
      <c r="E2047" s="112" t="b">
        <v>0</v>
      </c>
      <c r="F2047" s="112" t="b">
        <v>0</v>
      </c>
      <c r="G2047" s="112" t="b">
        <v>0</v>
      </c>
    </row>
    <row r="2048" spans="1:7" ht="15">
      <c r="A2048" s="112" t="s">
        <v>2733</v>
      </c>
      <c r="B2048" s="112">
        <v>2</v>
      </c>
      <c r="C2048" s="114">
        <v>0.0016500063356550175</v>
      </c>
      <c r="D2048" s="112" t="s">
        <v>2052</v>
      </c>
      <c r="E2048" s="112" t="b">
        <v>0</v>
      </c>
      <c r="F2048" s="112" t="b">
        <v>0</v>
      </c>
      <c r="G2048" s="112" t="b">
        <v>0</v>
      </c>
    </row>
    <row r="2049" spans="1:7" ht="15">
      <c r="A2049" s="112" t="s">
        <v>3264</v>
      </c>
      <c r="B2049" s="112">
        <v>2</v>
      </c>
      <c r="C2049" s="114">
        <v>0.002031781853301157</v>
      </c>
      <c r="D2049" s="112" t="s">
        <v>2052</v>
      </c>
      <c r="E2049" s="112" t="b">
        <v>0</v>
      </c>
      <c r="F2049" s="112" t="b">
        <v>1</v>
      </c>
      <c r="G2049" s="112" t="b">
        <v>0</v>
      </c>
    </row>
    <row r="2050" spans="1:7" ht="15">
      <c r="A2050" s="112" t="s">
        <v>3265</v>
      </c>
      <c r="B2050" s="112">
        <v>2</v>
      </c>
      <c r="C2050" s="114">
        <v>0.002031781853301157</v>
      </c>
      <c r="D2050" s="112" t="s">
        <v>2052</v>
      </c>
      <c r="E2050" s="112" t="b">
        <v>0</v>
      </c>
      <c r="F2050" s="112" t="b">
        <v>0</v>
      </c>
      <c r="G2050" s="112" t="b">
        <v>0</v>
      </c>
    </row>
    <row r="2051" spans="1:7" ht="15">
      <c r="A2051" s="112" t="s">
        <v>2549</v>
      </c>
      <c r="B2051" s="112">
        <v>2</v>
      </c>
      <c r="C2051" s="114">
        <v>0.0016500063356550175</v>
      </c>
      <c r="D2051" s="112" t="s">
        <v>2052</v>
      </c>
      <c r="E2051" s="112" t="b">
        <v>0</v>
      </c>
      <c r="F2051" s="112" t="b">
        <v>0</v>
      </c>
      <c r="G2051" s="112" t="b">
        <v>0</v>
      </c>
    </row>
    <row r="2052" spans="1:7" ht="15">
      <c r="A2052" s="112" t="s">
        <v>2755</v>
      </c>
      <c r="B2052" s="112">
        <v>2</v>
      </c>
      <c r="C2052" s="114">
        <v>0.0016500063356550175</v>
      </c>
      <c r="D2052" s="112" t="s">
        <v>2052</v>
      </c>
      <c r="E2052" s="112" t="b">
        <v>0</v>
      </c>
      <c r="F2052" s="112" t="b">
        <v>0</v>
      </c>
      <c r="G2052" s="112" t="b">
        <v>0</v>
      </c>
    </row>
    <row r="2053" spans="1:7" ht="15">
      <c r="A2053" s="112" t="s">
        <v>2415</v>
      </c>
      <c r="B2053" s="112">
        <v>2</v>
      </c>
      <c r="C2053" s="114">
        <v>0.0016500063356550175</v>
      </c>
      <c r="D2053" s="112" t="s">
        <v>2052</v>
      </c>
      <c r="E2053" s="112" t="b">
        <v>0</v>
      </c>
      <c r="F2053" s="112" t="b">
        <v>0</v>
      </c>
      <c r="G2053" s="112" t="b">
        <v>0</v>
      </c>
    </row>
    <row r="2054" spans="1:7" ht="15">
      <c r="A2054" s="112" t="s">
        <v>3260</v>
      </c>
      <c r="B2054" s="112">
        <v>2</v>
      </c>
      <c r="C2054" s="114">
        <v>0.002031781853301157</v>
      </c>
      <c r="D2054" s="112" t="s">
        <v>2052</v>
      </c>
      <c r="E2054" s="112" t="b">
        <v>0</v>
      </c>
      <c r="F2054" s="112" t="b">
        <v>0</v>
      </c>
      <c r="G2054" s="112" t="b">
        <v>0</v>
      </c>
    </row>
    <row r="2055" spans="1:7" ht="15">
      <c r="A2055" s="112" t="s">
        <v>2360</v>
      </c>
      <c r="B2055" s="112">
        <v>2</v>
      </c>
      <c r="C2055" s="114">
        <v>0.002031781853301157</v>
      </c>
      <c r="D2055" s="112" t="s">
        <v>2052</v>
      </c>
      <c r="E2055" s="112" t="b">
        <v>0</v>
      </c>
      <c r="F2055" s="112" t="b">
        <v>0</v>
      </c>
      <c r="G2055" s="112" t="b">
        <v>0</v>
      </c>
    </row>
    <row r="2056" spans="1:7" ht="15">
      <c r="A2056" s="112" t="s">
        <v>3256</v>
      </c>
      <c r="B2056" s="112">
        <v>2</v>
      </c>
      <c r="C2056" s="114">
        <v>0.002031781853301157</v>
      </c>
      <c r="D2056" s="112" t="s">
        <v>2052</v>
      </c>
      <c r="E2056" s="112" t="b">
        <v>0</v>
      </c>
      <c r="F2056" s="112" t="b">
        <v>1</v>
      </c>
      <c r="G2056" s="112" t="b">
        <v>0</v>
      </c>
    </row>
    <row r="2057" spans="1:7" ht="15">
      <c r="A2057" s="112" t="s">
        <v>3257</v>
      </c>
      <c r="B2057" s="112">
        <v>2</v>
      </c>
      <c r="C2057" s="114">
        <v>0.002031781853301157</v>
      </c>
      <c r="D2057" s="112" t="s">
        <v>2052</v>
      </c>
      <c r="E2057" s="112" t="b">
        <v>0</v>
      </c>
      <c r="F2057" s="112" t="b">
        <v>0</v>
      </c>
      <c r="G2057" s="112" t="b">
        <v>0</v>
      </c>
    </row>
    <row r="2058" spans="1:7" ht="15">
      <c r="A2058" s="112" t="s">
        <v>3258</v>
      </c>
      <c r="B2058" s="112">
        <v>2</v>
      </c>
      <c r="C2058" s="114">
        <v>0.002031781853301157</v>
      </c>
      <c r="D2058" s="112" t="s">
        <v>2052</v>
      </c>
      <c r="E2058" s="112" t="b">
        <v>0</v>
      </c>
      <c r="F2058" s="112" t="b">
        <v>0</v>
      </c>
      <c r="G2058" s="112" t="b">
        <v>0</v>
      </c>
    </row>
    <row r="2059" spans="1:7" ht="15">
      <c r="A2059" s="112" t="s">
        <v>3259</v>
      </c>
      <c r="B2059" s="112">
        <v>2</v>
      </c>
      <c r="C2059" s="114">
        <v>0.002031781853301157</v>
      </c>
      <c r="D2059" s="112" t="s">
        <v>2052</v>
      </c>
      <c r="E2059" s="112" t="b">
        <v>0</v>
      </c>
      <c r="F2059" s="112" t="b">
        <v>0</v>
      </c>
      <c r="G2059" s="112" t="b">
        <v>0</v>
      </c>
    </row>
    <row r="2060" spans="1:7" ht="15">
      <c r="A2060" s="112" t="s">
        <v>2801</v>
      </c>
      <c r="B2060" s="112">
        <v>2</v>
      </c>
      <c r="C2060" s="114">
        <v>0.002031781853301157</v>
      </c>
      <c r="D2060" s="112" t="s">
        <v>2052</v>
      </c>
      <c r="E2060" s="112" t="b">
        <v>0</v>
      </c>
      <c r="F2060" s="112" t="b">
        <v>0</v>
      </c>
      <c r="G2060" s="112" t="b">
        <v>0</v>
      </c>
    </row>
    <row r="2061" spans="1:7" ht="15">
      <c r="A2061" s="112" t="s">
        <v>2201</v>
      </c>
      <c r="B2061" s="112">
        <v>2</v>
      </c>
      <c r="C2061" s="114">
        <v>0.002031781853301157</v>
      </c>
      <c r="D2061" s="112" t="s">
        <v>2052</v>
      </c>
      <c r="E2061" s="112" t="b">
        <v>0</v>
      </c>
      <c r="F2061" s="112" t="b">
        <v>1</v>
      </c>
      <c r="G2061" s="112" t="b">
        <v>0</v>
      </c>
    </row>
    <row r="2062" spans="1:7" ht="15">
      <c r="A2062" s="112" t="s">
        <v>3247</v>
      </c>
      <c r="B2062" s="112">
        <v>2</v>
      </c>
      <c r="C2062" s="114">
        <v>0.0016500063356550175</v>
      </c>
      <c r="D2062" s="112" t="s">
        <v>2052</v>
      </c>
      <c r="E2062" s="112" t="b">
        <v>1</v>
      </c>
      <c r="F2062" s="112" t="b">
        <v>0</v>
      </c>
      <c r="G2062" s="112" t="b">
        <v>0</v>
      </c>
    </row>
    <row r="2063" spans="1:7" ht="15">
      <c r="A2063" s="112" t="s">
        <v>3252</v>
      </c>
      <c r="B2063" s="112">
        <v>2</v>
      </c>
      <c r="C2063" s="114">
        <v>0.002031781853301157</v>
      </c>
      <c r="D2063" s="112" t="s">
        <v>2052</v>
      </c>
      <c r="E2063" s="112" t="b">
        <v>0</v>
      </c>
      <c r="F2063" s="112" t="b">
        <v>0</v>
      </c>
      <c r="G2063" s="112" t="b">
        <v>0</v>
      </c>
    </row>
    <row r="2064" spans="1:7" ht="15">
      <c r="A2064" s="112" t="s">
        <v>3253</v>
      </c>
      <c r="B2064" s="112">
        <v>2</v>
      </c>
      <c r="C2064" s="114">
        <v>0.002031781853301157</v>
      </c>
      <c r="D2064" s="112" t="s">
        <v>2052</v>
      </c>
      <c r="E2064" s="112" t="b">
        <v>0</v>
      </c>
      <c r="F2064" s="112" t="b">
        <v>0</v>
      </c>
      <c r="G2064" s="112" t="b">
        <v>0</v>
      </c>
    </row>
    <row r="2065" spans="1:7" ht="15">
      <c r="A2065" s="112" t="s">
        <v>3254</v>
      </c>
      <c r="B2065" s="112">
        <v>2</v>
      </c>
      <c r="C2065" s="114">
        <v>0.002031781853301157</v>
      </c>
      <c r="D2065" s="112" t="s">
        <v>2052</v>
      </c>
      <c r="E2065" s="112" t="b">
        <v>0</v>
      </c>
      <c r="F2065" s="112" t="b">
        <v>0</v>
      </c>
      <c r="G2065" s="112" t="b">
        <v>0</v>
      </c>
    </row>
    <row r="2066" spans="1:7" ht="15">
      <c r="A2066" s="112" t="s">
        <v>3248</v>
      </c>
      <c r="B2066" s="112">
        <v>2</v>
      </c>
      <c r="C2066" s="114">
        <v>0.002031781853301157</v>
      </c>
      <c r="D2066" s="112" t="s">
        <v>2052</v>
      </c>
      <c r="E2066" s="112" t="b">
        <v>0</v>
      </c>
      <c r="F2066" s="112" t="b">
        <v>0</v>
      </c>
      <c r="G2066" s="112" t="b">
        <v>0</v>
      </c>
    </row>
    <row r="2067" spans="1:7" ht="15">
      <c r="A2067" s="112" t="s">
        <v>3249</v>
      </c>
      <c r="B2067" s="112">
        <v>2</v>
      </c>
      <c r="C2067" s="114">
        <v>0.002031781853301157</v>
      </c>
      <c r="D2067" s="112" t="s">
        <v>2052</v>
      </c>
      <c r="E2067" s="112" t="b">
        <v>1</v>
      </c>
      <c r="F2067" s="112" t="b">
        <v>0</v>
      </c>
      <c r="G2067" s="112" t="b">
        <v>0</v>
      </c>
    </row>
    <row r="2068" spans="1:7" ht="15">
      <c r="A2068" s="112" t="s">
        <v>3250</v>
      </c>
      <c r="B2068" s="112">
        <v>2</v>
      </c>
      <c r="C2068" s="114">
        <v>0.002031781853301157</v>
      </c>
      <c r="D2068" s="112" t="s">
        <v>2052</v>
      </c>
      <c r="E2068" s="112" t="b">
        <v>0</v>
      </c>
      <c r="F2068" s="112" t="b">
        <v>0</v>
      </c>
      <c r="G2068" s="112" t="b">
        <v>0</v>
      </c>
    </row>
    <row r="2069" spans="1:7" ht="15">
      <c r="A2069" s="112" t="s">
        <v>3246</v>
      </c>
      <c r="B2069" s="112">
        <v>2</v>
      </c>
      <c r="C2069" s="114">
        <v>0.002031781853301157</v>
      </c>
      <c r="D2069" s="112" t="s">
        <v>2052</v>
      </c>
      <c r="E2069" s="112" t="b">
        <v>0</v>
      </c>
      <c r="F2069" s="112" t="b">
        <v>0</v>
      </c>
      <c r="G2069" s="112" t="b">
        <v>0</v>
      </c>
    </row>
    <row r="2070" spans="1:7" ht="15">
      <c r="A2070" s="112" t="s">
        <v>3242</v>
      </c>
      <c r="B2070" s="112">
        <v>2</v>
      </c>
      <c r="C2070" s="114">
        <v>0.002031781853301157</v>
      </c>
      <c r="D2070" s="112" t="s">
        <v>2052</v>
      </c>
      <c r="E2070" s="112" t="b">
        <v>0</v>
      </c>
      <c r="F2070" s="112" t="b">
        <v>0</v>
      </c>
      <c r="G2070" s="112" t="b">
        <v>0</v>
      </c>
    </row>
    <row r="2071" spans="1:7" ht="15">
      <c r="A2071" s="112" t="s">
        <v>3243</v>
      </c>
      <c r="B2071" s="112">
        <v>2</v>
      </c>
      <c r="C2071" s="114">
        <v>0.002031781853301157</v>
      </c>
      <c r="D2071" s="112" t="s">
        <v>2052</v>
      </c>
      <c r="E2071" s="112" t="b">
        <v>0</v>
      </c>
      <c r="F2071" s="112" t="b">
        <v>0</v>
      </c>
      <c r="G2071" s="112" t="b">
        <v>0</v>
      </c>
    </row>
    <row r="2072" spans="1:7" ht="15">
      <c r="A2072" s="112" t="s">
        <v>2318</v>
      </c>
      <c r="B2072" s="112">
        <v>2</v>
      </c>
      <c r="C2072" s="114">
        <v>0.002031781853301157</v>
      </c>
      <c r="D2072" s="112" t="s">
        <v>2052</v>
      </c>
      <c r="E2072" s="112" t="b">
        <v>0</v>
      </c>
      <c r="F2072" s="112" t="b">
        <v>0</v>
      </c>
      <c r="G2072" s="112" t="b">
        <v>0</v>
      </c>
    </row>
    <row r="2073" spans="1:7" ht="15">
      <c r="A2073" s="112" t="s">
        <v>2953</v>
      </c>
      <c r="B2073" s="112">
        <v>2</v>
      </c>
      <c r="C2073" s="114">
        <v>0.002031781853301157</v>
      </c>
      <c r="D2073" s="112" t="s">
        <v>2052</v>
      </c>
      <c r="E2073" s="112" t="b">
        <v>0</v>
      </c>
      <c r="F2073" s="112" t="b">
        <v>1</v>
      </c>
      <c r="G2073" s="112" t="b">
        <v>0</v>
      </c>
    </row>
    <row r="2074" spans="1:7" ht="15">
      <c r="A2074" s="112" t="s">
        <v>2082</v>
      </c>
      <c r="B2074" s="112">
        <v>36</v>
      </c>
      <c r="C2074" s="114">
        <v>0.0019657894458841156</v>
      </c>
      <c r="D2074" s="112" t="s">
        <v>2053</v>
      </c>
      <c r="E2074" s="112" t="b">
        <v>0</v>
      </c>
      <c r="F2074" s="112" t="b">
        <v>0</v>
      </c>
      <c r="G2074" s="112" t="b">
        <v>0</v>
      </c>
    </row>
    <row r="2075" spans="1:7" ht="15">
      <c r="A2075" s="112" t="s">
        <v>2108</v>
      </c>
      <c r="B2075" s="112">
        <v>34</v>
      </c>
      <c r="C2075" s="114">
        <v>0.0018565789211127761</v>
      </c>
      <c r="D2075" s="112" t="s">
        <v>2053</v>
      </c>
      <c r="E2075" s="112" t="b">
        <v>0</v>
      </c>
      <c r="F2075" s="112" t="b">
        <v>0</v>
      </c>
      <c r="G2075" s="112" t="b">
        <v>0</v>
      </c>
    </row>
    <row r="2076" spans="1:7" ht="15">
      <c r="A2076" s="112" t="s">
        <v>2134</v>
      </c>
      <c r="B2076" s="112">
        <v>33</v>
      </c>
      <c r="C2076" s="114">
        <v>0.001801973658727106</v>
      </c>
      <c r="D2076" s="112" t="s">
        <v>2053</v>
      </c>
      <c r="E2076" s="112" t="b">
        <v>0</v>
      </c>
      <c r="F2076" s="112" t="b">
        <v>0</v>
      </c>
      <c r="G2076" s="112" t="b">
        <v>0</v>
      </c>
    </row>
    <row r="2077" spans="1:7" ht="15">
      <c r="A2077" s="112" t="s">
        <v>2141</v>
      </c>
      <c r="B2077" s="112">
        <v>30</v>
      </c>
      <c r="C2077" s="114">
        <v>0.0024497791491823514</v>
      </c>
      <c r="D2077" s="112" t="s">
        <v>2053</v>
      </c>
      <c r="E2077" s="112" t="b">
        <v>0</v>
      </c>
      <c r="F2077" s="112" t="b">
        <v>0</v>
      </c>
      <c r="G2077" s="112" t="b">
        <v>0</v>
      </c>
    </row>
    <row r="2078" spans="1:7" ht="15">
      <c r="A2078" s="112" t="s">
        <v>2145</v>
      </c>
      <c r="B2078" s="112">
        <v>19</v>
      </c>
      <c r="C2078" s="114">
        <v>0.004014915958906885</v>
      </c>
      <c r="D2078" s="112" t="s">
        <v>2053</v>
      </c>
      <c r="E2078" s="112" t="b">
        <v>0</v>
      </c>
      <c r="F2078" s="112" t="b">
        <v>0</v>
      </c>
      <c r="G2078" s="112" t="b">
        <v>0</v>
      </c>
    </row>
    <row r="2079" spans="1:7" ht="15">
      <c r="A2079" s="112" t="s">
        <v>2186</v>
      </c>
      <c r="B2079" s="112">
        <v>17</v>
      </c>
      <c r="C2079" s="114">
        <v>0.004129011888329872</v>
      </c>
      <c r="D2079" s="112" t="s">
        <v>2053</v>
      </c>
      <c r="E2079" s="112" t="b">
        <v>0</v>
      </c>
      <c r="F2079" s="112" t="b">
        <v>0</v>
      </c>
      <c r="G2079" s="112" t="b">
        <v>0</v>
      </c>
    </row>
    <row r="2080" spans="1:7" ht="15">
      <c r="A2080" s="112" t="s">
        <v>2086</v>
      </c>
      <c r="B2080" s="112">
        <v>12</v>
      </c>
      <c r="C2080" s="114">
        <v>0.0047220391476702935</v>
      </c>
      <c r="D2080" s="112" t="s">
        <v>2053</v>
      </c>
      <c r="E2080" s="112" t="b">
        <v>0</v>
      </c>
      <c r="F2080" s="112" t="b">
        <v>0</v>
      </c>
      <c r="G2080" s="112" t="b">
        <v>0</v>
      </c>
    </row>
    <row r="2081" spans="1:7" ht="15">
      <c r="A2081" s="112" t="s">
        <v>2201</v>
      </c>
      <c r="B2081" s="112">
        <v>10</v>
      </c>
      <c r="C2081" s="114">
        <v>0.004947463734076507</v>
      </c>
      <c r="D2081" s="112" t="s">
        <v>2053</v>
      </c>
      <c r="E2081" s="112" t="b">
        <v>0</v>
      </c>
      <c r="F2081" s="112" t="b">
        <v>1</v>
      </c>
      <c r="G2081" s="112" t="b">
        <v>0</v>
      </c>
    </row>
    <row r="2082" spans="1:7" ht="15">
      <c r="A2082" s="112" t="s">
        <v>2231</v>
      </c>
      <c r="B2082" s="112">
        <v>9</v>
      </c>
      <c r="C2082" s="114">
        <v>0.004452717360668856</v>
      </c>
      <c r="D2082" s="112" t="s">
        <v>2053</v>
      </c>
      <c r="E2082" s="112" t="b">
        <v>0</v>
      </c>
      <c r="F2082" s="112" t="b">
        <v>0</v>
      </c>
      <c r="G2082" s="112" t="b">
        <v>0</v>
      </c>
    </row>
    <row r="2083" spans="1:7" ht="15">
      <c r="A2083" s="112" t="s">
        <v>2302</v>
      </c>
      <c r="B2083" s="112">
        <v>9</v>
      </c>
      <c r="C2083" s="114">
        <v>0.004846522005554816</v>
      </c>
      <c r="D2083" s="112" t="s">
        <v>2053</v>
      </c>
      <c r="E2083" s="112" t="b">
        <v>0</v>
      </c>
      <c r="F2083" s="112" t="b">
        <v>0</v>
      </c>
      <c r="G2083" s="112" t="b">
        <v>0</v>
      </c>
    </row>
    <row r="2084" spans="1:7" ht="15">
      <c r="A2084" s="112" t="s">
        <v>2156</v>
      </c>
      <c r="B2084" s="112">
        <v>9</v>
      </c>
      <c r="C2084" s="114">
        <v>0.007653117621552831</v>
      </c>
      <c r="D2084" s="112" t="s">
        <v>2053</v>
      </c>
      <c r="E2084" s="112" t="b">
        <v>0</v>
      </c>
      <c r="F2084" s="112" t="b">
        <v>0</v>
      </c>
      <c r="G2084" s="112" t="b">
        <v>0</v>
      </c>
    </row>
    <row r="2085" spans="1:7" ht="15">
      <c r="A2085" s="112" t="s">
        <v>2248</v>
      </c>
      <c r="B2085" s="112">
        <v>9</v>
      </c>
      <c r="C2085" s="114">
        <v>0.0058823529411764705</v>
      </c>
      <c r="D2085" s="112" t="s">
        <v>2053</v>
      </c>
      <c r="E2085" s="112" t="b">
        <v>0</v>
      </c>
      <c r="F2085" s="112" t="b">
        <v>0</v>
      </c>
      <c r="G2085" s="112" t="b">
        <v>0</v>
      </c>
    </row>
    <row r="2086" spans="1:7" ht="15">
      <c r="A2086" s="112" t="s">
        <v>2137</v>
      </c>
      <c r="B2086" s="112">
        <v>9</v>
      </c>
      <c r="C2086" s="114">
        <v>0.004111588260800111</v>
      </c>
      <c r="D2086" s="112" t="s">
        <v>2053</v>
      </c>
      <c r="E2086" s="112" t="b">
        <v>0</v>
      </c>
      <c r="F2086" s="112" t="b">
        <v>0</v>
      </c>
      <c r="G2086" s="112" t="b">
        <v>0</v>
      </c>
    </row>
    <row r="2087" spans="1:7" ht="15">
      <c r="A2087" s="112" t="s">
        <v>2280</v>
      </c>
      <c r="B2087" s="112">
        <v>8</v>
      </c>
      <c r="C2087" s="114">
        <v>0.0036547451207112093</v>
      </c>
      <c r="D2087" s="112" t="s">
        <v>2053</v>
      </c>
      <c r="E2087" s="112" t="b">
        <v>0</v>
      </c>
      <c r="F2087" s="112" t="b">
        <v>0</v>
      </c>
      <c r="G2087" s="112" t="b">
        <v>0</v>
      </c>
    </row>
    <row r="2088" spans="1:7" ht="15">
      <c r="A2088" s="112" t="s">
        <v>2198</v>
      </c>
      <c r="B2088" s="112">
        <v>7</v>
      </c>
      <c r="C2088" s="114">
        <v>0.003463224613853555</v>
      </c>
      <c r="D2088" s="112" t="s">
        <v>2053</v>
      </c>
      <c r="E2088" s="112" t="b">
        <v>0</v>
      </c>
      <c r="F2088" s="112" t="b">
        <v>0</v>
      </c>
      <c r="G2088" s="112" t="b">
        <v>0</v>
      </c>
    </row>
    <row r="2089" spans="1:7" ht="15">
      <c r="A2089" s="112" t="s">
        <v>2080</v>
      </c>
      <c r="B2089" s="112">
        <v>6</v>
      </c>
      <c r="C2089" s="114">
        <v>0.00392156862745098</v>
      </c>
      <c r="D2089" s="112" t="s">
        <v>2053</v>
      </c>
      <c r="E2089" s="112" t="b">
        <v>0</v>
      </c>
      <c r="F2089" s="112" t="b">
        <v>0</v>
      </c>
      <c r="G2089" s="112" t="b">
        <v>0</v>
      </c>
    </row>
    <row r="2090" spans="1:7" ht="15">
      <c r="A2090" s="112" t="s">
        <v>2296</v>
      </c>
      <c r="B2090" s="112">
        <v>6</v>
      </c>
      <c r="C2090" s="114">
        <v>0.004411524457287451</v>
      </c>
      <c r="D2090" s="112" t="s">
        <v>2053</v>
      </c>
      <c r="E2090" s="112" t="b">
        <v>0</v>
      </c>
      <c r="F2090" s="112" t="b">
        <v>1</v>
      </c>
      <c r="G2090" s="112" t="b">
        <v>0</v>
      </c>
    </row>
    <row r="2091" spans="1:7" ht="15">
      <c r="A2091" s="112" t="s">
        <v>2083</v>
      </c>
      <c r="B2091" s="112">
        <v>6</v>
      </c>
      <c r="C2091" s="114">
        <v>0.004411524457287451</v>
      </c>
      <c r="D2091" s="112" t="s">
        <v>2053</v>
      </c>
      <c r="E2091" s="112" t="b">
        <v>0</v>
      </c>
      <c r="F2091" s="112" t="b">
        <v>0</v>
      </c>
      <c r="G2091" s="112" t="b">
        <v>0</v>
      </c>
    </row>
    <row r="2092" spans="1:7" ht="15">
      <c r="A2092" s="112" t="s">
        <v>2172</v>
      </c>
      <c r="B2092" s="112">
        <v>6</v>
      </c>
      <c r="C2092" s="114">
        <v>0.004411524457287451</v>
      </c>
      <c r="D2092" s="112" t="s">
        <v>2053</v>
      </c>
      <c r="E2092" s="112" t="b">
        <v>0</v>
      </c>
      <c r="F2092" s="112" t="b">
        <v>0</v>
      </c>
      <c r="G2092" s="112" t="b">
        <v>0</v>
      </c>
    </row>
    <row r="2093" spans="1:7" ht="15">
      <c r="A2093" s="112" t="s">
        <v>2132</v>
      </c>
      <c r="B2093" s="112">
        <v>6</v>
      </c>
      <c r="C2093" s="114">
        <v>0.0032310146703698776</v>
      </c>
      <c r="D2093" s="112" t="s">
        <v>2053</v>
      </c>
      <c r="E2093" s="112" t="b">
        <v>0</v>
      </c>
      <c r="F2093" s="112" t="b">
        <v>0</v>
      </c>
      <c r="G2093" s="112" t="b">
        <v>0</v>
      </c>
    </row>
    <row r="2094" spans="1:7" ht="15">
      <c r="A2094" s="112" t="s">
        <v>2214</v>
      </c>
      <c r="B2094" s="112">
        <v>6</v>
      </c>
      <c r="C2094" s="114">
        <v>0.0032310146703698776</v>
      </c>
      <c r="D2094" s="112" t="s">
        <v>2053</v>
      </c>
      <c r="E2094" s="112" t="b">
        <v>0</v>
      </c>
      <c r="F2094" s="112" t="b">
        <v>0</v>
      </c>
      <c r="G2094" s="112" t="b">
        <v>0</v>
      </c>
    </row>
    <row r="2095" spans="1:7" ht="15">
      <c r="A2095" s="112" t="s">
        <v>2338</v>
      </c>
      <c r="B2095" s="112">
        <v>6</v>
      </c>
      <c r="C2095" s="114">
        <v>0.00392156862745098</v>
      </c>
      <c r="D2095" s="112" t="s">
        <v>2053</v>
      </c>
      <c r="E2095" s="112" t="b">
        <v>0</v>
      </c>
      <c r="F2095" s="112" t="b">
        <v>1</v>
      </c>
      <c r="G2095" s="112" t="b">
        <v>0</v>
      </c>
    </row>
    <row r="2096" spans="1:7" ht="15">
      <c r="A2096" s="112" t="s">
        <v>2096</v>
      </c>
      <c r="B2096" s="112">
        <v>6</v>
      </c>
      <c r="C2096" s="114">
        <v>0.005102078414368554</v>
      </c>
      <c r="D2096" s="112" t="s">
        <v>2053</v>
      </c>
      <c r="E2096" s="112" t="b">
        <v>0</v>
      </c>
      <c r="F2096" s="112" t="b">
        <v>0</v>
      </c>
      <c r="G2096" s="112" t="b">
        <v>0</v>
      </c>
    </row>
    <row r="2097" spans="1:7" ht="15">
      <c r="A2097" s="112" t="s">
        <v>2257</v>
      </c>
      <c r="B2097" s="112">
        <v>5</v>
      </c>
      <c r="C2097" s="114">
        <v>0.0036762703810728757</v>
      </c>
      <c r="D2097" s="112" t="s">
        <v>2053</v>
      </c>
      <c r="E2097" s="112" t="b">
        <v>0</v>
      </c>
      <c r="F2097" s="112" t="b">
        <v>0</v>
      </c>
      <c r="G2097" s="112" t="b">
        <v>0</v>
      </c>
    </row>
    <row r="2098" spans="1:7" ht="15">
      <c r="A2098" s="112" t="s">
        <v>2426</v>
      </c>
      <c r="B2098" s="112">
        <v>5</v>
      </c>
      <c r="C2098" s="114">
        <v>0.0029512744672939334</v>
      </c>
      <c r="D2098" s="112" t="s">
        <v>2053</v>
      </c>
      <c r="E2098" s="112" t="b">
        <v>0</v>
      </c>
      <c r="F2098" s="112" t="b">
        <v>0</v>
      </c>
      <c r="G2098" s="112" t="b">
        <v>0</v>
      </c>
    </row>
    <row r="2099" spans="1:7" ht="15">
      <c r="A2099" s="112" t="s">
        <v>2336</v>
      </c>
      <c r="B2099" s="112">
        <v>5</v>
      </c>
      <c r="C2099" s="114">
        <v>0.0042517320119737955</v>
      </c>
      <c r="D2099" s="112" t="s">
        <v>2053</v>
      </c>
      <c r="E2099" s="112" t="b">
        <v>0</v>
      </c>
      <c r="F2099" s="112" t="b">
        <v>0</v>
      </c>
      <c r="G2099" s="112" t="b">
        <v>0</v>
      </c>
    </row>
    <row r="2100" spans="1:7" ht="15">
      <c r="A2100" s="112" t="s">
        <v>2491</v>
      </c>
      <c r="B2100" s="112">
        <v>5</v>
      </c>
      <c r="C2100" s="114">
        <v>0.0036762703810728757</v>
      </c>
      <c r="D2100" s="112" t="s">
        <v>2053</v>
      </c>
      <c r="E2100" s="112" t="b">
        <v>0</v>
      </c>
      <c r="F2100" s="112" t="b">
        <v>0</v>
      </c>
      <c r="G2100" s="112" t="b">
        <v>0</v>
      </c>
    </row>
    <row r="2101" spans="1:7" ht="15">
      <c r="A2101" s="112" t="s">
        <v>2220</v>
      </c>
      <c r="B2101" s="112">
        <v>5</v>
      </c>
      <c r="C2101" s="114">
        <v>0.0029512744672939334</v>
      </c>
      <c r="D2101" s="112" t="s">
        <v>2053</v>
      </c>
      <c r="E2101" s="112" t="b">
        <v>0</v>
      </c>
      <c r="F2101" s="112" t="b">
        <v>1</v>
      </c>
      <c r="G2101" s="112" t="b">
        <v>0</v>
      </c>
    </row>
    <row r="2102" spans="1:7" ht="15">
      <c r="A2102" s="112" t="s">
        <v>2485</v>
      </c>
      <c r="B2102" s="112">
        <v>5</v>
      </c>
      <c r="C2102" s="114">
        <v>0.0032679738562091504</v>
      </c>
      <c r="D2102" s="112" t="s">
        <v>2053</v>
      </c>
      <c r="E2102" s="112" t="b">
        <v>0</v>
      </c>
      <c r="F2102" s="112" t="b">
        <v>0</v>
      </c>
      <c r="G2102" s="112" t="b">
        <v>0</v>
      </c>
    </row>
    <row r="2103" spans="1:7" ht="15">
      <c r="A2103" s="112" t="s">
        <v>2484</v>
      </c>
      <c r="B2103" s="112">
        <v>5</v>
      </c>
      <c r="C2103" s="114">
        <v>0.0036762703810728757</v>
      </c>
      <c r="D2103" s="112" t="s">
        <v>2053</v>
      </c>
      <c r="E2103" s="112" t="b">
        <v>1</v>
      </c>
      <c r="F2103" s="112" t="b">
        <v>0</v>
      </c>
      <c r="G2103" s="112" t="b">
        <v>0</v>
      </c>
    </row>
    <row r="2104" spans="1:7" ht="15">
      <c r="A2104" s="112" t="s">
        <v>2226</v>
      </c>
      <c r="B2104" s="112">
        <v>5</v>
      </c>
      <c r="C2104" s="114">
        <v>0.0032679738562091504</v>
      </c>
      <c r="D2104" s="112" t="s">
        <v>2053</v>
      </c>
      <c r="E2104" s="112" t="b">
        <v>0</v>
      </c>
      <c r="F2104" s="112" t="b">
        <v>0</v>
      </c>
      <c r="G2104" s="112" t="b">
        <v>0</v>
      </c>
    </row>
    <row r="2105" spans="1:7" ht="15">
      <c r="A2105" s="112" t="s">
        <v>2487</v>
      </c>
      <c r="B2105" s="112">
        <v>5</v>
      </c>
      <c r="C2105" s="114">
        <v>0.005235490167738439</v>
      </c>
      <c r="D2105" s="112" t="s">
        <v>2053</v>
      </c>
      <c r="E2105" s="112" t="b">
        <v>0</v>
      </c>
      <c r="F2105" s="112" t="b">
        <v>0</v>
      </c>
      <c r="G2105" s="112" t="b">
        <v>0</v>
      </c>
    </row>
    <row r="2106" spans="1:7" ht="15">
      <c r="A2106" s="112" t="s">
        <v>2094</v>
      </c>
      <c r="B2106" s="112">
        <v>4</v>
      </c>
      <c r="C2106" s="114">
        <v>0.0029410163048583004</v>
      </c>
      <c r="D2106" s="112" t="s">
        <v>2053</v>
      </c>
      <c r="E2106" s="112" t="b">
        <v>0</v>
      </c>
      <c r="F2106" s="112" t="b">
        <v>0</v>
      </c>
      <c r="G2106" s="112" t="b">
        <v>0</v>
      </c>
    </row>
    <row r="2107" spans="1:7" ht="15">
      <c r="A2107" s="112" t="s">
        <v>2239</v>
      </c>
      <c r="B2107" s="112">
        <v>4</v>
      </c>
      <c r="C2107" s="114">
        <v>0.0029410163048583004</v>
      </c>
      <c r="D2107" s="112" t="s">
        <v>2053</v>
      </c>
      <c r="E2107" s="112" t="b">
        <v>0</v>
      </c>
      <c r="F2107" s="112" t="b">
        <v>0</v>
      </c>
      <c r="G2107" s="112" t="b">
        <v>0</v>
      </c>
    </row>
    <row r="2108" spans="1:7" ht="15">
      <c r="A2108" s="112" t="s">
        <v>2479</v>
      </c>
      <c r="B2108" s="112">
        <v>4</v>
      </c>
      <c r="C2108" s="114">
        <v>0.0029410163048583004</v>
      </c>
      <c r="D2108" s="112" t="s">
        <v>2053</v>
      </c>
      <c r="E2108" s="112" t="b">
        <v>0</v>
      </c>
      <c r="F2108" s="112" t="b">
        <v>0</v>
      </c>
      <c r="G2108" s="112" t="b">
        <v>0</v>
      </c>
    </row>
    <row r="2109" spans="1:7" ht="15">
      <c r="A2109" s="112" t="s">
        <v>2275</v>
      </c>
      <c r="B2109" s="112">
        <v>4</v>
      </c>
      <c r="C2109" s="114">
        <v>0.0034013856095790355</v>
      </c>
      <c r="D2109" s="112" t="s">
        <v>2053</v>
      </c>
      <c r="E2109" s="112" t="b">
        <v>0</v>
      </c>
      <c r="F2109" s="112" t="b">
        <v>0</v>
      </c>
      <c r="G2109" s="112" t="b">
        <v>0</v>
      </c>
    </row>
    <row r="2110" spans="1:7" ht="15">
      <c r="A2110" s="112" t="s">
        <v>2298</v>
      </c>
      <c r="B2110" s="112">
        <v>4</v>
      </c>
      <c r="C2110" s="114">
        <v>0.00261437908496732</v>
      </c>
      <c r="D2110" s="112" t="s">
        <v>2053</v>
      </c>
      <c r="E2110" s="112" t="b">
        <v>0</v>
      </c>
      <c r="F2110" s="112" t="b">
        <v>0</v>
      </c>
      <c r="G2110" s="112" t="b">
        <v>0</v>
      </c>
    </row>
    <row r="2111" spans="1:7" ht="15">
      <c r="A2111" s="112" t="s">
        <v>2600</v>
      </c>
      <c r="B2111" s="112">
        <v>4</v>
      </c>
      <c r="C2111" s="114">
        <v>0.0034013856095790355</v>
      </c>
      <c r="D2111" s="112" t="s">
        <v>2053</v>
      </c>
      <c r="E2111" s="112" t="b">
        <v>0</v>
      </c>
      <c r="F2111" s="112" t="b">
        <v>0</v>
      </c>
      <c r="G2111" s="112" t="b">
        <v>0</v>
      </c>
    </row>
    <row r="2112" spans="1:7" ht="15">
      <c r="A2112" s="112" t="s">
        <v>2106</v>
      </c>
      <c r="B2112" s="112">
        <v>4</v>
      </c>
      <c r="C2112" s="114">
        <v>0.00261437908496732</v>
      </c>
      <c r="D2112" s="112" t="s">
        <v>2053</v>
      </c>
      <c r="E2112" s="112" t="b">
        <v>0</v>
      </c>
      <c r="F2112" s="112" t="b">
        <v>0</v>
      </c>
      <c r="G2112" s="112" t="b">
        <v>0</v>
      </c>
    </row>
    <row r="2113" spans="1:7" ht="15">
      <c r="A2113" s="112" t="s">
        <v>2415</v>
      </c>
      <c r="B2113" s="112">
        <v>4</v>
      </c>
      <c r="C2113" s="114">
        <v>0.0029410163048583004</v>
      </c>
      <c r="D2113" s="112" t="s">
        <v>2053</v>
      </c>
      <c r="E2113" s="112" t="b">
        <v>0</v>
      </c>
      <c r="F2113" s="112" t="b">
        <v>0</v>
      </c>
      <c r="G2113" s="112" t="b">
        <v>0</v>
      </c>
    </row>
    <row r="2114" spans="1:7" ht="15">
      <c r="A2114" s="112" t="s">
        <v>2133</v>
      </c>
      <c r="B2114" s="112">
        <v>4</v>
      </c>
      <c r="C2114" s="114">
        <v>0.0029410163048583004</v>
      </c>
      <c r="D2114" s="112" t="s">
        <v>2053</v>
      </c>
      <c r="E2114" s="112" t="b">
        <v>0</v>
      </c>
      <c r="F2114" s="112" t="b">
        <v>0</v>
      </c>
      <c r="G2114" s="112" t="b">
        <v>0</v>
      </c>
    </row>
    <row r="2115" spans="1:7" ht="15">
      <c r="A2115" s="112" t="s">
        <v>2486</v>
      </c>
      <c r="B2115" s="112">
        <v>4</v>
      </c>
      <c r="C2115" s="114">
        <v>0.0041883921341907505</v>
      </c>
      <c r="D2115" s="112" t="s">
        <v>2053</v>
      </c>
      <c r="E2115" s="112" t="b">
        <v>0</v>
      </c>
      <c r="F2115" s="112" t="b">
        <v>0</v>
      </c>
      <c r="G2115" s="112" t="b">
        <v>0</v>
      </c>
    </row>
    <row r="2116" spans="1:7" ht="15">
      <c r="A2116" s="112" t="s">
        <v>2271</v>
      </c>
      <c r="B2116" s="112">
        <v>4</v>
      </c>
      <c r="C2116" s="114">
        <v>0.0034013856095790355</v>
      </c>
      <c r="D2116" s="112" t="s">
        <v>2053</v>
      </c>
      <c r="E2116" s="112" t="b">
        <v>0</v>
      </c>
      <c r="F2116" s="112" t="b">
        <v>0</v>
      </c>
      <c r="G2116" s="112" t="b">
        <v>0</v>
      </c>
    </row>
    <row r="2117" spans="1:7" ht="15">
      <c r="A2117" s="112" t="s">
        <v>2218</v>
      </c>
      <c r="B2117" s="112">
        <v>3</v>
      </c>
      <c r="C2117" s="114">
        <v>0.0022057622286437255</v>
      </c>
      <c r="D2117" s="112" t="s">
        <v>2053</v>
      </c>
      <c r="E2117" s="112" t="b">
        <v>0</v>
      </c>
      <c r="F2117" s="112" t="b">
        <v>0</v>
      </c>
      <c r="G2117" s="112" t="b">
        <v>0</v>
      </c>
    </row>
    <row r="2118" spans="1:7" ht="15">
      <c r="A2118" s="112" t="s">
        <v>2322</v>
      </c>
      <c r="B2118" s="112">
        <v>3</v>
      </c>
      <c r="C2118" s="114">
        <v>0.002551039207184277</v>
      </c>
      <c r="D2118" s="112" t="s">
        <v>2053</v>
      </c>
      <c r="E2118" s="112" t="b">
        <v>0</v>
      </c>
      <c r="F2118" s="112" t="b">
        <v>0</v>
      </c>
      <c r="G2118" s="112" t="b">
        <v>0</v>
      </c>
    </row>
    <row r="2119" spans="1:7" ht="15">
      <c r="A2119" s="112" t="s">
        <v>2228</v>
      </c>
      <c r="B2119" s="112">
        <v>3</v>
      </c>
      <c r="C2119" s="114">
        <v>0.003141294100643063</v>
      </c>
      <c r="D2119" s="112" t="s">
        <v>2053</v>
      </c>
      <c r="E2119" s="112" t="b">
        <v>0</v>
      </c>
      <c r="F2119" s="112" t="b">
        <v>1</v>
      </c>
      <c r="G2119" s="112" t="b">
        <v>0</v>
      </c>
    </row>
    <row r="2120" spans="1:7" ht="15">
      <c r="A2120" s="112" t="s">
        <v>2527</v>
      </c>
      <c r="B2120" s="112">
        <v>3</v>
      </c>
      <c r="C2120" s="114">
        <v>0.0022057622286437255</v>
      </c>
      <c r="D2120" s="112" t="s">
        <v>2053</v>
      </c>
      <c r="E2120" s="112" t="b">
        <v>0</v>
      </c>
      <c r="F2120" s="112" t="b">
        <v>0</v>
      </c>
      <c r="G2120" s="112" t="b">
        <v>0</v>
      </c>
    </row>
    <row r="2121" spans="1:7" ht="15">
      <c r="A2121" s="112" t="s">
        <v>2788</v>
      </c>
      <c r="B2121" s="112">
        <v>3</v>
      </c>
      <c r="C2121" s="114">
        <v>0.002551039207184277</v>
      </c>
      <c r="D2121" s="112" t="s">
        <v>2053</v>
      </c>
      <c r="E2121" s="112" t="b">
        <v>0</v>
      </c>
      <c r="F2121" s="112" t="b">
        <v>0</v>
      </c>
      <c r="G2121" s="112" t="b">
        <v>0</v>
      </c>
    </row>
    <row r="2122" spans="1:7" ht="15">
      <c r="A2122" s="112" t="s">
        <v>2427</v>
      </c>
      <c r="B2122" s="112">
        <v>3</v>
      </c>
      <c r="C2122" s="114">
        <v>0.003141294100643063</v>
      </c>
      <c r="D2122" s="112" t="s">
        <v>2053</v>
      </c>
      <c r="E2122" s="112" t="b">
        <v>0</v>
      </c>
      <c r="F2122" s="112" t="b">
        <v>0</v>
      </c>
      <c r="G2122" s="112" t="b">
        <v>0</v>
      </c>
    </row>
    <row r="2123" spans="1:7" ht="15">
      <c r="A2123" s="112" t="s">
        <v>2490</v>
      </c>
      <c r="B2123" s="112">
        <v>3</v>
      </c>
      <c r="C2123" s="114">
        <v>0.0022057622286437255</v>
      </c>
      <c r="D2123" s="112" t="s">
        <v>2053</v>
      </c>
      <c r="E2123" s="112" t="b">
        <v>0</v>
      </c>
      <c r="F2123" s="112" t="b">
        <v>1</v>
      </c>
      <c r="G2123" s="112" t="b">
        <v>0</v>
      </c>
    </row>
    <row r="2124" spans="1:7" ht="15">
      <c r="A2124" s="112" t="s">
        <v>2330</v>
      </c>
      <c r="B2124" s="112">
        <v>3</v>
      </c>
      <c r="C2124" s="114">
        <v>0.0022057622286437255</v>
      </c>
      <c r="D2124" s="112" t="s">
        <v>2053</v>
      </c>
      <c r="E2124" s="112" t="b">
        <v>0</v>
      </c>
      <c r="F2124" s="112" t="b">
        <v>1</v>
      </c>
      <c r="G2124" s="112" t="b">
        <v>0</v>
      </c>
    </row>
    <row r="2125" spans="1:7" ht="15">
      <c r="A2125" s="112" t="s">
        <v>2254</v>
      </c>
      <c r="B2125" s="112">
        <v>3</v>
      </c>
      <c r="C2125" s="114">
        <v>0.0022057622286437255</v>
      </c>
      <c r="D2125" s="112" t="s">
        <v>2053</v>
      </c>
      <c r="E2125" s="112" t="b">
        <v>0</v>
      </c>
      <c r="F2125" s="112" t="b">
        <v>0</v>
      </c>
      <c r="G2125" s="112" t="b">
        <v>0</v>
      </c>
    </row>
    <row r="2126" spans="1:7" ht="15">
      <c r="A2126" s="112" t="s">
        <v>2190</v>
      </c>
      <c r="B2126" s="112">
        <v>3</v>
      </c>
      <c r="C2126" s="114">
        <v>0.0022057622286437255</v>
      </c>
      <c r="D2126" s="112" t="s">
        <v>2053</v>
      </c>
      <c r="E2126" s="112" t="b">
        <v>0</v>
      </c>
      <c r="F2126" s="112" t="b">
        <v>0</v>
      </c>
      <c r="G2126" s="112" t="b">
        <v>0</v>
      </c>
    </row>
    <row r="2127" spans="1:7" ht="15">
      <c r="A2127" s="112" t="s">
        <v>2780</v>
      </c>
      <c r="B2127" s="112">
        <v>3</v>
      </c>
      <c r="C2127" s="114">
        <v>0.002551039207184277</v>
      </c>
      <c r="D2127" s="112" t="s">
        <v>2053</v>
      </c>
      <c r="E2127" s="112" t="b">
        <v>0</v>
      </c>
      <c r="F2127" s="112" t="b">
        <v>1</v>
      </c>
      <c r="G2127" s="112" t="b">
        <v>0</v>
      </c>
    </row>
    <row r="2128" spans="1:7" ht="15">
      <c r="A2128" s="112" t="s">
        <v>2178</v>
      </c>
      <c r="B2128" s="112">
        <v>3</v>
      </c>
      <c r="C2128" s="114">
        <v>0.0022057622286437255</v>
      </c>
      <c r="D2128" s="112" t="s">
        <v>2053</v>
      </c>
      <c r="E2128" s="112" t="b">
        <v>0</v>
      </c>
      <c r="F2128" s="112" t="b">
        <v>0</v>
      </c>
      <c r="G2128" s="112" t="b">
        <v>0</v>
      </c>
    </row>
    <row r="2129" spans="1:7" ht="15">
      <c r="A2129" s="112" t="s">
        <v>2791</v>
      </c>
      <c r="B2129" s="112">
        <v>3</v>
      </c>
      <c r="C2129" s="114">
        <v>0.003141294100643063</v>
      </c>
      <c r="D2129" s="112" t="s">
        <v>2053</v>
      </c>
      <c r="E2129" s="112" t="b">
        <v>0</v>
      </c>
      <c r="F2129" s="112" t="b">
        <v>0</v>
      </c>
      <c r="G2129" s="112" t="b">
        <v>0</v>
      </c>
    </row>
    <row r="2130" spans="1:7" ht="15">
      <c r="A2130" s="112" t="s">
        <v>2359</v>
      </c>
      <c r="B2130" s="112">
        <v>3</v>
      </c>
      <c r="C2130" s="114">
        <v>0.002551039207184277</v>
      </c>
      <c r="D2130" s="112" t="s">
        <v>2053</v>
      </c>
      <c r="E2130" s="112" t="b">
        <v>0</v>
      </c>
      <c r="F2130" s="112" t="b">
        <v>0</v>
      </c>
      <c r="G2130" s="112" t="b">
        <v>0</v>
      </c>
    </row>
    <row r="2131" spans="1:7" ht="15">
      <c r="A2131" s="112" t="s">
        <v>2424</v>
      </c>
      <c r="B2131" s="112">
        <v>3</v>
      </c>
      <c r="C2131" s="114">
        <v>0.0022057622286437255</v>
      </c>
      <c r="D2131" s="112" t="s">
        <v>2053</v>
      </c>
      <c r="E2131" s="112" t="b">
        <v>0</v>
      </c>
      <c r="F2131" s="112" t="b">
        <v>0</v>
      </c>
      <c r="G2131" s="112" t="b">
        <v>0</v>
      </c>
    </row>
    <row r="2132" spans="1:7" ht="15">
      <c r="A2132" s="112" t="s">
        <v>2551</v>
      </c>
      <c r="B2132" s="112">
        <v>3</v>
      </c>
      <c r="C2132" s="114">
        <v>0.002551039207184277</v>
      </c>
      <c r="D2132" s="112" t="s">
        <v>2053</v>
      </c>
      <c r="E2132" s="112" t="b">
        <v>0</v>
      </c>
      <c r="F2132" s="112" t="b">
        <v>0</v>
      </c>
      <c r="G2132" s="112" t="b">
        <v>0</v>
      </c>
    </row>
    <row r="2133" spans="1:7" ht="15">
      <c r="A2133" s="112" t="s">
        <v>2192</v>
      </c>
      <c r="B2133" s="112">
        <v>3</v>
      </c>
      <c r="C2133" s="114">
        <v>0.002551039207184277</v>
      </c>
      <c r="D2133" s="112" t="s">
        <v>2053</v>
      </c>
      <c r="E2133" s="112" t="b">
        <v>0</v>
      </c>
      <c r="F2133" s="112" t="b">
        <v>0</v>
      </c>
      <c r="G2133" s="112" t="b">
        <v>0</v>
      </c>
    </row>
    <row r="2134" spans="1:7" ht="15">
      <c r="A2134" s="112" t="s">
        <v>2392</v>
      </c>
      <c r="B2134" s="112">
        <v>3</v>
      </c>
      <c r="C2134" s="114">
        <v>0.002551039207184277</v>
      </c>
      <c r="D2134" s="112" t="s">
        <v>2053</v>
      </c>
      <c r="E2134" s="112" t="b">
        <v>0</v>
      </c>
      <c r="F2134" s="112" t="b">
        <v>0</v>
      </c>
      <c r="G2134" s="112" t="b">
        <v>0</v>
      </c>
    </row>
    <row r="2135" spans="1:7" ht="15">
      <c r="A2135" s="112" t="s">
        <v>2784</v>
      </c>
      <c r="B2135" s="112">
        <v>3</v>
      </c>
      <c r="C2135" s="114">
        <v>0.0022057622286437255</v>
      </c>
      <c r="D2135" s="112" t="s">
        <v>2053</v>
      </c>
      <c r="E2135" s="112" t="b">
        <v>0</v>
      </c>
      <c r="F2135" s="112" t="b">
        <v>0</v>
      </c>
      <c r="G2135" s="112" t="b">
        <v>0</v>
      </c>
    </row>
    <row r="2136" spans="1:7" ht="15">
      <c r="A2136" s="112" t="s">
        <v>2274</v>
      </c>
      <c r="B2136" s="112">
        <v>3</v>
      </c>
      <c r="C2136" s="114">
        <v>0.003141294100643063</v>
      </c>
      <c r="D2136" s="112" t="s">
        <v>2053</v>
      </c>
      <c r="E2136" s="112" t="b">
        <v>1</v>
      </c>
      <c r="F2136" s="112" t="b">
        <v>0</v>
      </c>
      <c r="G2136" s="112" t="b">
        <v>0</v>
      </c>
    </row>
    <row r="2137" spans="1:7" ht="15">
      <c r="A2137" s="112" t="s">
        <v>2603</v>
      </c>
      <c r="B2137" s="112">
        <v>3</v>
      </c>
      <c r="C2137" s="114">
        <v>0.002551039207184277</v>
      </c>
      <c r="D2137" s="112" t="s">
        <v>2053</v>
      </c>
      <c r="E2137" s="112" t="b">
        <v>0</v>
      </c>
      <c r="F2137" s="112" t="b">
        <v>0</v>
      </c>
      <c r="G2137" s="112" t="b">
        <v>0</v>
      </c>
    </row>
    <row r="2138" spans="1:7" ht="15">
      <c r="A2138" s="112" t="s">
        <v>2768</v>
      </c>
      <c r="B2138" s="112">
        <v>3</v>
      </c>
      <c r="C2138" s="114">
        <v>0.002551039207184277</v>
      </c>
      <c r="D2138" s="112" t="s">
        <v>2053</v>
      </c>
      <c r="E2138" s="112" t="b">
        <v>0</v>
      </c>
      <c r="F2138" s="112" t="b">
        <v>0</v>
      </c>
      <c r="G2138" s="112" t="b">
        <v>0</v>
      </c>
    </row>
    <row r="2139" spans="1:7" ht="15">
      <c r="A2139" s="112" t="s">
        <v>2782</v>
      </c>
      <c r="B2139" s="112">
        <v>3</v>
      </c>
      <c r="C2139" s="114">
        <v>0.003141294100643063</v>
      </c>
      <c r="D2139" s="112" t="s">
        <v>2053</v>
      </c>
      <c r="E2139" s="112" t="b">
        <v>0</v>
      </c>
      <c r="F2139" s="112" t="b">
        <v>0</v>
      </c>
      <c r="G2139" s="112" t="b">
        <v>0</v>
      </c>
    </row>
    <row r="2140" spans="1:7" ht="15">
      <c r="A2140" s="112" t="s">
        <v>2772</v>
      </c>
      <c r="B2140" s="112">
        <v>3</v>
      </c>
      <c r="C2140" s="114">
        <v>0.0022057622286437255</v>
      </c>
      <c r="D2140" s="112" t="s">
        <v>2053</v>
      </c>
      <c r="E2140" s="112" t="b">
        <v>0</v>
      </c>
      <c r="F2140" s="112" t="b">
        <v>0</v>
      </c>
      <c r="G2140" s="112" t="b">
        <v>0</v>
      </c>
    </row>
    <row r="2141" spans="1:7" ht="15">
      <c r="A2141" s="112" t="s">
        <v>2778</v>
      </c>
      <c r="B2141" s="112">
        <v>3</v>
      </c>
      <c r="C2141" s="114">
        <v>0.002551039207184277</v>
      </c>
      <c r="D2141" s="112" t="s">
        <v>2053</v>
      </c>
      <c r="E2141" s="112" t="b">
        <v>0</v>
      </c>
      <c r="F2141" s="112" t="b">
        <v>0</v>
      </c>
      <c r="G2141" s="112" t="b">
        <v>0</v>
      </c>
    </row>
    <row r="2142" spans="1:7" ht="15">
      <c r="A2142" s="112" t="s">
        <v>2779</v>
      </c>
      <c r="B2142" s="112">
        <v>3</v>
      </c>
      <c r="C2142" s="114">
        <v>0.003141294100643063</v>
      </c>
      <c r="D2142" s="112" t="s">
        <v>2053</v>
      </c>
      <c r="E2142" s="112" t="b">
        <v>0</v>
      </c>
      <c r="F2142" s="112" t="b">
        <v>0</v>
      </c>
      <c r="G2142" s="112" t="b">
        <v>0</v>
      </c>
    </row>
    <row r="2143" spans="1:7" ht="15">
      <c r="A2143" s="112" t="s">
        <v>2222</v>
      </c>
      <c r="B2143" s="112">
        <v>3</v>
      </c>
      <c r="C2143" s="114">
        <v>0.0022057622286437255</v>
      </c>
      <c r="D2143" s="112" t="s">
        <v>2053</v>
      </c>
      <c r="E2143" s="112" t="b">
        <v>0</v>
      </c>
      <c r="F2143" s="112" t="b">
        <v>0</v>
      </c>
      <c r="G2143" s="112" t="b">
        <v>0</v>
      </c>
    </row>
    <row r="2144" spans="1:7" ht="15">
      <c r="A2144" s="112" t="s">
        <v>2777</v>
      </c>
      <c r="B2144" s="112">
        <v>3</v>
      </c>
      <c r="C2144" s="114">
        <v>0.003141294100643063</v>
      </c>
      <c r="D2144" s="112" t="s">
        <v>2053</v>
      </c>
      <c r="E2144" s="112" t="b">
        <v>0</v>
      </c>
      <c r="F2144" s="112" t="b">
        <v>0</v>
      </c>
      <c r="G2144" s="112" t="b">
        <v>0</v>
      </c>
    </row>
    <row r="2145" spans="1:7" ht="15">
      <c r="A2145" s="112" t="s">
        <v>2567</v>
      </c>
      <c r="B2145" s="112">
        <v>3</v>
      </c>
      <c r="C2145" s="114">
        <v>0.003141294100643063</v>
      </c>
      <c r="D2145" s="112" t="s">
        <v>2053</v>
      </c>
      <c r="E2145" s="112" t="b">
        <v>0</v>
      </c>
      <c r="F2145" s="112" t="b">
        <v>0</v>
      </c>
      <c r="G2145" s="112" t="b">
        <v>0</v>
      </c>
    </row>
    <row r="2146" spans="1:7" ht="15">
      <c r="A2146" s="112" t="s">
        <v>2163</v>
      </c>
      <c r="B2146" s="112">
        <v>3</v>
      </c>
      <c r="C2146" s="114">
        <v>0.002551039207184277</v>
      </c>
      <c r="D2146" s="112" t="s">
        <v>2053</v>
      </c>
      <c r="E2146" s="112" t="b">
        <v>0</v>
      </c>
      <c r="F2146" s="112" t="b">
        <v>1</v>
      </c>
      <c r="G2146" s="112" t="b">
        <v>0</v>
      </c>
    </row>
    <row r="2147" spans="1:7" ht="15">
      <c r="A2147" s="112" t="s">
        <v>2183</v>
      </c>
      <c r="B2147" s="112">
        <v>3</v>
      </c>
      <c r="C2147" s="114">
        <v>0.002551039207184277</v>
      </c>
      <c r="D2147" s="112" t="s">
        <v>2053</v>
      </c>
      <c r="E2147" s="112" t="b">
        <v>0</v>
      </c>
      <c r="F2147" s="112" t="b">
        <v>1</v>
      </c>
      <c r="G2147" s="112" t="b">
        <v>0</v>
      </c>
    </row>
    <row r="2148" spans="1:7" ht="15">
      <c r="A2148" s="112" t="s">
        <v>2599</v>
      </c>
      <c r="B2148" s="112">
        <v>3</v>
      </c>
      <c r="C2148" s="114">
        <v>0.003141294100643063</v>
      </c>
      <c r="D2148" s="112" t="s">
        <v>2053</v>
      </c>
      <c r="E2148" s="112" t="b">
        <v>0</v>
      </c>
      <c r="F2148" s="112" t="b">
        <v>0</v>
      </c>
      <c r="G2148" s="112" t="b">
        <v>0</v>
      </c>
    </row>
    <row r="2149" spans="1:7" ht="15">
      <c r="A2149" s="112" t="s">
        <v>2769</v>
      </c>
      <c r="B2149" s="112">
        <v>3</v>
      </c>
      <c r="C2149" s="114">
        <v>0.003141294100643063</v>
      </c>
      <c r="D2149" s="112" t="s">
        <v>2053</v>
      </c>
      <c r="E2149" s="112" t="b">
        <v>0</v>
      </c>
      <c r="F2149" s="112" t="b">
        <v>0</v>
      </c>
      <c r="G2149" s="112" t="b">
        <v>0</v>
      </c>
    </row>
    <row r="2150" spans="1:7" ht="15">
      <c r="A2150" s="112" t="s">
        <v>2090</v>
      </c>
      <c r="B2150" s="112">
        <v>2</v>
      </c>
      <c r="C2150" s="114">
        <v>0.0017006928047895178</v>
      </c>
      <c r="D2150" s="112" t="s">
        <v>2053</v>
      </c>
      <c r="E2150" s="112" t="b">
        <v>0</v>
      </c>
      <c r="F2150" s="112" t="b">
        <v>0</v>
      </c>
      <c r="G2150" s="112" t="b">
        <v>0</v>
      </c>
    </row>
    <row r="2151" spans="1:7" ht="15">
      <c r="A2151" s="112" t="s">
        <v>2159</v>
      </c>
      <c r="B2151" s="112">
        <v>2</v>
      </c>
      <c r="C2151" s="114">
        <v>0.0017006928047895178</v>
      </c>
      <c r="D2151" s="112" t="s">
        <v>2053</v>
      </c>
      <c r="E2151" s="112" t="b">
        <v>0</v>
      </c>
      <c r="F2151" s="112" t="b">
        <v>0</v>
      </c>
      <c r="G2151" s="112" t="b">
        <v>0</v>
      </c>
    </row>
    <row r="2152" spans="1:7" ht="15">
      <c r="A2152" s="112" t="s">
        <v>2127</v>
      </c>
      <c r="B2152" s="112">
        <v>2</v>
      </c>
      <c r="C2152" s="114">
        <v>0.0017006928047895178</v>
      </c>
      <c r="D2152" s="112" t="s">
        <v>2053</v>
      </c>
      <c r="E2152" s="112" t="b">
        <v>0</v>
      </c>
      <c r="F2152" s="112" t="b">
        <v>0</v>
      </c>
      <c r="G2152" s="112" t="b">
        <v>0</v>
      </c>
    </row>
    <row r="2153" spans="1:7" ht="15">
      <c r="A2153" s="112" t="s">
        <v>2126</v>
      </c>
      <c r="B2153" s="112">
        <v>2</v>
      </c>
      <c r="C2153" s="114">
        <v>0.0020941960670953753</v>
      </c>
      <c r="D2153" s="112" t="s">
        <v>2053</v>
      </c>
      <c r="E2153" s="112" t="b">
        <v>0</v>
      </c>
      <c r="F2153" s="112" t="b">
        <v>0</v>
      </c>
      <c r="G2153" s="112" t="b">
        <v>0</v>
      </c>
    </row>
    <row r="2154" spans="1:7" ht="15">
      <c r="A2154" s="112" t="s">
        <v>2195</v>
      </c>
      <c r="B2154" s="112">
        <v>2</v>
      </c>
      <c r="C2154" s="114">
        <v>0.0017006928047895178</v>
      </c>
      <c r="D2154" s="112" t="s">
        <v>2053</v>
      </c>
      <c r="E2154" s="112" t="b">
        <v>0</v>
      </c>
      <c r="F2154" s="112" t="b">
        <v>0</v>
      </c>
      <c r="G2154" s="112" t="b">
        <v>0</v>
      </c>
    </row>
    <row r="2155" spans="1:7" ht="15">
      <c r="A2155" s="112" t="s">
        <v>3179</v>
      </c>
      <c r="B2155" s="112">
        <v>2</v>
      </c>
      <c r="C2155" s="114">
        <v>0.0017006928047895178</v>
      </c>
      <c r="D2155" s="112" t="s">
        <v>2053</v>
      </c>
      <c r="E2155" s="112" t="b">
        <v>0</v>
      </c>
      <c r="F2155" s="112" t="b">
        <v>0</v>
      </c>
      <c r="G2155" s="112" t="b">
        <v>0</v>
      </c>
    </row>
    <row r="2156" spans="1:7" ht="15">
      <c r="A2156" s="112" t="s">
        <v>3178</v>
      </c>
      <c r="B2156" s="112">
        <v>2</v>
      </c>
      <c r="C2156" s="114">
        <v>0.0017006928047895178</v>
      </c>
      <c r="D2156" s="112" t="s">
        <v>2053</v>
      </c>
      <c r="E2156" s="112" t="b">
        <v>0</v>
      </c>
      <c r="F2156" s="112" t="b">
        <v>0</v>
      </c>
      <c r="G2156" s="112" t="b">
        <v>0</v>
      </c>
    </row>
    <row r="2157" spans="1:7" ht="15">
      <c r="A2157" s="112" t="s">
        <v>3167</v>
      </c>
      <c r="B2157" s="112">
        <v>2</v>
      </c>
      <c r="C2157" s="114">
        <v>0.0017006928047895178</v>
      </c>
      <c r="D2157" s="112" t="s">
        <v>2053</v>
      </c>
      <c r="E2157" s="112" t="b">
        <v>0</v>
      </c>
      <c r="F2157" s="112" t="b">
        <v>0</v>
      </c>
      <c r="G2157" s="112" t="b">
        <v>0</v>
      </c>
    </row>
    <row r="2158" spans="1:7" ht="15">
      <c r="A2158" s="112" t="s">
        <v>3197</v>
      </c>
      <c r="B2158" s="112">
        <v>2</v>
      </c>
      <c r="C2158" s="114">
        <v>0.0017006928047895178</v>
      </c>
      <c r="D2158" s="112" t="s">
        <v>2053</v>
      </c>
      <c r="E2158" s="112" t="b">
        <v>0</v>
      </c>
      <c r="F2158" s="112" t="b">
        <v>0</v>
      </c>
      <c r="G2158" s="112" t="b">
        <v>0</v>
      </c>
    </row>
    <row r="2159" spans="1:7" ht="15">
      <c r="A2159" s="112" t="s">
        <v>2636</v>
      </c>
      <c r="B2159" s="112">
        <v>2</v>
      </c>
      <c r="C2159" s="114">
        <v>0.0017006928047895178</v>
      </c>
      <c r="D2159" s="112" t="s">
        <v>2053</v>
      </c>
      <c r="E2159" s="112" t="b">
        <v>0</v>
      </c>
      <c r="F2159" s="112" t="b">
        <v>0</v>
      </c>
      <c r="G2159" s="112" t="b">
        <v>0</v>
      </c>
    </row>
    <row r="2160" spans="1:7" ht="15">
      <c r="A2160" s="112" t="s">
        <v>3163</v>
      </c>
      <c r="B2160" s="112">
        <v>2</v>
      </c>
      <c r="C2160" s="114">
        <v>0.0017006928047895178</v>
      </c>
      <c r="D2160" s="112" t="s">
        <v>2053</v>
      </c>
      <c r="E2160" s="112" t="b">
        <v>0</v>
      </c>
      <c r="F2160" s="112" t="b">
        <v>0</v>
      </c>
      <c r="G2160" s="112" t="b">
        <v>0</v>
      </c>
    </row>
    <row r="2161" spans="1:7" ht="15">
      <c r="A2161" s="112" t="s">
        <v>2409</v>
      </c>
      <c r="B2161" s="112">
        <v>2</v>
      </c>
      <c r="C2161" s="114">
        <v>0.0017006928047895178</v>
      </c>
      <c r="D2161" s="112" t="s">
        <v>2053</v>
      </c>
      <c r="E2161" s="112" t="b">
        <v>0</v>
      </c>
      <c r="F2161" s="112" t="b">
        <v>0</v>
      </c>
      <c r="G2161" s="112" t="b">
        <v>0</v>
      </c>
    </row>
    <row r="2162" spans="1:7" ht="15">
      <c r="A2162" s="112" t="s">
        <v>3131</v>
      </c>
      <c r="B2162" s="112">
        <v>2</v>
      </c>
      <c r="C2162" s="114">
        <v>0.0017006928047895178</v>
      </c>
      <c r="D2162" s="112" t="s">
        <v>2053</v>
      </c>
      <c r="E2162" s="112" t="b">
        <v>0</v>
      </c>
      <c r="F2162" s="112" t="b">
        <v>0</v>
      </c>
      <c r="G2162" s="112" t="b">
        <v>0</v>
      </c>
    </row>
    <row r="2163" spans="1:7" ht="15">
      <c r="A2163" s="112" t="s">
        <v>3184</v>
      </c>
      <c r="B2163" s="112">
        <v>2</v>
      </c>
      <c r="C2163" s="114">
        <v>0.0017006928047895178</v>
      </c>
      <c r="D2163" s="112" t="s">
        <v>2053</v>
      </c>
      <c r="E2163" s="112" t="b">
        <v>0</v>
      </c>
      <c r="F2163" s="112" t="b">
        <v>0</v>
      </c>
      <c r="G2163" s="112" t="b">
        <v>0</v>
      </c>
    </row>
    <row r="2164" spans="1:7" ht="15">
      <c r="A2164" s="112" t="s">
        <v>3157</v>
      </c>
      <c r="B2164" s="112">
        <v>2</v>
      </c>
      <c r="C2164" s="114">
        <v>0.0017006928047895178</v>
      </c>
      <c r="D2164" s="112" t="s">
        <v>2053</v>
      </c>
      <c r="E2164" s="112" t="b">
        <v>0</v>
      </c>
      <c r="F2164" s="112" t="b">
        <v>0</v>
      </c>
      <c r="G2164" s="112" t="b">
        <v>0</v>
      </c>
    </row>
    <row r="2165" spans="1:7" ht="15">
      <c r="A2165" s="112" t="s">
        <v>3191</v>
      </c>
      <c r="B2165" s="112">
        <v>2</v>
      </c>
      <c r="C2165" s="114">
        <v>0.0017006928047895178</v>
      </c>
      <c r="D2165" s="112" t="s">
        <v>2053</v>
      </c>
      <c r="E2165" s="112" t="b">
        <v>0</v>
      </c>
      <c r="F2165" s="112" t="b">
        <v>0</v>
      </c>
      <c r="G2165" s="112" t="b">
        <v>0</v>
      </c>
    </row>
    <row r="2166" spans="1:7" ht="15">
      <c r="A2166" s="112" t="s">
        <v>3192</v>
      </c>
      <c r="B2166" s="112">
        <v>2</v>
      </c>
      <c r="C2166" s="114">
        <v>0.0017006928047895178</v>
      </c>
      <c r="D2166" s="112" t="s">
        <v>2053</v>
      </c>
      <c r="E2166" s="112" t="b">
        <v>0</v>
      </c>
      <c r="F2166" s="112" t="b">
        <v>0</v>
      </c>
      <c r="G2166" s="112" t="b">
        <v>0</v>
      </c>
    </row>
    <row r="2167" spans="1:7" ht="15">
      <c r="A2167" s="112" t="s">
        <v>3193</v>
      </c>
      <c r="B2167" s="112">
        <v>2</v>
      </c>
      <c r="C2167" s="114">
        <v>0.0017006928047895178</v>
      </c>
      <c r="D2167" s="112" t="s">
        <v>2053</v>
      </c>
      <c r="E2167" s="112" t="b">
        <v>0</v>
      </c>
      <c r="F2167" s="112" t="b">
        <v>0</v>
      </c>
      <c r="G2167" s="112" t="b">
        <v>0</v>
      </c>
    </row>
    <row r="2168" spans="1:7" ht="15">
      <c r="A2168" s="112" t="s">
        <v>3137</v>
      </c>
      <c r="B2168" s="112">
        <v>2</v>
      </c>
      <c r="C2168" s="114">
        <v>0.0017006928047895178</v>
      </c>
      <c r="D2168" s="112" t="s">
        <v>2053</v>
      </c>
      <c r="E2168" s="112" t="b">
        <v>0</v>
      </c>
      <c r="F2168" s="112" t="b">
        <v>0</v>
      </c>
      <c r="G2168" s="112" t="b">
        <v>0</v>
      </c>
    </row>
    <row r="2169" spans="1:7" ht="15">
      <c r="A2169" s="112" t="s">
        <v>2395</v>
      </c>
      <c r="B2169" s="112">
        <v>2</v>
      </c>
      <c r="C2169" s="114">
        <v>0.0017006928047895178</v>
      </c>
      <c r="D2169" s="112" t="s">
        <v>2053</v>
      </c>
      <c r="E2169" s="112" t="b">
        <v>0</v>
      </c>
      <c r="F2169" s="112" t="b">
        <v>0</v>
      </c>
      <c r="G2169" s="112" t="b">
        <v>0</v>
      </c>
    </row>
    <row r="2170" spans="1:7" ht="15">
      <c r="A2170" s="112" t="s">
        <v>2382</v>
      </c>
      <c r="B2170" s="112">
        <v>2</v>
      </c>
      <c r="C2170" s="114">
        <v>0.0017006928047895178</v>
      </c>
      <c r="D2170" s="112" t="s">
        <v>2053</v>
      </c>
      <c r="E2170" s="112" t="b">
        <v>0</v>
      </c>
      <c r="F2170" s="112" t="b">
        <v>0</v>
      </c>
      <c r="G2170" s="112" t="b">
        <v>0</v>
      </c>
    </row>
    <row r="2171" spans="1:7" ht="15">
      <c r="A2171" s="112" t="s">
        <v>3135</v>
      </c>
      <c r="B2171" s="112">
        <v>2</v>
      </c>
      <c r="C2171" s="114">
        <v>0.0017006928047895178</v>
      </c>
      <c r="D2171" s="112" t="s">
        <v>2053</v>
      </c>
      <c r="E2171" s="112" t="b">
        <v>0</v>
      </c>
      <c r="F2171" s="112" t="b">
        <v>1</v>
      </c>
      <c r="G2171" s="112" t="b">
        <v>0</v>
      </c>
    </row>
    <row r="2172" spans="1:7" ht="15">
      <c r="A2172" s="112" t="s">
        <v>3132</v>
      </c>
      <c r="B2172" s="112">
        <v>2</v>
      </c>
      <c r="C2172" s="114">
        <v>0.0017006928047895178</v>
      </c>
      <c r="D2172" s="112" t="s">
        <v>2053</v>
      </c>
      <c r="E2172" s="112" t="b">
        <v>0</v>
      </c>
      <c r="F2172" s="112" t="b">
        <v>0</v>
      </c>
      <c r="G2172" s="112" t="b">
        <v>0</v>
      </c>
    </row>
    <row r="2173" spans="1:7" ht="15">
      <c r="A2173" s="112" t="s">
        <v>2130</v>
      </c>
      <c r="B2173" s="112">
        <v>2</v>
      </c>
      <c r="C2173" s="114">
        <v>0.0017006928047895178</v>
      </c>
      <c r="D2173" s="112" t="s">
        <v>2053</v>
      </c>
      <c r="E2173" s="112" t="b">
        <v>0</v>
      </c>
      <c r="F2173" s="112" t="b">
        <v>0</v>
      </c>
      <c r="G2173" s="112" t="b">
        <v>0</v>
      </c>
    </row>
    <row r="2174" spans="1:7" ht="15">
      <c r="A2174" s="112" t="s">
        <v>2492</v>
      </c>
      <c r="B2174" s="112">
        <v>2</v>
      </c>
      <c r="C2174" s="114">
        <v>0.0017006928047895178</v>
      </c>
      <c r="D2174" s="112" t="s">
        <v>2053</v>
      </c>
      <c r="E2174" s="112" t="b">
        <v>0</v>
      </c>
      <c r="F2174" s="112" t="b">
        <v>0</v>
      </c>
      <c r="G2174" s="112" t="b">
        <v>0</v>
      </c>
    </row>
    <row r="2175" spans="1:7" ht="15">
      <c r="A2175" s="112" t="s">
        <v>2120</v>
      </c>
      <c r="B2175" s="112">
        <v>2</v>
      </c>
      <c r="C2175" s="114">
        <v>0.0017006928047895178</v>
      </c>
      <c r="D2175" s="112" t="s">
        <v>2053</v>
      </c>
      <c r="E2175" s="112" t="b">
        <v>0</v>
      </c>
      <c r="F2175" s="112" t="b">
        <v>0</v>
      </c>
      <c r="G2175" s="112" t="b">
        <v>0</v>
      </c>
    </row>
    <row r="2176" spans="1:7" ht="15">
      <c r="A2176" s="112" t="s">
        <v>2577</v>
      </c>
      <c r="B2176" s="112">
        <v>2</v>
      </c>
      <c r="C2176" s="114">
        <v>0.0017006928047895178</v>
      </c>
      <c r="D2176" s="112" t="s">
        <v>2053</v>
      </c>
      <c r="E2176" s="112" t="b">
        <v>0</v>
      </c>
      <c r="F2176" s="112" t="b">
        <v>0</v>
      </c>
      <c r="G2176" s="112" t="b">
        <v>0</v>
      </c>
    </row>
    <row r="2177" spans="1:7" ht="15">
      <c r="A2177" s="112" t="s">
        <v>3168</v>
      </c>
      <c r="B2177" s="112">
        <v>2</v>
      </c>
      <c r="C2177" s="114">
        <v>0.0017006928047895178</v>
      </c>
      <c r="D2177" s="112" t="s">
        <v>2053</v>
      </c>
      <c r="E2177" s="112" t="b">
        <v>0</v>
      </c>
      <c r="F2177" s="112" t="b">
        <v>0</v>
      </c>
      <c r="G2177" s="112" t="b">
        <v>0</v>
      </c>
    </row>
    <row r="2178" spans="1:7" ht="15">
      <c r="A2178" s="112" t="s">
        <v>2544</v>
      </c>
      <c r="B2178" s="112">
        <v>2</v>
      </c>
      <c r="C2178" s="114">
        <v>0.0017006928047895178</v>
      </c>
      <c r="D2178" s="112" t="s">
        <v>2053</v>
      </c>
      <c r="E2178" s="112" t="b">
        <v>0</v>
      </c>
      <c r="F2178" s="112" t="b">
        <v>0</v>
      </c>
      <c r="G2178" s="112" t="b">
        <v>0</v>
      </c>
    </row>
    <row r="2179" spans="1:7" ht="15">
      <c r="A2179" s="112" t="s">
        <v>3118</v>
      </c>
      <c r="B2179" s="112">
        <v>2</v>
      </c>
      <c r="C2179" s="114">
        <v>0.0017006928047895178</v>
      </c>
      <c r="D2179" s="112" t="s">
        <v>2053</v>
      </c>
      <c r="E2179" s="112" t="b">
        <v>0</v>
      </c>
      <c r="F2179" s="112" t="b">
        <v>0</v>
      </c>
      <c r="G2179" s="112" t="b">
        <v>0</v>
      </c>
    </row>
    <row r="2180" spans="1:7" ht="15">
      <c r="A2180" s="112" t="s">
        <v>3158</v>
      </c>
      <c r="B2180" s="112">
        <v>2</v>
      </c>
      <c r="C2180" s="114">
        <v>0.0017006928047895178</v>
      </c>
      <c r="D2180" s="112" t="s">
        <v>2053</v>
      </c>
      <c r="E2180" s="112" t="b">
        <v>0</v>
      </c>
      <c r="F2180" s="112" t="b">
        <v>0</v>
      </c>
      <c r="G2180" s="112" t="b">
        <v>0</v>
      </c>
    </row>
    <row r="2181" spans="1:7" ht="15">
      <c r="A2181" s="112" t="s">
        <v>2396</v>
      </c>
      <c r="B2181" s="112">
        <v>2</v>
      </c>
      <c r="C2181" s="114">
        <v>0.0017006928047895178</v>
      </c>
      <c r="D2181" s="112" t="s">
        <v>2053</v>
      </c>
      <c r="E2181" s="112" t="b">
        <v>0</v>
      </c>
      <c r="F2181" s="112" t="b">
        <v>0</v>
      </c>
      <c r="G2181" s="112" t="b">
        <v>0</v>
      </c>
    </row>
    <row r="2182" spans="1:7" ht="15">
      <c r="A2182" s="112" t="s">
        <v>3180</v>
      </c>
      <c r="B2182" s="112">
        <v>2</v>
      </c>
      <c r="C2182" s="114">
        <v>0.0017006928047895178</v>
      </c>
      <c r="D2182" s="112" t="s">
        <v>2053</v>
      </c>
      <c r="E2182" s="112" t="b">
        <v>0</v>
      </c>
      <c r="F2182" s="112" t="b">
        <v>0</v>
      </c>
      <c r="G2182" s="112" t="b">
        <v>0</v>
      </c>
    </row>
    <row r="2183" spans="1:7" ht="15">
      <c r="A2183" s="112" t="s">
        <v>2781</v>
      </c>
      <c r="B2183" s="112">
        <v>2</v>
      </c>
      <c r="C2183" s="114">
        <v>0.0017006928047895178</v>
      </c>
      <c r="D2183" s="112" t="s">
        <v>2053</v>
      </c>
      <c r="E2183" s="112" t="b">
        <v>0</v>
      </c>
      <c r="F2183" s="112" t="b">
        <v>0</v>
      </c>
      <c r="G2183" s="112" t="b">
        <v>0</v>
      </c>
    </row>
    <row r="2184" spans="1:7" ht="15">
      <c r="A2184" s="112" t="s">
        <v>2790</v>
      </c>
      <c r="B2184" s="112">
        <v>2</v>
      </c>
      <c r="C2184" s="114">
        <v>0.0017006928047895178</v>
      </c>
      <c r="D2184" s="112" t="s">
        <v>2053</v>
      </c>
      <c r="E2184" s="112" t="b">
        <v>0</v>
      </c>
      <c r="F2184" s="112" t="b">
        <v>0</v>
      </c>
      <c r="G2184" s="112" t="b">
        <v>0</v>
      </c>
    </row>
    <row r="2185" spans="1:7" ht="15">
      <c r="A2185" s="112" t="s">
        <v>2680</v>
      </c>
      <c r="B2185" s="112">
        <v>2</v>
      </c>
      <c r="C2185" s="114">
        <v>0.0020941960670953753</v>
      </c>
      <c r="D2185" s="112" t="s">
        <v>2053</v>
      </c>
      <c r="E2185" s="112" t="b">
        <v>1</v>
      </c>
      <c r="F2185" s="112" t="b">
        <v>0</v>
      </c>
      <c r="G2185" s="112" t="b">
        <v>0</v>
      </c>
    </row>
    <row r="2186" spans="1:7" ht="15">
      <c r="A2186" s="112" t="s">
        <v>2240</v>
      </c>
      <c r="B2186" s="112">
        <v>2</v>
      </c>
      <c r="C2186" s="114">
        <v>0.0020941960670953753</v>
      </c>
      <c r="D2186" s="112" t="s">
        <v>2053</v>
      </c>
      <c r="E2186" s="112" t="b">
        <v>0</v>
      </c>
      <c r="F2186" s="112" t="b">
        <v>0</v>
      </c>
      <c r="G2186" s="112" t="b">
        <v>0</v>
      </c>
    </row>
    <row r="2187" spans="1:7" ht="15">
      <c r="A2187" s="112" t="s">
        <v>3189</v>
      </c>
      <c r="B2187" s="112">
        <v>2</v>
      </c>
      <c r="C2187" s="114">
        <v>0.0020941960670953753</v>
      </c>
      <c r="D2187" s="112" t="s">
        <v>2053</v>
      </c>
      <c r="E2187" s="112" t="b">
        <v>0</v>
      </c>
      <c r="F2187" s="112" t="b">
        <v>0</v>
      </c>
      <c r="G2187" s="112" t="b">
        <v>0</v>
      </c>
    </row>
    <row r="2188" spans="1:7" ht="15">
      <c r="A2188" s="112" t="s">
        <v>3130</v>
      </c>
      <c r="B2188" s="112">
        <v>2</v>
      </c>
      <c r="C2188" s="114">
        <v>0.0017006928047895178</v>
      </c>
      <c r="D2188" s="112" t="s">
        <v>2053</v>
      </c>
      <c r="E2188" s="112" t="b">
        <v>0</v>
      </c>
      <c r="F2188" s="112" t="b">
        <v>0</v>
      </c>
      <c r="G2188" s="112" t="b">
        <v>0</v>
      </c>
    </row>
    <row r="2189" spans="1:7" ht="15">
      <c r="A2189" s="112" t="s">
        <v>3185</v>
      </c>
      <c r="B2189" s="112">
        <v>2</v>
      </c>
      <c r="C2189" s="114">
        <v>0.0017006928047895178</v>
      </c>
      <c r="D2189" s="112" t="s">
        <v>2053</v>
      </c>
      <c r="E2189" s="112" t="b">
        <v>0</v>
      </c>
      <c r="F2189" s="112" t="b">
        <v>0</v>
      </c>
      <c r="G2189" s="112" t="b">
        <v>0</v>
      </c>
    </row>
    <row r="2190" spans="1:7" ht="15">
      <c r="A2190" s="112" t="s">
        <v>2640</v>
      </c>
      <c r="B2190" s="112">
        <v>2</v>
      </c>
      <c r="C2190" s="114">
        <v>0.0017006928047895178</v>
      </c>
      <c r="D2190" s="112" t="s">
        <v>2053</v>
      </c>
      <c r="E2190" s="112" t="b">
        <v>0</v>
      </c>
      <c r="F2190" s="112" t="b">
        <v>0</v>
      </c>
      <c r="G2190" s="112" t="b">
        <v>0</v>
      </c>
    </row>
    <row r="2191" spans="1:7" ht="15">
      <c r="A2191" s="112" t="s">
        <v>3147</v>
      </c>
      <c r="B2191" s="112">
        <v>2</v>
      </c>
      <c r="C2191" s="114">
        <v>0.0017006928047895178</v>
      </c>
      <c r="D2191" s="112" t="s">
        <v>2053</v>
      </c>
      <c r="E2191" s="112" t="b">
        <v>0</v>
      </c>
      <c r="F2191" s="112" t="b">
        <v>0</v>
      </c>
      <c r="G2191" s="112" t="b">
        <v>0</v>
      </c>
    </row>
    <row r="2192" spans="1:7" ht="15">
      <c r="A2192" s="112" t="s">
        <v>3165</v>
      </c>
      <c r="B2192" s="112">
        <v>2</v>
      </c>
      <c r="C2192" s="114">
        <v>0.0017006928047895178</v>
      </c>
      <c r="D2192" s="112" t="s">
        <v>2053</v>
      </c>
      <c r="E2192" s="112" t="b">
        <v>0</v>
      </c>
      <c r="F2192" s="112" t="b">
        <v>0</v>
      </c>
      <c r="G2192" s="112" t="b">
        <v>0</v>
      </c>
    </row>
    <row r="2193" spans="1:7" ht="15">
      <c r="A2193" s="112" t="s">
        <v>3117</v>
      </c>
      <c r="B2193" s="112">
        <v>2</v>
      </c>
      <c r="C2193" s="114">
        <v>0.0017006928047895178</v>
      </c>
      <c r="D2193" s="112" t="s">
        <v>2053</v>
      </c>
      <c r="E2193" s="112" t="b">
        <v>0</v>
      </c>
      <c r="F2193" s="112" t="b">
        <v>0</v>
      </c>
      <c r="G2193" s="112" t="b">
        <v>0</v>
      </c>
    </row>
    <row r="2194" spans="1:7" ht="15">
      <c r="A2194" s="112" t="s">
        <v>2378</v>
      </c>
      <c r="B2194" s="112">
        <v>2</v>
      </c>
      <c r="C2194" s="114">
        <v>0.0017006928047895178</v>
      </c>
      <c r="D2194" s="112" t="s">
        <v>2053</v>
      </c>
      <c r="E2194" s="112" t="b">
        <v>0</v>
      </c>
      <c r="F2194" s="112" t="b">
        <v>0</v>
      </c>
      <c r="G2194" s="112" t="b">
        <v>0</v>
      </c>
    </row>
    <row r="2195" spans="1:7" ht="15">
      <c r="A2195" s="112" t="s">
        <v>2489</v>
      </c>
      <c r="B2195" s="112">
        <v>2</v>
      </c>
      <c r="C2195" s="114">
        <v>0.0017006928047895178</v>
      </c>
      <c r="D2195" s="112" t="s">
        <v>2053</v>
      </c>
      <c r="E2195" s="112" t="b">
        <v>0</v>
      </c>
      <c r="F2195" s="112" t="b">
        <v>0</v>
      </c>
      <c r="G2195" s="112" t="b">
        <v>0</v>
      </c>
    </row>
    <row r="2196" spans="1:7" ht="15">
      <c r="A2196" s="112" t="s">
        <v>3164</v>
      </c>
      <c r="B2196" s="112">
        <v>2</v>
      </c>
      <c r="C2196" s="114">
        <v>0.0017006928047895178</v>
      </c>
      <c r="D2196" s="112" t="s">
        <v>2053</v>
      </c>
      <c r="E2196" s="112" t="b">
        <v>0</v>
      </c>
      <c r="F2196" s="112" t="b">
        <v>0</v>
      </c>
      <c r="G2196" s="112" t="b">
        <v>0</v>
      </c>
    </row>
    <row r="2197" spans="1:7" ht="15">
      <c r="A2197" s="112" t="s">
        <v>3187</v>
      </c>
      <c r="B2197" s="112">
        <v>2</v>
      </c>
      <c r="C2197" s="114">
        <v>0.0020941960670953753</v>
      </c>
      <c r="D2197" s="112" t="s">
        <v>2053</v>
      </c>
      <c r="E2197" s="112" t="b">
        <v>0</v>
      </c>
      <c r="F2197" s="112" t="b">
        <v>0</v>
      </c>
      <c r="G2197" s="112" t="b">
        <v>0</v>
      </c>
    </row>
    <row r="2198" spans="1:7" ht="15">
      <c r="A2198" s="112" t="s">
        <v>3183</v>
      </c>
      <c r="B2198" s="112">
        <v>2</v>
      </c>
      <c r="C2198" s="114">
        <v>0.0020941960670953753</v>
      </c>
      <c r="D2198" s="112" t="s">
        <v>2053</v>
      </c>
      <c r="E2198" s="112" t="b">
        <v>0</v>
      </c>
      <c r="F2198" s="112" t="b">
        <v>0</v>
      </c>
      <c r="G2198" s="112" t="b">
        <v>0</v>
      </c>
    </row>
    <row r="2199" spans="1:7" ht="15">
      <c r="A2199" s="112" t="s">
        <v>2279</v>
      </c>
      <c r="B2199" s="112">
        <v>2</v>
      </c>
      <c r="C2199" s="114">
        <v>0.0017006928047895178</v>
      </c>
      <c r="D2199" s="112" t="s">
        <v>2053</v>
      </c>
      <c r="E2199" s="112" t="b">
        <v>0</v>
      </c>
      <c r="F2199" s="112" t="b">
        <v>0</v>
      </c>
      <c r="G2199" s="112" t="b">
        <v>0</v>
      </c>
    </row>
    <row r="2200" spans="1:7" ht="15">
      <c r="A2200" s="112" t="s">
        <v>3126</v>
      </c>
      <c r="B2200" s="112">
        <v>2</v>
      </c>
      <c r="C2200" s="114">
        <v>0.0017006928047895178</v>
      </c>
      <c r="D2200" s="112" t="s">
        <v>2053</v>
      </c>
      <c r="E2200" s="112" t="b">
        <v>0</v>
      </c>
      <c r="F2200" s="112" t="b">
        <v>0</v>
      </c>
      <c r="G2200" s="112" t="b">
        <v>0</v>
      </c>
    </row>
    <row r="2201" spans="1:7" ht="15">
      <c r="A2201" s="112" t="s">
        <v>3127</v>
      </c>
      <c r="B2201" s="112">
        <v>2</v>
      </c>
      <c r="C2201" s="114">
        <v>0.0017006928047895178</v>
      </c>
      <c r="D2201" s="112" t="s">
        <v>2053</v>
      </c>
      <c r="E2201" s="112" t="b">
        <v>0</v>
      </c>
      <c r="F2201" s="112" t="b">
        <v>0</v>
      </c>
      <c r="G2201" s="112" t="b">
        <v>0</v>
      </c>
    </row>
    <row r="2202" spans="1:7" ht="15">
      <c r="A2202" s="112" t="s">
        <v>2559</v>
      </c>
      <c r="B2202" s="112">
        <v>2</v>
      </c>
      <c r="C2202" s="114">
        <v>0.0017006928047895178</v>
      </c>
      <c r="D2202" s="112" t="s">
        <v>2053</v>
      </c>
      <c r="E2202" s="112" t="b">
        <v>0</v>
      </c>
      <c r="F2202" s="112" t="b">
        <v>0</v>
      </c>
      <c r="G2202" s="112" t="b">
        <v>0</v>
      </c>
    </row>
    <row r="2203" spans="1:7" ht="15">
      <c r="A2203" s="112" t="s">
        <v>3123</v>
      </c>
      <c r="B2203" s="112">
        <v>2</v>
      </c>
      <c r="C2203" s="114">
        <v>0.0017006928047895178</v>
      </c>
      <c r="D2203" s="112" t="s">
        <v>2053</v>
      </c>
      <c r="E2203" s="112" t="b">
        <v>0</v>
      </c>
      <c r="F2203" s="112" t="b">
        <v>0</v>
      </c>
      <c r="G2203" s="112" t="b">
        <v>0</v>
      </c>
    </row>
    <row r="2204" spans="1:7" ht="15">
      <c r="A2204" s="112" t="s">
        <v>2464</v>
      </c>
      <c r="B2204" s="112">
        <v>2</v>
      </c>
      <c r="C2204" s="114">
        <v>0.0017006928047895178</v>
      </c>
      <c r="D2204" s="112" t="s">
        <v>2053</v>
      </c>
      <c r="E2204" s="112" t="b">
        <v>0</v>
      </c>
      <c r="F2204" s="112" t="b">
        <v>1</v>
      </c>
      <c r="G2204" s="112" t="b">
        <v>0</v>
      </c>
    </row>
    <row r="2205" spans="1:7" ht="15">
      <c r="A2205" s="112" t="s">
        <v>2574</v>
      </c>
      <c r="B2205" s="112">
        <v>2</v>
      </c>
      <c r="C2205" s="114">
        <v>0.0017006928047895178</v>
      </c>
      <c r="D2205" s="112" t="s">
        <v>2053</v>
      </c>
      <c r="E2205" s="112" t="b">
        <v>0</v>
      </c>
      <c r="F2205" s="112" t="b">
        <v>0</v>
      </c>
      <c r="G2205" s="112" t="b">
        <v>0</v>
      </c>
    </row>
    <row r="2206" spans="1:7" ht="15">
      <c r="A2206" s="112" t="s">
        <v>2557</v>
      </c>
      <c r="B2206" s="112">
        <v>2</v>
      </c>
      <c r="C2206" s="114">
        <v>0.0017006928047895178</v>
      </c>
      <c r="D2206" s="112" t="s">
        <v>2053</v>
      </c>
      <c r="E2206" s="112" t="b">
        <v>0</v>
      </c>
      <c r="F2206" s="112" t="b">
        <v>0</v>
      </c>
      <c r="G2206" s="112" t="b">
        <v>0</v>
      </c>
    </row>
    <row r="2207" spans="1:7" ht="15">
      <c r="A2207" s="112" t="s">
        <v>3140</v>
      </c>
      <c r="B2207" s="112">
        <v>2</v>
      </c>
      <c r="C2207" s="114">
        <v>0.0017006928047895178</v>
      </c>
      <c r="D2207" s="112" t="s">
        <v>2053</v>
      </c>
      <c r="E2207" s="112" t="b">
        <v>0</v>
      </c>
      <c r="F2207" s="112" t="b">
        <v>0</v>
      </c>
      <c r="G2207" s="112" t="b">
        <v>0</v>
      </c>
    </row>
    <row r="2208" spans="1:7" ht="15">
      <c r="A2208" s="112" t="s">
        <v>3177</v>
      </c>
      <c r="B2208" s="112">
        <v>2</v>
      </c>
      <c r="C2208" s="114">
        <v>0.0020941960670953753</v>
      </c>
      <c r="D2208" s="112" t="s">
        <v>2053</v>
      </c>
      <c r="E2208" s="112" t="b">
        <v>0</v>
      </c>
      <c r="F2208" s="112" t="b">
        <v>0</v>
      </c>
      <c r="G2208" s="112" t="b">
        <v>0</v>
      </c>
    </row>
    <row r="2209" spans="1:7" ht="15">
      <c r="A2209" s="112" t="s">
        <v>2776</v>
      </c>
      <c r="B2209" s="112">
        <v>2</v>
      </c>
      <c r="C2209" s="114">
        <v>0.0017006928047895178</v>
      </c>
      <c r="D2209" s="112" t="s">
        <v>2053</v>
      </c>
      <c r="E2209" s="112" t="b">
        <v>0</v>
      </c>
      <c r="F2209" s="112" t="b">
        <v>0</v>
      </c>
      <c r="G2209" s="112" t="b">
        <v>0</v>
      </c>
    </row>
    <row r="2210" spans="1:7" ht="15">
      <c r="A2210" s="112" t="s">
        <v>3134</v>
      </c>
      <c r="B2210" s="112">
        <v>2</v>
      </c>
      <c r="C2210" s="114">
        <v>0.0017006928047895178</v>
      </c>
      <c r="D2210" s="112" t="s">
        <v>2053</v>
      </c>
      <c r="E2210" s="112" t="b">
        <v>0</v>
      </c>
      <c r="F2210" s="112" t="b">
        <v>0</v>
      </c>
      <c r="G2210" s="112" t="b">
        <v>0</v>
      </c>
    </row>
    <row r="2211" spans="1:7" ht="15">
      <c r="A2211" s="112" t="s">
        <v>3181</v>
      </c>
      <c r="B2211" s="112">
        <v>2</v>
      </c>
      <c r="C2211" s="114">
        <v>0.0020941960670953753</v>
      </c>
      <c r="D2211" s="112" t="s">
        <v>2053</v>
      </c>
      <c r="E2211" s="112" t="b">
        <v>0</v>
      </c>
      <c r="F2211" s="112" t="b">
        <v>0</v>
      </c>
      <c r="G2211" s="112" t="b">
        <v>0</v>
      </c>
    </row>
    <row r="2212" spans="1:7" ht="15">
      <c r="A2212" s="112" t="s">
        <v>3173</v>
      </c>
      <c r="B2212" s="112">
        <v>2</v>
      </c>
      <c r="C2212" s="114">
        <v>0.0020941960670953753</v>
      </c>
      <c r="D2212" s="112" t="s">
        <v>2053</v>
      </c>
      <c r="E2212" s="112" t="b">
        <v>0</v>
      </c>
      <c r="F2212" s="112" t="b">
        <v>0</v>
      </c>
      <c r="G2212" s="112" t="b">
        <v>0</v>
      </c>
    </row>
    <row r="2213" spans="1:7" ht="15">
      <c r="A2213" s="112" t="s">
        <v>2605</v>
      </c>
      <c r="B2213" s="112">
        <v>2</v>
      </c>
      <c r="C2213" s="114">
        <v>0.0020941960670953753</v>
      </c>
      <c r="D2213" s="112" t="s">
        <v>2053</v>
      </c>
      <c r="E2213" s="112" t="b">
        <v>0</v>
      </c>
      <c r="F2213" s="112" t="b">
        <v>0</v>
      </c>
      <c r="G2213" s="112" t="b">
        <v>0</v>
      </c>
    </row>
    <row r="2214" spans="1:7" ht="15">
      <c r="A2214" s="112" t="s">
        <v>3175</v>
      </c>
      <c r="B2214" s="112">
        <v>2</v>
      </c>
      <c r="C2214" s="114">
        <v>0.0020941960670953753</v>
      </c>
      <c r="D2214" s="112" t="s">
        <v>2053</v>
      </c>
      <c r="E2214" s="112" t="b">
        <v>0</v>
      </c>
      <c r="F2214" s="112" t="b">
        <v>0</v>
      </c>
      <c r="G2214" s="112" t="b">
        <v>0</v>
      </c>
    </row>
    <row r="2215" spans="1:7" ht="15">
      <c r="A2215" s="112" t="s">
        <v>2182</v>
      </c>
      <c r="B2215" s="112">
        <v>2</v>
      </c>
      <c r="C2215" s="114">
        <v>0.0017006928047895178</v>
      </c>
      <c r="D2215" s="112" t="s">
        <v>2053</v>
      </c>
      <c r="E2215" s="112" t="b">
        <v>0</v>
      </c>
      <c r="F2215" s="112" t="b">
        <v>0</v>
      </c>
      <c r="G2215" s="112" t="b">
        <v>0</v>
      </c>
    </row>
    <row r="2216" spans="1:7" ht="15">
      <c r="A2216" s="112" t="s">
        <v>3176</v>
      </c>
      <c r="B2216" s="112">
        <v>2</v>
      </c>
      <c r="C2216" s="114">
        <v>0.0020941960670953753</v>
      </c>
      <c r="D2216" s="112" t="s">
        <v>2053</v>
      </c>
      <c r="E2216" s="112" t="b">
        <v>0</v>
      </c>
      <c r="F2216" s="112" t="b">
        <v>0</v>
      </c>
      <c r="G2216" s="112" t="b">
        <v>0</v>
      </c>
    </row>
    <row r="2217" spans="1:7" ht="15">
      <c r="A2217" s="112" t="s">
        <v>2750</v>
      </c>
      <c r="B2217" s="112">
        <v>2</v>
      </c>
      <c r="C2217" s="114">
        <v>0.0017006928047895178</v>
      </c>
      <c r="D2217" s="112" t="s">
        <v>2053</v>
      </c>
      <c r="E2217" s="112" t="b">
        <v>0</v>
      </c>
      <c r="F2217" s="112" t="b">
        <v>0</v>
      </c>
      <c r="G2217" s="112" t="b">
        <v>0</v>
      </c>
    </row>
    <row r="2218" spans="1:7" ht="15">
      <c r="A2218" s="112" t="s">
        <v>3166</v>
      </c>
      <c r="B2218" s="112">
        <v>2</v>
      </c>
      <c r="C2218" s="114">
        <v>0.0017006928047895178</v>
      </c>
      <c r="D2218" s="112" t="s">
        <v>2053</v>
      </c>
      <c r="E2218" s="112" t="b">
        <v>0</v>
      </c>
      <c r="F2218" s="112" t="b">
        <v>0</v>
      </c>
      <c r="G2218" s="112" t="b">
        <v>0</v>
      </c>
    </row>
    <row r="2219" spans="1:7" ht="15">
      <c r="A2219" s="112" t="s">
        <v>2604</v>
      </c>
      <c r="B2219" s="112">
        <v>2</v>
      </c>
      <c r="C2219" s="114">
        <v>0.0020941960670953753</v>
      </c>
      <c r="D2219" s="112" t="s">
        <v>2053</v>
      </c>
      <c r="E2219" s="112" t="b">
        <v>0</v>
      </c>
      <c r="F2219" s="112" t="b">
        <v>0</v>
      </c>
      <c r="G2219" s="112" t="b">
        <v>0</v>
      </c>
    </row>
    <row r="2220" spans="1:7" ht="15">
      <c r="A2220" s="112" t="s">
        <v>3171</v>
      </c>
      <c r="B2220" s="112">
        <v>2</v>
      </c>
      <c r="C2220" s="114">
        <v>0.0020941960670953753</v>
      </c>
      <c r="D2220" s="112" t="s">
        <v>2053</v>
      </c>
      <c r="E2220" s="112" t="b">
        <v>0</v>
      </c>
      <c r="F2220" s="112" t="b">
        <v>0</v>
      </c>
      <c r="G2220" s="112" t="b">
        <v>0</v>
      </c>
    </row>
    <row r="2221" spans="1:7" ht="15">
      <c r="A2221" s="112" t="s">
        <v>2203</v>
      </c>
      <c r="B2221" s="112">
        <v>2</v>
      </c>
      <c r="C2221" s="114">
        <v>0.0017006928047895178</v>
      </c>
      <c r="D2221" s="112" t="s">
        <v>2053</v>
      </c>
      <c r="E2221" s="112" t="b">
        <v>0</v>
      </c>
      <c r="F2221" s="112" t="b">
        <v>0</v>
      </c>
      <c r="G2221" s="112" t="b">
        <v>0</v>
      </c>
    </row>
    <row r="2222" spans="1:7" ht="15">
      <c r="A2222" s="112" t="s">
        <v>3154</v>
      </c>
      <c r="B2222" s="112">
        <v>2</v>
      </c>
      <c r="C2222" s="114">
        <v>0.0017006928047895178</v>
      </c>
      <c r="D2222" s="112" t="s">
        <v>2053</v>
      </c>
      <c r="E2222" s="112" t="b">
        <v>0</v>
      </c>
      <c r="F2222" s="112" t="b">
        <v>0</v>
      </c>
      <c r="G2222" s="112" t="b">
        <v>0</v>
      </c>
    </row>
    <row r="2223" spans="1:7" ht="15">
      <c r="A2223" s="112" t="s">
        <v>3153</v>
      </c>
      <c r="B2223" s="112">
        <v>2</v>
      </c>
      <c r="C2223" s="114">
        <v>0.0017006928047895178</v>
      </c>
      <c r="D2223" s="112" t="s">
        <v>2053</v>
      </c>
      <c r="E2223" s="112" t="b">
        <v>0</v>
      </c>
      <c r="F2223" s="112" t="b">
        <v>0</v>
      </c>
      <c r="G2223" s="112" t="b">
        <v>0</v>
      </c>
    </row>
    <row r="2224" spans="1:7" ht="15">
      <c r="A2224" s="112" t="s">
        <v>3155</v>
      </c>
      <c r="B2224" s="112">
        <v>2</v>
      </c>
      <c r="C2224" s="114">
        <v>0.0017006928047895178</v>
      </c>
      <c r="D2224" s="112" t="s">
        <v>2053</v>
      </c>
      <c r="E2224" s="112" t="b">
        <v>0</v>
      </c>
      <c r="F2224" s="112" t="b">
        <v>0</v>
      </c>
      <c r="G2224" s="112" t="b">
        <v>0</v>
      </c>
    </row>
    <row r="2225" spans="1:7" ht="15">
      <c r="A2225" s="112" t="s">
        <v>2602</v>
      </c>
      <c r="B2225" s="112">
        <v>2</v>
      </c>
      <c r="C2225" s="114">
        <v>0.0020941960670953753</v>
      </c>
      <c r="D2225" s="112" t="s">
        <v>2053</v>
      </c>
      <c r="E2225" s="112" t="b">
        <v>0</v>
      </c>
      <c r="F2225" s="112" t="b">
        <v>0</v>
      </c>
      <c r="G2225" s="112" t="b">
        <v>0</v>
      </c>
    </row>
    <row r="2226" spans="1:7" ht="15">
      <c r="A2226" s="112" t="s">
        <v>3138</v>
      </c>
      <c r="B2226" s="112">
        <v>2</v>
      </c>
      <c r="C2226" s="114">
        <v>0.0017006928047895178</v>
      </c>
      <c r="D2226" s="112" t="s">
        <v>2053</v>
      </c>
      <c r="E2226" s="112" t="b">
        <v>0</v>
      </c>
      <c r="F2226" s="112" t="b">
        <v>0</v>
      </c>
      <c r="G2226" s="112" t="b">
        <v>0</v>
      </c>
    </row>
    <row r="2227" spans="1:7" ht="15">
      <c r="A2227" s="112" t="s">
        <v>2783</v>
      </c>
      <c r="B2227" s="112">
        <v>2</v>
      </c>
      <c r="C2227" s="114">
        <v>0.0020941960670953753</v>
      </c>
      <c r="D2227" s="112" t="s">
        <v>2053</v>
      </c>
      <c r="E2227" s="112" t="b">
        <v>0</v>
      </c>
      <c r="F2227" s="112" t="b">
        <v>0</v>
      </c>
      <c r="G2227" s="112" t="b">
        <v>0</v>
      </c>
    </row>
    <row r="2228" spans="1:7" ht="15">
      <c r="A2228" s="112" t="s">
        <v>2185</v>
      </c>
      <c r="B2228" s="112">
        <v>2</v>
      </c>
      <c r="C2228" s="114">
        <v>0.0020941960670953753</v>
      </c>
      <c r="D2228" s="112" t="s">
        <v>2053</v>
      </c>
      <c r="E2228" s="112" t="b">
        <v>0</v>
      </c>
      <c r="F2228" s="112" t="b">
        <v>0</v>
      </c>
      <c r="G2228" s="112" t="b">
        <v>0</v>
      </c>
    </row>
    <row r="2229" spans="1:7" ht="15">
      <c r="A2229" s="112" t="s">
        <v>2624</v>
      </c>
      <c r="B2229" s="112">
        <v>2</v>
      </c>
      <c r="C2229" s="114">
        <v>0.0020941960670953753</v>
      </c>
      <c r="D2229" s="112" t="s">
        <v>2053</v>
      </c>
      <c r="E2229" s="112" t="b">
        <v>0</v>
      </c>
      <c r="F2229" s="112" t="b">
        <v>1</v>
      </c>
      <c r="G2229" s="112" t="b">
        <v>0</v>
      </c>
    </row>
    <row r="2230" spans="1:7" ht="15">
      <c r="A2230" s="112" t="s">
        <v>3161</v>
      </c>
      <c r="B2230" s="112">
        <v>2</v>
      </c>
      <c r="C2230" s="114">
        <v>0.0020941960670953753</v>
      </c>
      <c r="D2230" s="112" t="s">
        <v>2053</v>
      </c>
      <c r="E2230" s="112" t="b">
        <v>0</v>
      </c>
      <c r="F2230" s="112" t="b">
        <v>0</v>
      </c>
      <c r="G2230" s="112" t="b">
        <v>0</v>
      </c>
    </row>
    <row r="2231" spans="1:7" ht="15">
      <c r="A2231" s="112" t="s">
        <v>2328</v>
      </c>
      <c r="B2231" s="112">
        <v>2</v>
      </c>
      <c r="C2231" s="114">
        <v>0.0020941960670953753</v>
      </c>
      <c r="D2231" s="112" t="s">
        <v>2053</v>
      </c>
      <c r="E2231" s="112" t="b">
        <v>0</v>
      </c>
      <c r="F2231" s="112" t="b">
        <v>0</v>
      </c>
      <c r="G2231" s="112" t="b">
        <v>0</v>
      </c>
    </row>
    <row r="2232" spans="1:7" ht="15">
      <c r="A2232" s="112" t="s">
        <v>2160</v>
      </c>
      <c r="B2232" s="112">
        <v>2</v>
      </c>
      <c r="C2232" s="114">
        <v>0.0017006928047895178</v>
      </c>
      <c r="D2232" s="112" t="s">
        <v>2053</v>
      </c>
      <c r="E2232" s="112" t="b">
        <v>0</v>
      </c>
      <c r="F2232" s="112" t="b">
        <v>1</v>
      </c>
      <c r="G2232" s="112" t="b">
        <v>0</v>
      </c>
    </row>
    <row r="2233" spans="1:7" ht="15">
      <c r="A2233" s="112" t="s">
        <v>3156</v>
      </c>
      <c r="B2233" s="112">
        <v>2</v>
      </c>
      <c r="C2233" s="114">
        <v>0.0020941960670953753</v>
      </c>
      <c r="D2233" s="112" t="s">
        <v>2053</v>
      </c>
      <c r="E2233" s="112" t="b">
        <v>0</v>
      </c>
      <c r="F2233" s="112" t="b">
        <v>0</v>
      </c>
      <c r="G2233" s="112" t="b">
        <v>0</v>
      </c>
    </row>
    <row r="2234" spans="1:7" ht="15">
      <c r="A2234" s="112" t="s">
        <v>3144</v>
      </c>
      <c r="B2234" s="112">
        <v>2</v>
      </c>
      <c r="C2234" s="114">
        <v>0.0017006928047895178</v>
      </c>
      <c r="D2234" s="112" t="s">
        <v>2053</v>
      </c>
      <c r="E2234" s="112" t="b">
        <v>0</v>
      </c>
      <c r="F2234" s="112" t="b">
        <v>0</v>
      </c>
      <c r="G2234" s="112" t="b">
        <v>0</v>
      </c>
    </row>
    <row r="2235" spans="1:7" ht="15">
      <c r="A2235" s="112" t="s">
        <v>3152</v>
      </c>
      <c r="B2235" s="112">
        <v>2</v>
      </c>
      <c r="C2235" s="114">
        <v>0.0020941960670953753</v>
      </c>
      <c r="D2235" s="112" t="s">
        <v>2053</v>
      </c>
      <c r="E2235" s="112" t="b">
        <v>0</v>
      </c>
      <c r="F2235" s="112" t="b">
        <v>0</v>
      </c>
      <c r="G2235" s="112" t="b">
        <v>0</v>
      </c>
    </row>
    <row r="2236" spans="1:7" ht="15">
      <c r="A2236" s="112" t="s">
        <v>3141</v>
      </c>
      <c r="B2236" s="112">
        <v>2</v>
      </c>
      <c r="C2236" s="114">
        <v>0.0017006928047895178</v>
      </c>
      <c r="D2236" s="112" t="s">
        <v>2053</v>
      </c>
      <c r="E2236" s="112" t="b">
        <v>0</v>
      </c>
      <c r="F2236" s="112" t="b">
        <v>0</v>
      </c>
      <c r="G2236" s="112" t="b">
        <v>0</v>
      </c>
    </row>
    <row r="2237" spans="1:7" ht="15">
      <c r="A2237" s="112" t="s">
        <v>3149</v>
      </c>
      <c r="B2237" s="112">
        <v>2</v>
      </c>
      <c r="C2237" s="114">
        <v>0.0020941960670953753</v>
      </c>
      <c r="D2237" s="112" t="s">
        <v>2053</v>
      </c>
      <c r="E2237" s="112" t="b">
        <v>0</v>
      </c>
      <c r="F2237" s="112" t="b">
        <v>0</v>
      </c>
      <c r="G2237" s="112" t="b">
        <v>0</v>
      </c>
    </row>
    <row r="2238" spans="1:7" ht="15">
      <c r="A2238" s="112" t="s">
        <v>3150</v>
      </c>
      <c r="B2238" s="112">
        <v>2</v>
      </c>
      <c r="C2238" s="114">
        <v>0.0020941960670953753</v>
      </c>
      <c r="D2238" s="112" t="s">
        <v>2053</v>
      </c>
      <c r="E2238" s="112" t="b">
        <v>0</v>
      </c>
      <c r="F2238" s="112" t="b">
        <v>0</v>
      </c>
      <c r="G2238" s="112" t="b">
        <v>0</v>
      </c>
    </row>
    <row r="2239" spans="1:7" ht="15">
      <c r="A2239" s="112" t="s">
        <v>3124</v>
      </c>
      <c r="B2239" s="112">
        <v>2</v>
      </c>
      <c r="C2239" s="114">
        <v>0.0017006928047895178</v>
      </c>
      <c r="D2239" s="112" t="s">
        <v>2053</v>
      </c>
      <c r="E2239" s="112" t="b">
        <v>0</v>
      </c>
      <c r="F2239" s="112" t="b">
        <v>0</v>
      </c>
      <c r="G2239" s="112" t="b">
        <v>0</v>
      </c>
    </row>
    <row r="2240" spans="1:7" ht="15">
      <c r="A2240" s="112" t="s">
        <v>3148</v>
      </c>
      <c r="B2240" s="112">
        <v>2</v>
      </c>
      <c r="C2240" s="114">
        <v>0.0020941960670953753</v>
      </c>
      <c r="D2240" s="112" t="s">
        <v>2053</v>
      </c>
      <c r="E2240" s="112" t="b">
        <v>0</v>
      </c>
      <c r="F2240" s="112" t="b">
        <v>0</v>
      </c>
      <c r="G2240" s="112" t="b">
        <v>0</v>
      </c>
    </row>
    <row r="2241" spans="1:7" ht="15">
      <c r="A2241" s="112" t="s">
        <v>3129</v>
      </c>
      <c r="B2241" s="112">
        <v>2</v>
      </c>
      <c r="C2241" s="114">
        <v>0.0017006928047895178</v>
      </c>
      <c r="D2241" s="112" t="s">
        <v>2053</v>
      </c>
      <c r="E2241" s="112" t="b">
        <v>0</v>
      </c>
      <c r="F2241" s="112" t="b">
        <v>0</v>
      </c>
      <c r="G2241" s="112" t="b">
        <v>0</v>
      </c>
    </row>
    <row r="2242" spans="1:7" ht="15">
      <c r="A2242" s="112" t="s">
        <v>3142</v>
      </c>
      <c r="B2242" s="112">
        <v>2</v>
      </c>
      <c r="C2242" s="114">
        <v>0.0020941960670953753</v>
      </c>
      <c r="D2242" s="112" t="s">
        <v>2053</v>
      </c>
      <c r="E2242" s="112" t="b">
        <v>0</v>
      </c>
      <c r="F2242" s="112" t="b">
        <v>0</v>
      </c>
      <c r="G2242" s="112" t="b">
        <v>0</v>
      </c>
    </row>
    <row r="2243" spans="1:7" ht="15">
      <c r="A2243" s="112" t="s">
        <v>3143</v>
      </c>
      <c r="B2243" s="112">
        <v>2</v>
      </c>
      <c r="C2243" s="114">
        <v>0.0020941960670953753</v>
      </c>
      <c r="D2243" s="112" t="s">
        <v>2053</v>
      </c>
      <c r="E2243" s="112" t="b">
        <v>0</v>
      </c>
      <c r="F2243" s="112" t="b">
        <v>0</v>
      </c>
      <c r="G2243" s="112" t="b">
        <v>0</v>
      </c>
    </row>
    <row r="2244" spans="1:7" ht="15">
      <c r="A2244" s="112" t="s">
        <v>3145</v>
      </c>
      <c r="B2244" s="112">
        <v>2</v>
      </c>
      <c r="C2244" s="114">
        <v>0.0020941960670953753</v>
      </c>
      <c r="D2244" s="112" t="s">
        <v>2053</v>
      </c>
      <c r="E2244" s="112" t="b">
        <v>0</v>
      </c>
      <c r="F2244" s="112" t="b">
        <v>0</v>
      </c>
      <c r="G2244" s="112" t="b">
        <v>0</v>
      </c>
    </row>
    <row r="2245" spans="1:7" ht="15">
      <c r="A2245" s="112" t="s">
        <v>3146</v>
      </c>
      <c r="B2245" s="112">
        <v>2</v>
      </c>
      <c r="C2245" s="114">
        <v>0.0020941960670953753</v>
      </c>
      <c r="D2245" s="112" t="s">
        <v>2053</v>
      </c>
      <c r="E2245" s="112" t="b">
        <v>0</v>
      </c>
      <c r="F2245" s="112" t="b">
        <v>0</v>
      </c>
      <c r="G2245" s="112" t="b">
        <v>0</v>
      </c>
    </row>
    <row r="2246" spans="1:7" ht="15">
      <c r="A2246" s="112" t="s">
        <v>2263</v>
      </c>
      <c r="B2246" s="112">
        <v>2</v>
      </c>
      <c r="C2246" s="114">
        <v>0.0017006928047895178</v>
      </c>
      <c r="D2246" s="112" t="s">
        <v>2053</v>
      </c>
      <c r="E2246" s="112" t="b">
        <v>0</v>
      </c>
      <c r="F2246" s="112" t="b">
        <v>0</v>
      </c>
      <c r="G2246" s="112" t="b">
        <v>0</v>
      </c>
    </row>
    <row r="2247" spans="1:7" ht="15">
      <c r="A2247" s="112" t="s">
        <v>2760</v>
      </c>
      <c r="B2247" s="112">
        <v>2</v>
      </c>
      <c r="C2247" s="114">
        <v>0.0017006928047895178</v>
      </c>
      <c r="D2247" s="112" t="s">
        <v>2053</v>
      </c>
      <c r="E2247" s="112" t="b">
        <v>0</v>
      </c>
      <c r="F2247" s="112" t="b">
        <v>0</v>
      </c>
      <c r="G2247" s="112" t="b">
        <v>0</v>
      </c>
    </row>
    <row r="2248" spans="1:7" ht="15">
      <c r="A2248" s="112" t="s">
        <v>2774</v>
      </c>
      <c r="B2248" s="112">
        <v>2</v>
      </c>
      <c r="C2248" s="114">
        <v>0.0017006928047895178</v>
      </c>
      <c r="D2248" s="112" t="s">
        <v>2053</v>
      </c>
      <c r="E2248" s="112" t="b">
        <v>0</v>
      </c>
      <c r="F2248" s="112" t="b">
        <v>0</v>
      </c>
      <c r="G2248" s="112" t="b">
        <v>0</v>
      </c>
    </row>
    <row r="2249" spans="1:7" ht="15">
      <c r="A2249" s="112" t="s">
        <v>2362</v>
      </c>
      <c r="B2249" s="112">
        <v>2</v>
      </c>
      <c r="C2249" s="114">
        <v>0.0020941960670953753</v>
      </c>
      <c r="D2249" s="112" t="s">
        <v>2053</v>
      </c>
      <c r="E2249" s="112" t="b">
        <v>0</v>
      </c>
      <c r="F2249" s="112" t="b">
        <v>0</v>
      </c>
      <c r="G2249" s="112" t="b">
        <v>0</v>
      </c>
    </row>
    <row r="2250" spans="1:7" ht="15">
      <c r="A2250" s="112" t="s">
        <v>2327</v>
      </c>
      <c r="B2250" s="112">
        <v>2</v>
      </c>
      <c r="C2250" s="114">
        <v>0.0017006928047895178</v>
      </c>
      <c r="D2250" s="112" t="s">
        <v>2053</v>
      </c>
      <c r="E2250" s="112" t="b">
        <v>0</v>
      </c>
      <c r="F2250" s="112" t="b">
        <v>0</v>
      </c>
      <c r="G2250" s="112" t="b">
        <v>0</v>
      </c>
    </row>
    <row r="2251" spans="1:7" ht="15">
      <c r="A2251" s="112" t="s">
        <v>2089</v>
      </c>
      <c r="B2251" s="112">
        <v>2</v>
      </c>
      <c r="C2251" s="114">
        <v>0.0017006928047895178</v>
      </c>
      <c r="D2251" s="112" t="s">
        <v>2053</v>
      </c>
      <c r="E2251" s="112" t="b">
        <v>0</v>
      </c>
      <c r="F2251" s="112" t="b">
        <v>0</v>
      </c>
      <c r="G2251" s="112" t="b">
        <v>0</v>
      </c>
    </row>
    <row r="2252" spans="1:7" ht="15">
      <c r="A2252" s="112" t="s">
        <v>3128</v>
      </c>
      <c r="B2252" s="112">
        <v>2</v>
      </c>
      <c r="C2252" s="114">
        <v>0.0020941960670953753</v>
      </c>
      <c r="D2252" s="112" t="s">
        <v>2053</v>
      </c>
      <c r="E2252" s="112" t="b">
        <v>0</v>
      </c>
      <c r="F2252" s="112" t="b">
        <v>0</v>
      </c>
      <c r="G2252" s="112" t="b">
        <v>0</v>
      </c>
    </row>
    <row r="2253" spans="1:7" ht="15">
      <c r="A2253" s="112" t="s">
        <v>2749</v>
      </c>
      <c r="B2253" s="112">
        <v>2</v>
      </c>
      <c r="C2253" s="114">
        <v>0.0020941960670953753</v>
      </c>
      <c r="D2253" s="112" t="s">
        <v>2053</v>
      </c>
      <c r="E2253" s="112" t="b">
        <v>0</v>
      </c>
      <c r="F2253" s="112" t="b">
        <v>0</v>
      </c>
      <c r="G2253" s="112" t="b">
        <v>0</v>
      </c>
    </row>
    <row r="2254" spans="1:7" ht="15">
      <c r="A2254" s="112" t="s">
        <v>3115</v>
      </c>
      <c r="B2254" s="112">
        <v>2</v>
      </c>
      <c r="C2254" s="114">
        <v>0.0020941960670953753</v>
      </c>
      <c r="D2254" s="112" t="s">
        <v>2053</v>
      </c>
      <c r="E2254" s="112" t="b">
        <v>0</v>
      </c>
      <c r="F2254" s="112" t="b">
        <v>0</v>
      </c>
      <c r="G2254" s="112" t="b">
        <v>0</v>
      </c>
    </row>
    <row r="2255" spans="1:7" ht="15">
      <c r="A2255" s="112" t="s">
        <v>2080</v>
      </c>
      <c r="B2255" s="112">
        <v>96</v>
      </c>
      <c r="C2255" s="114">
        <v>0.04335915916540464</v>
      </c>
      <c r="D2255" s="112" t="s">
        <v>2054</v>
      </c>
      <c r="E2255" s="112" t="b">
        <v>0</v>
      </c>
      <c r="F2255" s="112" t="b">
        <v>0</v>
      </c>
      <c r="G2255" s="112" t="b">
        <v>0</v>
      </c>
    </row>
    <row r="2256" spans="1:7" ht="15">
      <c r="A2256" s="112" t="s">
        <v>2091</v>
      </c>
      <c r="B2256" s="112">
        <v>69</v>
      </c>
      <c r="C2256" s="114">
        <v>0.016867139518261003</v>
      </c>
      <c r="D2256" s="112" t="s">
        <v>2054</v>
      </c>
      <c r="E2256" s="112" t="b">
        <v>0</v>
      </c>
      <c r="F2256" s="112" t="b">
        <v>0</v>
      </c>
      <c r="G2256" s="112" t="b">
        <v>0</v>
      </c>
    </row>
    <row r="2257" spans="1:7" ht="15">
      <c r="A2257" s="112" t="s">
        <v>2107</v>
      </c>
      <c r="B2257" s="112">
        <v>48</v>
      </c>
      <c r="C2257" s="114">
        <v>0.03886023991769392</v>
      </c>
      <c r="D2257" s="112" t="s">
        <v>2054</v>
      </c>
      <c r="E2257" s="112" t="b">
        <v>0</v>
      </c>
      <c r="F2257" s="112" t="b">
        <v>0</v>
      </c>
      <c r="G2257" s="112" t="b">
        <v>0</v>
      </c>
    </row>
    <row r="2258" spans="1:7" ht="15">
      <c r="A2258" s="112" t="s">
        <v>2101</v>
      </c>
      <c r="B2258" s="112">
        <v>47</v>
      </c>
      <c r="C2258" s="114">
        <v>0.044259420660056545</v>
      </c>
      <c r="D2258" s="112" t="s">
        <v>2054</v>
      </c>
      <c r="E2258" s="112" t="b">
        <v>0</v>
      </c>
      <c r="F2258" s="112" t="b">
        <v>0</v>
      </c>
      <c r="G2258" s="112" t="b">
        <v>0</v>
      </c>
    </row>
    <row r="2259" spans="1:7" ht="15">
      <c r="A2259" s="112" t="s">
        <v>2112</v>
      </c>
      <c r="B2259" s="112">
        <v>45</v>
      </c>
      <c r="C2259" s="114">
        <v>0.02894220730638191</v>
      </c>
      <c r="D2259" s="112" t="s">
        <v>2054</v>
      </c>
      <c r="E2259" s="112" t="b">
        <v>0</v>
      </c>
      <c r="F2259" s="112" t="b">
        <v>0</v>
      </c>
      <c r="G2259" s="112" t="b">
        <v>0</v>
      </c>
    </row>
    <row r="2260" spans="1:7" ht="15">
      <c r="A2260" s="112" t="s">
        <v>2097</v>
      </c>
      <c r="B2260" s="112">
        <v>39</v>
      </c>
      <c r="C2260" s="114">
        <v>0.016275917126724836</v>
      </c>
      <c r="D2260" s="112" t="s">
        <v>2054</v>
      </c>
      <c r="E2260" s="112" t="b">
        <v>0</v>
      </c>
      <c r="F2260" s="112" t="b">
        <v>0</v>
      </c>
      <c r="G2260" s="112" t="b">
        <v>0</v>
      </c>
    </row>
    <row r="2261" spans="1:7" ht="15">
      <c r="A2261" s="112" t="s">
        <v>2109</v>
      </c>
      <c r="B2261" s="112">
        <v>38</v>
      </c>
      <c r="C2261" s="114">
        <v>0.020274395730393968</v>
      </c>
      <c r="D2261" s="112" t="s">
        <v>2054</v>
      </c>
      <c r="E2261" s="112" t="b">
        <v>0</v>
      </c>
      <c r="F2261" s="112" t="b">
        <v>0</v>
      </c>
      <c r="G2261" s="112" t="b">
        <v>0</v>
      </c>
    </row>
    <row r="2262" spans="1:7" ht="15">
      <c r="A2262" s="112" t="s">
        <v>2117</v>
      </c>
      <c r="B2262" s="112">
        <v>30</v>
      </c>
      <c r="C2262" s="114">
        <v>0.014700956799145019</v>
      </c>
      <c r="D2262" s="112" t="s">
        <v>2054</v>
      </c>
      <c r="E2262" s="112" t="b">
        <v>0</v>
      </c>
      <c r="F2262" s="112" t="b">
        <v>0</v>
      </c>
      <c r="G2262" s="112" t="b">
        <v>0</v>
      </c>
    </row>
    <row r="2263" spans="1:7" ht="15">
      <c r="A2263" s="112" t="s">
        <v>2136</v>
      </c>
      <c r="B2263" s="112">
        <v>27</v>
      </c>
      <c r="C2263" s="114">
        <v>0.02542562463450057</v>
      </c>
      <c r="D2263" s="112" t="s">
        <v>2054</v>
      </c>
      <c r="E2263" s="112" t="b">
        <v>0</v>
      </c>
      <c r="F2263" s="112" t="b">
        <v>1</v>
      </c>
      <c r="G2263" s="112" t="b">
        <v>0</v>
      </c>
    </row>
    <row r="2264" spans="1:7" ht="15">
      <c r="A2264" s="112" t="s">
        <v>2083</v>
      </c>
      <c r="B2264" s="112">
        <v>26</v>
      </c>
      <c r="C2264" s="114">
        <v>0.013871954973427452</v>
      </c>
      <c r="D2264" s="112" t="s">
        <v>2054</v>
      </c>
      <c r="E2264" s="112" t="b">
        <v>0</v>
      </c>
      <c r="F2264" s="112" t="b">
        <v>0</v>
      </c>
      <c r="G2264" s="112" t="b">
        <v>0</v>
      </c>
    </row>
    <row r="2265" spans="1:7" ht="15">
      <c r="A2265" s="112" t="s">
        <v>2127</v>
      </c>
      <c r="B2265" s="112">
        <v>25</v>
      </c>
      <c r="C2265" s="114">
        <v>0.01459398444080352</v>
      </c>
      <c r="D2265" s="112" t="s">
        <v>2054</v>
      </c>
      <c r="E2265" s="112" t="b">
        <v>0</v>
      </c>
      <c r="F2265" s="112" t="b">
        <v>0</v>
      </c>
      <c r="G2265" s="112" t="b">
        <v>0</v>
      </c>
    </row>
    <row r="2266" spans="1:7" ht="15">
      <c r="A2266" s="112" t="s">
        <v>2146</v>
      </c>
      <c r="B2266" s="112">
        <v>25</v>
      </c>
      <c r="C2266" s="114">
        <v>0.008296308110661113</v>
      </c>
      <c r="D2266" s="112" t="s">
        <v>2054</v>
      </c>
      <c r="E2266" s="112" t="b">
        <v>0</v>
      </c>
      <c r="F2266" s="112" t="b">
        <v>1</v>
      </c>
      <c r="G2266" s="112" t="b">
        <v>0</v>
      </c>
    </row>
    <row r="2267" spans="1:7" ht="15">
      <c r="A2267" s="112" t="s">
        <v>2090</v>
      </c>
      <c r="B2267" s="112">
        <v>21</v>
      </c>
      <c r="C2267" s="114">
        <v>0.010290669759401513</v>
      </c>
      <c r="D2267" s="112" t="s">
        <v>2054</v>
      </c>
      <c r="E2267" s="112" t="b">
        <v>0</v>
      </c>
      <c r="F2267" s="112" t="b">
        <v>0</v>
      </c>
      <c r="G2267" s="112" t="b">
        <v>0</v>
      </c>
    </row>
    <row r="2268" spans="1:7" ht="15">
      <c r="A2268" s="112" t="s">
        <v>2084</v>
      </c>
      <c r="B2268" s="112">
        <v>19</v>
      </c>
      <c r="C2268" s="114">
        <v>0.006800678049267507</v>
      </c>
      <c r="D2268" s="112" t="s">
        <v>2054</v>
      </c>
      <c r="E2268" s="112" t="b">
        <v>0</v>
      </c>
      <c r="F2268" s="112" t="b">
        <v>1</v>
      </c>
      <c r="G2268" s="112" t="b">
        <v>0</v>
      </c>
    </row>
    <row r="2269" spans="1:7" ht="15">
      <c r="A2269" s="112" t="s">
        <v>2174</v>
      </c>
      <c r="B2269" s="112">
        <v>18</v>
      </c>
      <c r="C2269" s="114">
        <v>0.01695041642300038</v>
      </c>
      <c r="D2269" s="112" t="s">
        <v>2054</v>
      </c>
      <c r="E2269" s="112" t="b">
        <v>0</v>
      </c>
      <c r="F2269" s="112" t="b">
        <v>0</v>
      </c>
      <c r="G2269" s="112" t="b">
        <v>0</v>
      </c>
    </row>
    <row r="2270" spans="1:7" ht="15">
      <c r="A2270" s="112" t="s">
        <v>2180</v>
      </c>
      <c r="B2270" s="112">
        <v>17</v>
      </c>
      <c r="C2270" s="114">
        <v>0.004155672055223726</v>
      </c>
      <c r="D2270" s="112" t="s">
        <v>2054</v>
      </c>
      <c r="E2270" s="112" t="b">
        <v>0</v>
      </c>
      <c r="F2270" s="112" t="b">
        <v>0</v>
      </c>
      <c r="G2270" s="112" t="b">
        <v>0</v>
      </c>
    </row>
    <row r="2271" spans="1:7" ht="15">
      <c r="A2271" s="112" t="s">
        <v>2194</v>
      </c>
      <c r="B2271" s="112">
        <v>16</v>
      </c>
      <c r="C2271" s="114">
        <v>0.015067036820444784</v>
      </c>
      <c r="D2271" s="112" t="s">
        <v>2054</v>
      </c>
      <c r="E2271" s="112" t="b">
        <v>0</v>
      </c>
      <c r="F2271" s="112" t="b">
        <v>0</v>
      </c>
      <c r="G2271" s="112" t="b">
        <v>0</v>
      </c>
    </row>
    <row r="2272" spans="1:7" ht="15">
      <c r="A2272" s="112" t="s">
        <v>2200</v>
      </c>
      <c r="B2272" s="112">
        <v>15</v>
      </c>
      <c r="C2272" s="114">
        <v>0.014125347019166984</v>
      </c>
      <c r="D2272" s="112" t="s">
        <v>2054</v>
      </c>
      <c r="E2272" s="112" t="b">
        <v>0</v>
      </c>
      <c r="F2272" s="112" t="b">
        <v>0</v>
      </c>
      <c r="G2272" s="112" t="b">
        <v>0</v>
      </c>
    </row>
    <row r="2273" spans="1:7" ht="15">
      <c r="A2273" s="112" t="s">
        <v>2139</v>
      </c>
      <c r="B2273" s="112">
        <v>14</v>
      </c>
      <c r="C2273" s="114">
        <v>0.009004242273096593</v>
      </c>
      <c r="D2273" s="112" t="s">
        <v>2054</v>
      </c>
      <c r="E2273" s="112" t="b">
        <v>0</v>
      </c>
      <c r="F2273" s="112" t="b">
        <v>0</v>
      </c>
      <c r="G2273" s="112" t="b">
        <v>0</v>
      </c>
    </row>
    <row r="2274" spans="1:7" ht="15">
      <c r="A2274" s="112" t="s">
        <v>2208</v>
      </c>
      <c r="B2274" s="112">
        <v>14</v>
      </c>
      <c r="C2274" s="114">
        <v>0.013183657217889186</v>
      </c>
      <c r="D2274" s="112" t="s">
        <v>2054</v>
      </c>
      <c r="E2274" s="112" t="b">
        <v>0</v>
      </c>
      <c r="F2274" s="112" t="b">
        <v>0</v>
      </c>
      <c r="G2274" s="112" t="b">
        <v>0</v>
      </c>
    </row>
    <row r="2275" spans="1:7" ht="15">
      <c r="A2275" s="112" t="s">
        <v>2199</v>
      </c>
      <c r="B2275" s="112">
        <v>13</v>
      </c>
      <c r="C2275" s="114">
        <v>0.009306191014787114</v>
      </c>
      <c r="D2275" s="112" t="s">
        <v>2054</v>
      </c>
      <c r="E2275" s="112" t="b">
        <v>0</v>
      </c>
      <c r="F2275" s="112" t="b">
        <v>0</v>
      </c>
      <c r="G2275" s="112" t="b">
        <v>0</v>
      </c>
    </row>
    <row r="2276" spans="1:7" ht="15">
      <c r="A2276" s="112" t="s">
        <v>2178</v>
      </c>
      <c r="B2276" s="112">
        <v>13</v>
      </c>
      <c r="C2276" s="114">
        <v>0.0054253057089082785</v>
      </c>
      <c r="D2276" s="112" t="s">
        <v>2054</v>
      </c>
      <c r="E2276" s="112" t="b">
        <v>0</v>
      </c>
      <c r="F2276" s="112" t="b">
        <v>0</v>
      </c>
      <c r="G2276" s="112" t="b">
        <v>0</v>
      </c>
    </row>
    <row r="2277" spans="1:7" ht="15">
      <c r="A2277" s="112" t="s">
        <v>2216</v>
      </c>
      <c r="B2277" s="112">
        <v>13</v>
      </c>
      <c r="C2277" s="114">
        <v>0.010524648311042105</v>
      </c>
      <c r="D2277" s="112" t="s">
        <v>2054</v>
      </c>
      <c r="E2277" s="112" t="b">
        <v>0</v>
      </c>
      <c r="F2277" s="112" t="b">
        <v>1</v>
      </c>
      <c r="G2277" s="112" t="b">
        <v>0</v>
      </c>
    </row>
    <row r="2278" spans="1:7" ht="15">
      <c r="A2278" s="112" t="s">
        <v>2138</v>
      </c>
      <c r="B2278" s="112">
        <v>13</v>
      </c>
      <c r="C2278" s="114">
        <v>0.012241967416611387</v>
      </c>
      <c r="D2278" s="112" t="s">
        <v>2054</v>
      </c>
      <c r="E2278" s="112" t="b">
        <v>0</v>
      </c>
      <c r="F2278" s="112" t="b">
        <v>0</v>
      </c>
      <c r="G2278" s="112" t="b">
        <v>0</v>
      </c>
    </row>
    <row r="2279" spans="1:7" ht="15">
      <c r="A2279" s="112" t="s">
        <v>2078</v>
      </c>
      <c r="B2279" s="112">
        <v>12</v>
      </c>
      <c r="C2279" s="114">
        <v>0.00971505997942348</v>
      </c>
      <c r="D2279" s="112" t="s">
        <v>2054</v>
      </c>
      <c r="E2279" s="112" t="b">
        <v>0</v>
      </c>
      <c r="F2279" s="112" t="b">
        <v>0</v>
      </c>
      <c r="G2279" s="112" t="b">
        <v>0</v>
      </c>
    </row>
    <row r="2280" spans="1:7" ht="15">
      <c r="A2280" s="112" t="s">
        <v>2094</v>
      </c>
      <c r="B2280" s="112">
        <v>12</v>
      </c>
      <c r="C2280" s="114">
        <v>0.007005112531585689</v>
      </c>
      <c r="D2280" s="112" t="s">
        <v>2054</v>
      </c>
      <c r="E2280" s="112" t="b">
        <v>0</v>
      </c>
      <c r="F2280" s="112" t="b">
        <v>0</v>
      </c>
      <c r="G2280" s="112" t="b">
        <v>0</v>
      </c>
    </row>
    <row r="2281" spans="1:7" ht="15">
      <c r="A2281" s="112" t="s">
        <v>2229</v>
      </c>
      <c r="B2281" s="112">
        <v>12</v>
      </c>
      <c r="C2281" s="114">
        <v>0.011300277615333587</v>
      </c>
      <c r="D2281" s="112" t="s">
        <v>2054</v>
      </c>
      <c r="E2281" s="112" t="b">
        <v>0</v>
      </c>
      <c r="F2281" s="112" t="b">
        <v>0</v>
      </c>
      <c r="G2281" s="112" t="b">
        <v>0</v>
      </c>
    </row>
    <row r="2282" spans="1:7" ht="15">
      <c r="A2282" s="112" t="s">
        <v>2087</v>
      </c>
      <c r="B2282" s="112">
        <v>11</v>
      </c>
      <c r="C2282" s="114">
        <v>0.007874469320204481</v>
      </c>
      <c r="D2282" s="112" t="s">
        <v>2054</v>
      </c>
      <c r="E2282" s="112" t="b">
        <v>0</v>
      </c>
      <c r="F2282" s="112" t="b">
        <v>0</v>
      </c>
      <c r="G2282" s="112" t="b">
        <v>0</v>
      </c>
    </row>
    <row r="2283" spans="1:7" ht="15">
      <c r="A2283" s="112" t="s">
        <v>2188</v>
      </c>
      <c r="B2283" s="112">
        <v>11</v>
      </c>
      <c r="C2283" s="114">
        <v>0.004590643292153159</v>
      </c>
      <c r="D2283" s="112" t="s">
        <v>2054</v>
      </c>
      <c r="E2283" s="112" t="b">
        <v>0</v>
      </c>
      <c r="F2283" s="112" t="b">
        <v>0</v>
      </c>
      <c r="G2283" s="112" t="b">
        <v>0</v>
      </c>
    </row>
    <row r="2284" spans="1:7" ht="15">
      <c r="A2284" s="112" t="s">
        <v>2089</v>
      </c>
      <c r="B2284" s="112">
        <v>10</v>
      </c>
      <c r="C2284" s="114">
        <v>0.0064316016236404235</v>
      </c>
      <c r="D2284" s="112" t="s">
        <v>2054</v>
      </c>
      <c r="E2284" s="112" t="b">
        <v>0</v>
      </c>
      <c r="F2284" s="112" t="b">
        <v>0</v>
      </c>
      <c r="G2284" s="112" t="b">
        <v>0</v>
      </c>
    </row>
    <row r="2285" spans="1:7" ht="15">
      <c r="A2285" s="112" t="s">
        <v>2266</v>
      </c>
      <c r="B2285" s="112">
        <v>10</v>
      </c>
      <c r="C2285" s="114">
        <v>0.011675187552642815</v>
      </c>
      <c r="D2285" s="112" t="s">
        <v>2054</v>
      </c>
      <c r="E2285" s="112" t="b">
        <v>0</v>
      </c>
      <c r="F2285" s="112" t="b">
        <v>0</v>
      </c>
      <c r="G2285" s="112" t="b">
        <v>0</v>
      </c>
    </row>
    <row r="2286" spans="1:7" ht="15">
      <c r="A2286" s="112" t="s">
        <v>2077</v>
      </c>
      <c r="B2286" s="112">
        <v>9</v>
      </c>
      <c r="C2286" s="114">
        <v>0.006442747625621848</v>
      </c>
      <c r="D2286" s="112" t="s">
        <v>2054</v>
      </c>
      <c r="E2286" s="112" t="b">
        <v>0</v>
      </c>
      <c r="F2286" s="112" t="b">
        <v>0</v>
      </c>
      <c r="G2286" s="112" t="b">
        <v>0</v>
      </c>
    </row>
    <row r="2287" spans="1:7" ht="15">
      <c r="A2287" s="112" t="s">
        <v>2265</v>
      </c>
      <c r="B2287" s="112">
        <v>9</v>
      </c>
      <c r="C2287" s="114">
        <v>0.006442747625621848</v>
      </c>
      <c r="D2287" s="112" t="s">
        <v>2054</v>
      </c>
      <c r="E2287" s="112" t="b">
        <v>0</v>
      </c>
      <c r="F2287" s="112" t="b">
        <v>0</v>
      </c>
      <c r="G2287" s="112" t="b">
        <v>0</v>
      </c>
    </row>
    <row r="2288" spans="1:7" ht="15">
      <c r="A2288" s="112" t="s">
        <v>2157</v>
      </c>
      <c r="B2288" s="112">
        <v>9</v>
      </c>
      <c r="C2288" s="114">
        <v>0.005253834398689266</v>
      </c>
      <c r="D2288" s="112" t="s">
        <v>2054</v>
      </c>
      <c r="E2288" s="112" t="b">
        <v>0</v>
      </c>
      <c r="F2288" s="112" t="b">
        <v>0</v>
      </c>
      <c r="G2288" s="112" t="b">
        <v>0</v>
      </c>
    </row>
    <row r="2289" spans="1:7" ht="15">
      <c r="A2289" s="112" t="s">
        <v>2133</v>
      </c>
      <c r="B2289" s="112">
        <v>9</v>
      </c>
      <c r="C2289" s="114">
        <v>0.00847520821150019</v>
      </c>
      <c r="D2289" s="112" t="s">
        <v>2054</v>
      </c>
      <c r="E2289" s="112" t="b">
        <v>0</v>
      </c>
      <c r="F2289" s="112" t="b">
        <v>0</v>
      </c>
      <c r="G2289" s="112" t="b">
        <v>0</v>
      </c>
    </row>
    <row r="2290" spans="1:7" ht="15">
      <c r="A2290" s="112" t="s">
        <v>2079</v>
      </c>
      <c r="B2290" s="112">
        <v>8</v>
      </c>
      <c r="C2290" s="114">
        <v>0.007533518410222392</v>
      </c>
      <c r="D2290" s="112" t="s">
        <v>2054</v>
      </c>
      <c r="E2290" s="112" t="b">
        <v>0</v>
      </c>
      <c r="F2290" s="112" t="b">
        <v>0</v>
      </c>
      <c r="G2290" s="112" t="b">
        <v>0</v>
      </c>
    </row>
    <row r="2291" spans="1:7" ht="15">
      <c r="A2291" s="112" t="s">
        <v>2168</v>
      </c>
      <c r="B2291" s="112">
        <v>8</v>
      </c>
      <c r="C2291" s="114">
        <v>0.009340150042114253</v>
      </c>
      <c r="D2291" s="112" t="s">
        <v>2054</v>
      </c>
      <c r="E2291" s="112" t="b">
        <v>0</v>
      </c>
      <c r="F2291" s="112" t="b">
        <v>1</v>
      </c>
      <c r="G2291" s="112" t="b">
        <v>0</v>
      </c>
    </row>
    <row r="2292" spans="1:7" ht="15">
      <c r="A2292" s="112" t="s">
        <v>2285</v>
      </c>
      <c r="B2292" s="112">
        <v>8</v>
      </c>
      <c r="C2292" s="114">
        <v>0.004268293837977677</v>
      </c>
      <c r="D2292" s="112" t="s">
        <v>2054</v>
      </c>
      <c r="E2292" s="112" t="b">
        <v>0</v>
      </c>
      <c r="F2292" s="112" t="b">
        <v>1</v>
      </c>
      <c r="G2292" s="112" t="b">
        <v>0</v>
      </c>
    </row>
    <row r="2293" spans="1:7" ht="15">
      <c r="A2293" s="112" t="s">
        <v>2215</v>
      </c>
      <c r="B2293" s="112">
        <v>8</v>
      </c>
      <c r="C2293" s="114">
        <v>0.005145281298912339</v>
      </c>
      <c r="D2293" s="112" t="s">
        <v>2054</v>
      </c>
      <c r="E2293" s="112" t="b">
        <v>0</v>
      </c>
      <c r="F2293" s="112" t="b">
        <v>0</v>
      </c>
      <c r="G2293" s="112" t="b">
        <v>0</v>
      </c>
    </row>
    <row r="2294" spans="1:7" ht="15">
      <c r="A2294" s="112" t="s">
        <v>2098</v>
      </c>
      <c r="B2294" s="112">
        <v>8</v>
      </c>
      <c r="C2294" s="114">
        <v>0.007533518410222392</v>
      </c>
      <c r="D2294" s="112" t="s">
        <v>2054</v>
      </c>
      <c r="E2294" s="112" t="b">
        <v>1</v>
      </c>
      <c r="F2294" s="112" t="b">
        <v>0</v>
      </c>
      <c r="G2294" s="112" t="b">
        <v>0</v>
      </c>
    </row>
    <row r="2295" spans="1:7" ht="15">
      <c r="A2295" s="112" t="s">
        <v>2324</v>
      </c>
      <c r="B2295" s="112">
        <v>8</v>
      </c>
      <c r="C2295" s="114">
        <v>0.009340150042114253</v>
      </c>
      <c r="D2295" s="112" t="s">
        <v>2054</v>
      </c>
      <c r="E2295" s="112" t="b">
        <v>0</v>
      </c>
      <c r="F2295" s="112" t="b">
        <v>0</v>
      </c>
      <c r="G2295" s="112" t="b">
        <v>0</v>
      </c>
    </row>
    <row r="2296" spans="1:7" ht="15">
      <c r="A2296" s="112" t="s">
        <v>2357</v>
      </c>
      <c r="B2296" s="112">
        <v>7</v>
      </c>
      <c r="C2296" s="114">
        <v>0.0037347571082304676</v>
      </c>
      <c r="D2296" s="112" t="s">
        <v>2054</v>
      </c>
      <c r="E2296" s="112" t="b">
        <v>0</v>
      </c>
      <c r="F2296" s="112" t="b">
        <v>0</v>
      </c>
      <c r="G2296" s="112" t="b">
        <v>0</v>
      </c>
    </row>
    <row r="2297" spans="1:7" ht="15">
      <c r="A2297" s="112" t="s">
        <v>2171</v>
      </c>
      <c r="B2297" s="112">
        <v>6</v>
      </c>
      <c r="C2297" s="114">
        <v>0.0056501388076667936</v>
      </c>
      <c r="D2297" s="112" t="s">
        <v>2054</v>
      </c>
      <c r="E2297" s="112" t="b">
        <v>0</v>
      </c>
      <c r="F2297" s="112" t="b">
        <v>0</v>
      </c>
      <c r="G2297" s="112" t="b">
        <v>0</v>
      </c>
    </row>
    <row r="2298" spans="1:7" ht="15">
      <c r="A2298" s="112" t="s">
        <v>2105</v>
      </c>
      <c r="B2298" s="112">
        <v>6</v>
      </c>
      <c r="C2298" s="114">
        <v>0.0042951650837478985</v>
      </c>
      <c r="D2298" s="112" t="s">
        <v>2054</v>
      </c>
      <c r="E2298" s="112" t="b">
        <v>0</v>
      </c>
      <c r="F2298" s="112" t="b">
        <v>0</v>
      </c>
      <c r="G2298" s="112" t="b">
        <v>0</v>
      </c>
    </row>
    <row r="2299" spans="1:7" ht="15">
      <c r="A2299" s="112" t="s">
        <v>2092</v>
      </c>
      <c r="B2299" s="112">
        <v>6</v>
      </c>
      <c r="C2299" s="114">
        <v>0.0035025562657928443</v>
      </c>
      <c r="D2299" s="112" t="s">
        <v>2054</v>
      </c>
      <c r="E2299" s="112" t="b">
        <v>0</v>
      </c>
      <c r="F2299" s="112" t="b">
        <v>0</v>
      </c>
      <c r="G2299" s="112" t="b">
        <v>0</v>
      </c>
    </row>
    <row r="2300" spans="1:7" ht="15">
      <c r="A2300" s="112" t="s">
        <v>2308</v>
      </c>
      <c r="B2300" s="112">
        <v>6</v>
      </c>
      <c r="C2300" s="114">
        <v>0.0042951650837478985</v>
      </c>
      <c r="D2300" s="112" t="s">
        <v>2054</v>
      </c>
      <c r="E2300" s="112" t="b">
        <v>0</v>
      </c>
      <c r="F2300" s="112" t="b">
        <v>0</v>
      </c>
      <c r="G2300" s="112" t="b">
        <v>0</v>
      </c>
    </row>
    <row r="2301" spans="1:7" ht="15">
      <c r="A2301" s="112" t="s">
        <v>2126</v>
      </c>
      <c r="B2301" s="112">
        <v>5</v>
      </c>
      <c r="C2301" s="114">
        <v>0.0032158008118202117</v>
      </c>
      <c r="D2301" s="112" t="s">
        <v>2054</v>
      </c>
      <c r="E2301" s="112" t="b">
        <v>0</v>
      </c>
      <c r="F2301" s="112" t="b">
        <v>0</v>
      </c>
      <c r="G2301" s="112" t="b">
        <v>0</v>
      </c>
    </row>
    <row r="2302" spans="1:7" ht="15">
      <c r="A2302" s="112" t="s">
        <v>2404</v>
      </c>
      <c r="B2302" s="112">
        <v>5</v>
      </c>
      <c r="C2302" s="114">
        <v>0.0032158008118202117</v>
      </c>
      <c r="D2302" s="112" t="s">
        <v>2054</v>
      </c>
      <c r="E2302" s="112" t="b">
        <v>0</v>
      </c>
      <c r="F2302" s="112" t="b">
        <v>1</v>
      </c>
      <c r="G2302" s="112" t="b">
        <v>0</v>
      </c>
    </row>
    <row r="2303" spans="1:7" ht="15">
      <c r="A2303" s="112" t="s">
        <v>1390</v>
      </c>
      <c r="B2303" s="112">
        <v>5</v>
      </c>
      <c r="C2303" s="114">
        <v>0.0035793042364565823</v>
      </c>
      <c r="D2303" s="112" t="s">
        <v>2054</v>
      </c>
      <c r="E2303" s="112" t="b">
        <v>0</v>
      </c>
      <c r="F2303" s="112" t="b">
        <v>0</v>
      </c>
      <c r="G2303" s="112" t="b">
        <v>0</v>
      </c>
    </row>
    <row r="2304" spans="1:7" ht="15">
      <c r="A2304" s="112" t="s">
        <v>2451</v>
      </c>
      <c r="B2304" s="112">
        <v>5</v>
      </c>
      <c r="C2304" s="114">
        <v>0.004708449006388994</v>
      </c>
      <c r="D2304" s="112" t="s">
        <v>2054</v>
      </c>
      <c r="E2304" s="112" t="b">
        <v>0</v>
      </c>
      <c r="F2304" s="112" t="b">
        <v>0</v>
      </c>
      <c r="G2304" s="112" t="b">
        <v>0</v>
      </c>
    </row>
    <row r="2305" spans="1:7" ht="15">
      <c r="A2305" s="112" t="s">
        <v>2449</v>
      </c>
      <c r="B2305" s="112">
        <v>5</v>
      </c>
      <c r="C2305" s="114">
        <v>0.004708449006388994</v>
      </c>
      <c r="D2305" s="112" t="s">
        <v>2054</v>
      </c>
      <c r="E2305" s="112" t="b">
        <v>0</v>
      </c>
      <c r="F2305" s="112" t="b">
        <v>0</v>
      </c>
      <c r="G2305" s="112" t="b">
        <v>0</v>
      </c>
    </row>
    <row r="2306" spans="1:7" ht="15">
      <c r="A2306" s="112" t="s">
        <v>2321</v>
      </c>
      <c r="B2306" s="112">
        <v>5</v>
      </c>
      <c r="C2306" s="114">
        <v>0.004047941658093117</v>
      </c>
      <c r="D2306" s="112" t="s">
        <v>2054</v>
      </c>
      <c r="E2306" s="112" t="b">
        <v>0</v>
      </c>
      <c r="F2306" s="112" t="b">
        <v>0</v>
      </c>
      <c r="G2306" s="112" t="b">
        <v>0</v>
      </c>
    </row>
    <row r="2307" spans="1:7" ht="15">
      <c r="A2307" s="112" t="s">
        <v>2225</v>
      </c>
      <c r="B2307" s="112">
        <v>4</v>
      </c>
      <c r="C2307" s="114">
        <v>0.0028634433891652662</v>
      </c>
      <c r="D2307" s="112" t="s">
        <v>2054</v>
      </c>
      <c r="E2307" s="112" t="b">
        <v>0</v>
      </c>
      <c r="F2307" s="112" t="b">
        <v>0</v>
      </c>
      <c r="G2307" s="112" t="b">
        <v>0</v>
      </c>
    </row>
    <row r="2308" spans="1:7" ht="15">
      <c r="A2308" s="112" t="s">
        <v>2081</v>
      </c>
      <c r="B2308" s="112">
        <v>4</v>
      </c>
      <c r="C2308" s="114">
        <v>0.003766759205111196</v>
      </c>
      <c r="D2308" s="112" t="s">
        <v>2054</v>
      </c>
      <c r="E2308" s="112" t="b">
        <v>0</v>
      </c>
      <c r="F2308" s="112" t="b">
        <v>0</v>
      </c>
      <c r="G2308" s="112" t="b">
        <v>0</v>
      </c>
    </row>
    <row r="2309" spans="1:7" ht="15">
      <c r="A2309" s="112" t="s">
        <v>2193</v>
      </c>
      <c r="B2309" s="112">
        <v>4</v>
      </c>
      <c r="C2309" s="114">
        <v>0.0028634433891652662</v>
      </c>
      <c r="D2309" s="112" t="s">
        <v>2054</v>
      </c>
      <c r="E2309" s="112" t="b">
        <v>0</v>
      </c>
      <c r="F2309" s="112" t="b">
        <v>0</v>
      </c>
      <c r="G2309" s="112" t="b">
        <v>0</v>
      </c>
    </row>
    <row r="2310" spans="1:7" ht="15">
      <c r="A2310" s="112" t="s">
        <v>2095</v>
      </c>
      <c r="B2310" s="112">
        <v>4</v>
      </c>
      <c r="C2310" s="114">
        <v>0.003766759205111196</v>
      </c>
      <c r="D2310" s="112" t="s">
        <v>2054</v>
      </c>
      <c r="E2310" s="112" t="b">
        <v>0</v>
      </c>
      <c r="F2310" s="112" t="b">
        <v>0</v>
      </c>
      <c r="G2310" s="112" t="b">
        <v>0</v>
      </c>
    </row>
    <row r="2311" spans="1:7" ht="15">
      <c r="A2311" s="112" t="s">
        <v>2189</v>
      </c>
      <c r="B2311" s="112">
        <v>4</v>
      </c>
      <c r="C2311" s="114">
        <v>0.0028634433891652662</v>
      </c>
      <c r="D2311" s="112" t="s">
        <v>2054</v>
      </c>
      <c r="E2311" s="112" t="b">
        <v>0</v>
      </c>
      <c r="F2311" s="112" t="b">
        <v>0</v>
      </c>
      <c r="G2311" s="112" t="b">
        <v>0</v>
      </c>
    </row>
    <row r="2312" spans="1:7" ht="15">
      <c r="A2312" s="112" t="s">
        <v>2096</v>
      </c>
      <c r="B2312" s="112">
        <v>4</v>
      </c>
      <c r="C2312" s="114">
        <v>0.0032383533264744935</v>
      </c>
      <c r="D2312" s="112" t="s">
        <v>2054</v>
      </c>
      <c r="E2312" s="112" t="b">
        <v>0</v>
      </c>
      <c r="F2312" s="112" t="b">
        <v>0</v>
      </c>
      <c r="G2312" s="112" t="b">
        <v>0</v>
      </c>
    </row>
    <row r="2313" spans="1:7" ht="15">
      <c r="A2313" s="112" t="s">
        <v>2165</v>
      </c>
      <c r="B2313" s="112">
        <v>4</v>
      </c>
      <c r="C2313" s="114">
        <v>0.0032383533264744935</v>
      </c>
      <c r="D2313" s="112" t="s">
        <v>2054</v>
      </c>
      <c r="E2313" s="112" t="b">
        <v>0</v>
      </c>
      <c r="F2313" s="112" t="b">
        <v>0</v>
      </c>
      <c r="G2313" s="112" t="b">
        <v>0</v>
      </c>
    </row>
    <row r="2314" spans="1:7" ht="15">
      <c r="A2314" s="112" t="s">
        <v>2086</v>
      </c>
      <c r="B2314" s="112">
        <v>4</v>
      </c>
      <c r="C2314" s="114">
        <v>0.003766759205111196</v>
      </c>
      <c r="D2314" s="112" t="s">
        <v>2054</v>
      </c>
      <c r="E2314" s="112" t="b">
        <v>0</v>
      </c>
      <c r="F2314" s="112" t="b">
        <v>0</v>
      </c>
      <c r="G2314" s="112" t="b">
        <v>0</v>
      </c>
    </row>
    <row r="2315" spans="1:7" ht="15">
      <c r="A2315" s="112" t="s">
        <v>2542</v>
      </c>
      <c r="B2315" s="112">
        <v>4</v>
      </c>
      <c r="C2315" s="114">
        <v>0.004670075021057127</v>
      </c>
      <c r="D2315" s="112" t="s">
        <v>2054</v>
      </c>
      <c r="E2315" s="112" t="b">
        <v>0</v>
      </c>
      <c r="F2315" s="112" t="b">
        <v>0</v>
      </c>
      <c r="G2315" s="112" t="b">
        <v>0</v>
      </c>
    </row>
    <row r="2316" spans="1:7" ht="15">
      <c r="A2316" s="112" t="s">
        <v>2540</v>
      </c>
      <c r="B2316" s="112">
        <v>4</v>
      </c>
      <c r="C2316" s="114">
        <v>0.003766759205111196</v>
      </c>
      <c r="D2316" s="112" t="s">
        <v>2054</v>
      </c>
      <c r="E2316" s="112" t="b">
        <v>0</v>
      </c>
      <c r="F2316" s="112" t="b">
        <v>0</v>
      </c>
      <c r="G2316" s="112" t="b">
        <v>0</v>
      </c>
    </row>
    <row r="2317" spans="1:7" ht="15">
      <c r="A2317" s="112" t="s">
        <v>2450</v>
      </c>
      <c r="B2317" s="112">
        <v>4</v>
      </c>
      <c r="C2317" s="114">
        <v>0.0028634433891652662</v>
      </c>
      <c r="D2317" s="112" t="s">
        <v>2054</v>
      </c>
      <c r="E2317" s="112" t="b">
        <v>0</v>
      </c>
      <c r="F2317" s="112" t="b">
        <v>1</v>
      </c>
      <c r="G2317" s="112" t="b">
        <v>0</v>
      </c>
    </row>
    <row r="2318" spans="1:7" ht="15">
      <c r="A2318" s="112" t="s">
        <v>2358</v>
      </c>
      <c r="B2318" s="112">
        <v>4</v>
      </c>
      <c r="C2318" s="114">
        <v>0.0028634433891652662</v>
      </c>
      <c r="D2318" s="112" t="s">
        <v>2054</v>
      </c>
      <c r="E2318" s="112" t="b">
        <v>0</v>
      </c>
      <c r="F2318" s="112" t="b">
        <v>0</v>
      </c>
      <c r="G2318" s="112" t="b">
        <v>0</v>
      </c>
    </row>
    <row r="2319" spans="1:7" ht="15">
      <c r="A2319" s="112" t="s">
        <v>2405</v>
      </c>
      <c r="B2319" s="112">
        <v>4</v>
      </c>
      <c r="C2319" s="114">
        <v>0.003766759205111196</v>
      </c>
      <c r="D2319" s="112" t="s">
        <v>2054</v>
      </c>
      <c r="E2319" s="112" t="b">
        <v>0</v>
      </c>
      <c r="F2319" s="112" t="b">
        <v>0</v>
      </c>
      <c r="G2319" s="112" t="b">
        <v>0</v>
      </c>
    </row>
    <row r="2320" spans="1:7" ht="15">
      <c r="A2320" s="112" t="s">
        <v>2317</v>
      </c>
      <c r="B2320" s="112">
        <v>4</v>
      </c>
      <c r="C2320" s="114">
        <v>0.003766759205111196</v>
      </c>
      <c r="D2320" s="112" t="s">
        <v>2054</v>
      </c>
      <c r="E2320" s="112" t="b">
        <v>0</v>
      </c>
      <c r="F2320" s="112" t="b">
        <v>0</v>
      </c>
      <c r="G2320" s="112" t="b">
        <v>0</v>
      </c>
    </row>
    <row r="2321" spans="1:7" ht="15">
      <c r="A2321" s="112" t="s">
        <v>2537</v>
      </c>
      <c r="B2321" s="112">
        <v>4</v>
      </c>
      <c r="C2321" s="114">
        <v>0.0032383533264744935</v>
      </c>
      <c r="D2321" s="112" t="s">
        <v>2054</v>
      </c>
      <c r="E2321" s="112" t="b">
        <v>0</v>
      </c>
      <c r="F2321" s="112" t="b">
        <v>0</v>
      </c>
      <c r="G2321" s="112" t="b">
        <v>0</v>
      </c>
    </row>
    <row r="2322" spans="1:7" ht="15">
      <c r="A2322" s="112" t="s">
        <v>2536</v>
      </c>
      <c r="B2322" s="112">
        <v>4</v>
      </c>
      <c r="C2322" s="114">
        <v>0.003766759205111196</v>
      </c>
      <c r="D2322" s="112" t="s">
        <v>2054</v>
      </c>
      <c r="E2322" s="112" t="b">
        <v>0</v>
      </c>
      <c r="F2322" s="112" t="b">
        <v>0</v>
      </c>
      <c r="G2322" s="112" t="b">
        <v>0</v>
      </c>
    </row>
    <row r="2323" spans="1:7" ht="15">
      <c r="A2323" s="112" t="s">
        <v>2539</v>
      </c>
      <c r="B2323" s="112">
        <v>4</v>
      </c>
      <c r="C2323" s="114">
        <v>0.003766759205111196</v>
      </c>
      <c r="D2323" s="112" t="s">
        <v>2054</v>
      </c>
      <c r="E2323" s="112" t="b">
        <v>0</v>
      </c>
      <c r="F2323" s="112" t="b">
        <v>0</v>
      </c>
      <c r="G2323" s="112" t="b">
        <v>0</v>
      </c>
    </row>
    <row r="2324" spans="1:7" ht="15">
      <c r="A2324" s="112" t="s">
        <v>2195</v>
      </c>
      <c r="B2324" s="112">
        <v>3</v>
      </c>
      <c r="C2324" s="114">
        <v>0.00242876499485587</v>
      </c>
      <c r="D2324" s="112" t="s">
        <v>2054</v>
      </c>
      <c r="E2324" s="112" t="b">
        <v>0</v>
      </c>
      <c r="F2324" s="112" t="b">
        <v>0</v>
      </c>
      <c r="G2324" s="112" t="b">
        <v>0</v>
      </c>
    </row>
    <row r="2325" spans="1:7" ht="15">
      <c r="A2325" s="112" t="s">
        <v>2224</v>
      </c>
      <c r="B2325" s="112">
        <v>3</v>
      </c>
      <c r="C2325" s="114">
        <v>0.00242876499485587</v>
      </c>
      <c r="D2325" s="112" t="s">
        <v>2054</v>
      </c>
      <c r="E2325" s="112" t="b">
        <v>0</v>
      </c>
      <c r="F2325" s="112" t="b">
        <v>0</v>
      </c>
      <c r="G2325" s="112" t="b">
        <v>0</v>
      </c>
    </row>
    <row r="2326" spans="1:7" ht="15">
      <c r="A2326" s="112" t="s">
        <v>2152</v>
      </c>
      <c r="B2326" s="112">
        <v>3</v>
      </c>
      <c r="C2326" s="114">
        <v>0.0028250694038333968</v>
      </c>
      <c r="D2326" s="112" t="s">
        <v>2054</v>
      </c>
      <c r="E2326" s="112" t="b">
        <v>0</v>
      </c>
      <c r="F2326" s="112" t="b">
        <v>0</v>
      </c>
      <c r="G2326" s="112" t="b">
        <v>0</v>
      </c>
    </row>
    <row r="2327" spans="1:7" ht="15">
      <c r="A2327" s="112" t="s">
        <v>2106</v>
      </c>
      <c r="B2327" s="112">
        <v>3</v>
      </c>
      <c r="C2327" s="114">
        <v>0.00242876499485587</v>
      </c>
      <c r="D2327" s="112" t="s">
        <v>2054</v>
      </c>
      <c r="E2327" s="112" t="b">
        <v>0</v>
      </c>
      <c r="F2327" s="112" t="b">
        <v>0</v>
      </c>
      <c r="G2327" s="112" t="b">
        <v>0</v>
      </c>
    </row>
    <row r="2328" spans="1:7" ht="15">
      <c r="A2328" s="112" t="s">
        <v>2329</v>
      </c>
      <c r="B2328" s="112">
        <v>3</v>
      </c>
      <c r="C2328" s="114">
        <v>0.0035025562657928443</v>
      </c>
      <c r="D2328" s="112" t="s">
        <v>2054</v>
      </c>
      <c r="E2328" s="112" t="b">
        <v>0</v>
      </c>
      <c r="F2328" s="112" t="b">
        <v>0</v>
      </c>
      <c r="G2328" s="112" t="b">
        <v>0</v>
      </c>
    </row>
    <row r="2329" spans="1:7" ht="15">
      <c r="A2329" s="112" t="s">
        <v>2410</v>
      </c>
      <c r="B2329" s="112">
        <v>3</v>
      </c>
      <c r="C2329" s="114">
        <v>0.0035025562657928443</v>
      </c>
      <c r="D2329" s="112" t="s">
        <v>2054</v>
      </c>
      <c r="E2329" s="112" t="b">
        <v>0</v>
      </c>
      <c r="F2329" s="112" t="b">
        <v>0</v>
      </c>
      <c r="G2329" s="112" t="b">
        <v>0</v>
      </c>
    </row>
    <row r="2330" spans="1:7" ht="15">
      <c r="A2330" s="112" t="s">
        <v>2154</v>
      </c>
      <c r="B2330" s="112">
        <v>3</v>
      </c>
      <c r="C2330" s="114">
        <v>0.0028250694038333968</v>
      </c>
      <c r="D2330" s="112" t="s">
        <v>2054</v>
      </c>
      <c r="E2330" s="112" t="b">
        <v>0</v>
      </c>
      <c r="F2330" s="112" t="b">
        <v>0</v>
      </c>
      <c r="G2330" s="112" t="b">
        <v>0</v>
      </c>
    </row>
    <row r="2331" spans="1:7" ht="15">
      <c r="A2331" s="112" t="s">
        <v>2671</v>
      </c>
      <c r="B2331" s="112">
        <v>3</v>
      </c>
      <c r="C2331" s="114">
        <v>0.0028250694038333968</v>
      </c>
      <c r="D2331" s="112" t="s">
        <v>2054</v>
      </c>
      <c r="E2331" s="112" t="b">
        <v>0</v>
      </c>
      <c r="F2331" s="112" t="b">
        <v>0</v>
      </c>
      <c r="G2331" s="112" t="b">
        <v>0</v>
      </c>
    </row>
    <row r="2332" spans="1:7" ht="15">
      <c r="A2332" s="112" t="s">
        <v>2676</v>
      </c>
      <c r="B2332" s="112">
        <v>3</v>
      </c>
      <c r="C2332" s="114">
        <v>0.0028250694038333968</v>
      </c>
      <c r="D2332" s="112" t="s">
        <v>2054</v>
      </c>
      <c r="E2332" s="112" t="b">
        <v>0</v>
      </c>
      <c r="F2332" s="112" t="b">
        <v>0</v>
      </c>
      <c r="G2332" s="112" t="b">
        <v>0</v>
      </c>
    </row>
    <row r="2333" spans="1:7" ht="15">
      <c r="A2333" s="112" t="s">
        <v>2204</v>
      </c>
      <c r="B2333" s="112">
        <v>3</v>
      </c>
      <c r="C2333" s="114">
        <v>0.00242876499485587</v>
      </c>
      <c r="D2333" s="112" t="s">
        <v>2054</v>
      </c>
      <c r="E2333" s="112" t="b">
        <v>0</v>
      </c>
      <c r="F2333" s="112" t="b">
        <v>0</v>
      </c>
      <c r="G2333" s="112" t="b">
        <v>0</v>
      </c>
    </row>
    <row r="2334" spans="1:7" ht="15">
      <c r="A2334" s="112" t="s">
        <v>2408</v>
      </c>
      <c r="B2334" s="112">
        <v>3</v>
      </c>
      <c r="C2334" s="114">
        <v>0.0035025562657928443</v>
      </c>
      <c r="D2334" s="112" t="s">
        <v>2054</v>
      </c>
      <c r="E2334" s="112" t="b">
        <v>0</v>
      </c>
      <c r="F2334" s="112" t="b">
        <v>0</v>
      </c>
      <c r="G2334" s="112" t="b">
        <v>0</v>
      </c>
    </row>
    <row r="2335" spans="1:7" ht="15">
      <c r="A2335" s="112" t="s">
        <v>2683</v>
      </c>
      <c r="B2335" s="112">
        <v>3</v>
      </c>
      <c r="C2335" s="114">
        <v>0.0035025562657928443</v>
      </c>
      <c r="D2335" s="112" t="s">
        <v>2054</v>
      </c>
      <c r="E2335" s="112" t="b">
        <v>0</v>
      </c>
      <c r="F2335" s="112" t="b">
        <v>0</v>
      </c>
      <c r="G2335" s="112" t="b">
        <v>0</v>
      </c>
    </row>
    <row r="2336" spans="1:7" ht="15">
      <c r="A2336" s="112" t="s">
        <v>2181</v>
      </c>
      <c r="B2336" s="112">
        <v>3</v>
      </c>
      <c r="C2336" s="114">
        <v>0.0035025562657928443</v>
      </c>
      <c r="D2336" s="112" t="s">
        <v>2054</v>
      </c>
      <c r="E2336" s="112" t="b">
        <v>1</v>
      </c>
      <c r="F2336" s="112" t="b">
        <v>0</v>
      </c>
      <c r="G2336" s="112" t="b">
        <v>0</v>
      </c>
    </row>
    <row r="2337" spans="1:7" ht="15">
      <c r="A2337" s="112" t="s">
        <v>2360</v>
      </c>
      <c r="B2337" s="112">
        <v>3</v>
      </c>
      <c r="C2337" s="114">
        <v>0.0035025562657928443</v>
      </c>
      <c r="D2337" s="112" t="s">
        <v>2054</v>
      </c>
      <c r="E2337" s="112" t="b">
        <v>0</v>
      </c>
      <c r="F2337" s="112" t="b">
        <v>0</v>
      </c>
      <c r="G2337" s="112" t="b">
        <v>0</v>
      </c>
    </row>
    <row r="2338" spans="1:7" ht="15">
      <c r="A2338" s="112" t="s">
        <v>2681</v>
      </c>
      <c r="B2338" s="112">
        <v>3</v>
      </c>
      <c r="C2338" s="114">
        <v>0.0035025562657928443</v>
      </c>
      <c r="D2338" s="112" t="s">
        <v>2054</v>
      </c>
      <c r="E2338" s="112" t="b">
        <v>0</v>
      </c>
      <c r="F2338" s="112" t="b">
        <v>0</v>
      </c>
      <c r="G2338" s="112" t="b">
        <v>0</v>
      </c>
    </row>
    <row r="2339" spans="1:7" ht="15">
      <c r="A2339" s="112" t="s">
        <v>2541</v>
      </c>
      <c r="B2339" s="112">
        <v>3</v>
      </c>
      <c r="C2339" s="114">
        <v>0.0035025562657928443</v>
      </c>
      <c r="D2339" s="112" t="s">
        <v>2054</v>
      </c>
      <c r="E2339" s="112" t="b">
        <v>0</v>
      </c>
      <c r="F2339" s="112" t="b">
        <v>1</v>
      </c>
      <c r="G2339" s="112" t="b">
        <v>0</v>
      </c>
    </row>
    <row r="2340" spans="1:7" ht="15">
      <c r="A2340" s="112" t="s">
        <v>2664</v>
      </c>
      <c r="B2340" s="112">
        <v>3</v>
      </c>
      <c r="C2340" s="114">
        <v>0.00242876499485587</v>
      </c>
      <c r="D2340" s="112" t="s">
        <v>2054</v>
      </c>
      <c r="E2340" s="112" t="b">
        <v>0</v>
      </c>
      <c r="F2340" s="112" t="b">
        <v>0</v>
      </c>
      <c r="G2340" s="112" t="b">
        <v>0</v>
      </c>
    </row>
    <row r="2341" spans="1:7" ht="15">
      <c r="A2341" s="112" t="s">
        <v>2678</v>
      </c>
      <c r="B2341" s="112">
        <v>3</v>
      </c>
      <c r="C2341" s="114">
        <v>0.0035025562657928443</v>
      </c>
      <c r="D2341" s="112" t="s">
        <v>2054</v>
      </c>
      <c r="E2341" s="112" t="b">
        <v>1</v>
      </c>
      <c r="F2341" s="112" t="b">
        <v>0</v>
      </c>
      <c r="G2341" s="112" t="b">
        <v>0</v>
      </c>
    </row>
    <row r="2342" spans="1:7" ht="15">
      <c r="A2342" s="112" t="s">
        <v>2669</v>
      </c>
      <c r="B2342" s="112">
        <v>3</v>
      </c>
      <c r="C2342" s="114">
        <v>0.0028250694038333968</v>
      </c>
      <c r="D2342" s="112" t="s">
        <v>2054</v>
      </c>
      <c r="E2342" s="112" t="b">
        <v>0</v>
      </c>
      <c r="F2342" s="112" t="b">
        <v>0</v>
      </c>
      <c r="G2342" s="112" t="b">
        <v>0</v>
      </c>
    </row>
    <row r="2343" spans="1:7" ht="15">
      <c r="A2343" s="112" t="s">
        <v>2667</v>
      </c>
      <c r="B2343" s="112">
        <v>3</v>
      </c>
      <c r="C2343" s="114">
        <v>0.00242876499485587</v>
      </c>
      <c r="D2343" s="112" t="s">
        <v>2054</v>
      </c>
      <c r="E2343" s="112" t="b">
        <v>0</v>
      </c>
      <c r="F2343" s="112" t="b">
        <v>0</v>
      </c>
      <c r="G2343" s="112" t="b">
        <v>0</v>
      </c>
    </row>
    <row r="2344" spans="1:7" ht="15">
      <c r="A2344" s="112" t="s">
        <v>2217</v>
      </c>
      <c r="B2344" s="112">
        <v>3</v>
      </c>
      <c r="C2344" s="114">
        <v>0.00242876499485587</v>
      </c>
      <c r="D2344" s="112" t="s">
        <v>2054</v>
      </c>
      <c r="E2344" s="112" t="b">
        <v>0</v>
      </c>
      <c r="F2344" s="112" t="b">
        <v>1</v>
      </c>
      <c r="G2344" s="112" t="b">
        <v>0</v>
      </c>
    </row>
    <row r="2345" spans="1:7" ht="15">
      <c r="A2345" s="112" t="s">
        <v>2666</v>
      </c>
      <c r="B2345" s="112">
        <v>3</v>
      </c>
      <c r="C2345" s="114">
        <v>0.00242876499485587</v>
      </c>
      <c r="D2345" s="112" t="s">
        <v>2054</v>
      </c>
      <c r="E2345" s="112" t="b">
        <v>0</v>
      </c>
      <c r="F2345" s="112" t="b">
        <v>1</v>
      </c>
      <c r="G2345" s="112" t="b">
        <v>0</v>
      </c>
    </row>
    <row r="2346" spans="1:7" ht="15">
      <c r="A2346" s="112" t="s">
        <v>2326</v>
      </c>
      <c r="B2346" s="112">
        <v>2</v>
      </c>
      <c r="C2346" s="114">
        <v>0.001883379602555598</v>
      </c>
      <c r="D2346" s="112" t="s">
        <v>2054</v>
      </c>
      <c r="E2346" s="112" t="b">
        <v>0</v>
      </c>
      <c r="F2346" s="112" t="b">
        <v>0</v>
      </c>
      <c r="G2346" s="112" t="b">
        <v>0</v>
      </c>
    </row>
    <row r="2347" spans="1:7" ht="15">
      <c r="A2347" s="112" t="s">
        <v>2291</v>
      </c>
      <c r="B2347" s="112">
        <v>2</v>
      </c>
      <c r="C2347" s="114">
        <v>0.001883379602555598</v>
      </c>
      <c r="D2347" s="112" t="s">
        <v>2054</v>
      </c>
      <c r="E2347" s="112" t="b">
        <v>0</v>
      </c>
      <c r="F2347" s="112" t="b">
        <v>0</v>
      </c>
      <c r="G2347" s="112" t="b">
        <v>0</v>
      </c>
    </row>
    <row r="2348" spans="1:7" ht="15">
      <c r="A2348" s="112" t="s">
        <v>2292</v>
      </c>
      <c r="B2348" s="112">
        <v>2</v>
      </c>
      <c r="C2348" s="114">
        <v>0.001883379602555598</v>
      </c>
      <c r="D2348" s="112" t="s">
        <v>2054</v>
      </c>
      <c r="E2348" s="112" t="b">
        <v>0</v>
      </c>
      <c r="F2348" s="112" t="b">
        <v>0</v>
      </c>
      <c r="G2348" s="112" t="b">
        <v>0</v>
      </c>
    </row>
    <row r="2349" spans="1:7" ht="15">
      <c r="A2349" s="112" t="s">
        <v>2131</v>
      </c>
      <c r="B2349" s="112">
        <v>2</v>
      </c>
      <c r="C2349" s="114">
        <v>0.001883379602555598</v>
      </c>
      <c r="D2349" s="112" t="s">
        <v>2054</v>
      </c>
      <c r="E2349" s="112" t="b">
        <v>0</v>
      </c>
      <c r="F2349" s="112" t="b">
        <v>0</v>
      </c>
      <c r="G2349" s="112" t="b">
        <v>0</v>
      </c>
    </row>
    <row r="2350" spans="1:7" ht="15">
      <c r="A2350" s="112" t="s">
        <v>2330</v>
      </c>
      <c r="B2350" s="112">
        <v>2</v>
      </c>
      <c r="C2350" s="114">
        <v>0.0023350375105285633</v>
      </c>
      <c r="D2350" s="112" t="s">
        <v>2054</v>
      </c>
      <c r="E2350" s="112" t="b">
        <v>0</v>
      </c>
      <c r="F2350" s="112" t="b">
        <v>1</v>
      </c>
      <c r="G2350" s="112" t="b">
        <v>0</v>
      </c>
    </row>
    <row r="2351" spans="1:7" ht="15">
      <c r="A2351" s="112" t="s">
        <v>2452</v>
      </c>
      <c r="B2351" s="112">
        <v>2</v>
      </c>
      <c r="C2351" s="114">
        <v>0.001883379602555598</v>
      </c>
      <c r="D2351" s="112" t="s">
        <v>2054</v>
      </c>
      <c r="E2351" s="112" t="b">
        <v>0</v>
      </c>
      <c r="F2351" s="112" t="b">
        <v>0</v>
      </c>
      <c r="G2351" s="112" t="b">
        <v>0</v>
      </c>
    </row>
    <row r="2352" spans="1:7" ht="15">
      <c r="A2352" s="112" t="s">
        <v>2268</v>
      </c>
      <c r="B2352" s="112">
        <v>2</v>
      </c>
      <c r="C2352" s="114">
        <v>0.0023350375105285633</v>
      </c>
      <c r="D2352" s="112" t="s">
        <v>2054</v>
      </c>
      <c r="E2352" s="112" t="b">
        <v>0</v>
      </c>
      <c r="F2352" s="112" t="b">
        <v>0</v>
      </c>
      <c r="G2352" s="112" t="b">
        <v>0</v>
      </c>
    </row>
    <row r="2353" spans="1:7" ht="15">
      <c r="A2353" s="112" t="s">
        <v>2290</v>
      </c>
      <c r="B2353" s="112">
        <v>2</v>
      </c>
      <c r="C2353" s="114">
        <v>0.001883379602555598</v>
      </c>
      <c r="D2353" s="112" t="s">
        <v>2054</v>
      </c>
      <c r="E2353" s="112" t="b">
        <v>0</v>
      </c>
      <c r="F2353" s="112" t="b">
        <v>1</v>
      </c>
      <c r="G2353" s="112" t="b">
        <v>0</v>
      </c>
    </row>
    <row r="2354" spans="1:7" ht="15">
      <c r="A2354" s="112" t="s">
        <v>2175</v>
      </c>
      <c r="B2354" s="112">
        <v>2</v>
      </c>
      <c r="C2354" s="114">
        <v>0.001883379602555598</v>
      </c>
      <c r="D2354" s="112" t="s">
        <v>2054</v>
      </c>
      <c r="E2354" s="112" t="b">
        <v>0</v>
      </c>
      <c r="F2354" s="112" t="b">
        <v>0</v>
      </c>
      <c r="G2354" s="112" t="b">
        <v>0</v>
      </c>
    </row>
    <row r="2355" spans="1:7" ht="15">
      <c r="A2355" s="112" t="s">
        <v>2289</v>
      </c>
      <c r="B2355" s="112">
        <v>2</v>
      </c>
      <c r="C2355" s="114">
        <v>0.001883379602555598</v>
      </c>
      <c r="D2355" s="112" t="s">
        <v>2054</v>
      </c>
      <c r="E2355" s="112" t="b">
        <v>0</v>
      </c>
      <c r="F2355" s="112" t="b">
        <v>0</v>
      </c>
      <c r="G2355" s="112" t="b">
        <v>0</v>
      </c>
    </row>
    <row r="2356" spans="1:7" ht="15">
      <c r="A2356" s="112" t="s">
        <v>2311</v>
      </c>
      <c r="B2356" s="112">
        <v>2</v>
      </c>
      <c r="C2356" s="114">
        <v>0.001883379602555598</v>
      </c>
      <c r="D2356" s="112" t="s">
        <v>2054</v>
      </c>
      <c r="E2356" s="112" t="b">
        <v>0</v>
      </c>
      <c r="F2356" s="112" t="b">
        <v>0</v>
      </c>
      <c r="G2356" s="112" t="b">
        <v>0</v>
      </c>
    </row>
    <row r="2357" spans="1:7" ht="15">
      <c r="A2357" s="112" t="s">
        <v>2403</v>
      </c>
      <c r="B2357" s="112">
        <v>2</v>
      </c>
      <c r="C2357" s="114">
        <v>0.001883379602555598</v>
      </c>
      <c r="D2357" s="112" t="s">
        <v>2054</v>
      </c>
      <c r="E2357" s="112" t="b">
        <v>0</v>
      </c>
      <c r="F2357" s="112" t="b">
        <v>0</v>
      </c>
      <c r="G2357" s="112" t="b">
        <v>0</v>
      </c>
    </row>
    <row r="2358" spans="1:7" ht="15">
      <c r="A2358" s="112" t="s">
        <v>2887</v>
      </c>
      <c r="B2358" s="112">
        <v>2</v>
      </c>
      <c r="C2358" s="114">
        <v>0.001883379602555598</v>
      </c>
      <c r="D2358" s="112" t="s">
        <v>2054</v>
      </c>
      <c r="E2358" s="112" t="b">
        <v>1</v>
      </c>
      <c r="F2358" s="112" t="b">
        <v>0</v>
      </c>
      <c r="G2358" s="112" t="b">
        <v>0</v>
      </c>
    </row>
    <row r="2359" spans="1:7" ht="15">
      <c r="A2359" s="112" t="s">
        <v>2888</v>
      </c>
      <c r="B2359" s="112">
        <v>2</v>
      </c>
      <c r="C2359" s="114">
        <v>0.001883379602555598</v>
      </c>
      <c r="D2359" s="112" t="s">
        <v>2054</v>
      </c>
      <c r="E2359" s="112" t="b">
        <v>0</v>
      </c>
      <c r="F2359" s="112" t="b">
        <v>0</v>
      </c>
      <c r="G2359" s="112" t="b">
        <v>0</v>
      </c>
    </row>
    <row r="2360" spans="1:7" ht="15">
      <c r="A2360" s="112" t="s">
        <v>2277</v>
      </c>
      <c r="B2360" s="112">
        <v>2</v>
      </c>
      <c r="C2360" s="114">
        <v>0.001883379602555598</v>
      </c>
      <c r="D2360" s="112" t="s">
        <v>2054</v>
      </c>
      <c r="E2360" s="112" t="b">
        <v>0</v>
      </c>
      <c r="F2360" s="112" t="b">
        <v>0</v>
      </c>
      <c r="G2360" s="112" t="b">
        <v>0</v>
      </c>
    </row>
    <row r="2361" spans="1:7" ht="15">
      <c r="A2361" s="112" t="s">
        <v>2261</v>
      </c>
      <c r="B2361" s="112">
        <v>2</v>
      </c>
      <c r="C2361" s="114">
        <v>0.001883379602555598</v>
      </c>
      <c r="D2361" s="112" t="s">
        <v>2054</v>
      </c>
      <c r="E2361" s="112" t="b">
        <v>0</v>
      </c>
      <c r="F2361" s="112" t="b">
        <v>0</v>
      </c>
      <c r="G2361" s="112" t="b">
        <v>0</v>
      </c>
    </row>
    <row r="2362" spans="1:7" ht="15">
      <c r="A2362" s="112" t="s">
        <v>2926</v>
      </c>
      <c r="B2362" s="112">
        <v>2</v>
      </c>
      <c r="C2362" s="114">
        <v>0.001883379602555598</v>
      </c>
      <c r="D2362" s="112" t="s">
        <v>2054</v>
      </c>
      <c r="E2362" s="112" t="b">
        <v>1</v>
      </c>
      <c r="F2362" s="112" t="b">
        <v>0</v>
      </c>
      <c r="G2362" s="112" t="b">
        <v>0</v>
      </c>
    </row>
    <row r="2363" spans="1:7" ht="15">
      <c r="A2363" s="112" t="s">
        <v>2454</v>
      </c>
      <c r="B2363" s="112">
        <v>2</v>
      </c>
      <c r="C2363" s="114">
        <v>0.001883379602555598</v>
      </c>
      <c r="D2363" s="112" t="s">
        <v>2054</v>
      </c>
      <c r="E2363" s="112" t="b">
        <v>0</v>
      </c>
      <c r="F2363" s="112" t="b">
        <v>0</v>
      </c>
      <c r="G2363" s="112" t="b">
        <v>0</v>
      </c>
    </row>
    <row r="2364" spans="1:7" ht="15">
      <c r="A2364" s="112" t="s">
        <v>2899</v>
      </c>
      <c r="B2364" s="112">
        <v>2</v>
      </c>
      <c r="C2364" s="114">
        <v>0.001883379602555598</v>
      </c>
      <c r="D2364" s="112" t="s">
        <v>2054</v>
      </c>
      <c r="E2364" s="112" t="b">
        <v>0</v>
      </c>
      <c r="F2364" s="112" t="b">
        <v>1</v>
      </c>
      <c r="G2364" s="112" t="b">
        <v>0</v>
      </c>
    </row>
    <row r="2365" spans="1:7" ht="15">
      <c r="A2365" s="112" t="s">
        <v>2910</v>
      </c>
      <c r="B2365" s="112">
        <v>2</v>
      </c>
      <c r="C2365" s="114">
        <v>0.001883379602555598</v>
      </c>
      <c r="D2365" s="112" t="s">
        <v>2054</v>
      </c>
      <c r="E2365" s="112" t="b">
        <v>1</v>
      </c>
      <c r="F2365" s="112" t="b">
        <v>0</v>
      </c>
      <c r="G2365" s="112" t="b">
        <v>0</v>
      </c>
    </row>
    <row r="2366" spans="1:7" ht="15">
      <c r="A2366" s="112" t="s">
        <v>2406</v>
      </c>
      <c r="B2366" s="112">
        <v>2</v>
      </c>
      <c r="C2366" s="114">
        <v>0.001883379602555598</v>
      </c>
      <c r="D2366" s="112" t="s">
        <v>2054</v>
      </c>
      <c r="E2366" s="112" t="b">
        <v>0</v>
      </c>
      <c r="F2366" s="112" t="b">
        <v>0</v>
      </c>
      <c r="G2366" s="112" t="b">
        <v>0</v>
      </c>
    </row>
    <row r="2367" spans="1:7" ht="15">
      <c r="A2367" s="112" t="s">
        <v>2911</v>
      </c>
      <c r="B2367" s="112">
        <v>2</v>
      </c>
      <c r="C2367" s="114">
        <v>0.001883379602555598</v>
      </c>
      <c r="D2367" s="112" t="s">
        <v>2054</v>
      </c>
      <c r="E2367" s="112" t="b">
        <v>0</v>
      </c>
      <c r="F2367" s="112" t="b">
        <v>0</v>
      </c>
      <c r="G2367" s="112" t="b">
        <v>0</v>
      </c>
    </row>
    <row r="2368" spans="1:7" ht="15">
      <c r="A2368" s="112" t="s">
        <v>2913</v>
      </c>
      <c r="B2368" s="112">
        <v>2</v>
      </c>
      <c r="C2368" s="114">
        <v>0.001883379602555598</v>
      </c>
      <c r="D2368" s="112" t="s">
        <v>2054</v>
      </c>
      <c r="E2368" s="112" t="b">
        <v>0</v>
      </c>
      <c r="F2368" s="112" t="b">
        <v>1</v>
      </c>
      <c r="G2368" s="112" t="b">
        <v>0</v>
      </c>
    </row>
    <row r="2369" spans="1:7" ht="15">
      <c r="A2369" s="112" t="s">
        <v>2130</v>
      </c>
      <c r="B2369" s="112">
        <v>2</v>
      </c>
      <c r="C2369" s="114">
        <v>0.001883379602555598</v>
      </c>
      <c r="D2369" s="112" t="s">
        <v>2054</v>
      </c>
      <c r="E2369" s="112" t="b">
        <v>0</v>
      </c>
      <c r="F2369" s="112" t="b">
        <v>0</v>
      </c>
      <c r="G2369" s="112" t="b">
        <v>0</v>
      </c>
    </row>
    <row r="2370" spans="1:7" ht="15">
      <c r="A2370" s="112" t="s">
        <v>2670</v>
      </c>
      <c r="B2370" s="112">
        <v>2</v>
      </c>
      <c r="C2370" s="114">
        <v>0.001883379602555598</v>
      </c>
      <c r="D2370" s="112" t="s">
        <v>2054</v>
      </c>
      <c r="E2370" s="112" t="b">
        <v>0</v>
      </c>
      <c r="F2370" s="112" t="b">
        <v>0</v>
      </c>
      <c r="G2370" s="112" t="b">
        <v>0</v>
      </c>
    </row>
    <row r="2371" spans="1:7" ht="15">
      <c r="A2371" s="112" t="s">
        <v>2673</v>
      </c>
      <c r="B2371" s="112">
        <v>2</v>
      </c>
      <c r="C2371" s="114">
        <v>0.001883379602555598</v>
      </c>
      <c r="D2371" s="112" t="s">
        <v>2054</v>
      </c>
      <c r="E2371" s="112" t="b">
        <v>0</v>
      </c>
      <c r="F2371" s="112" t="b">
        <v>0</v>
      </c>
      <c r="G2371" s="112" t="b">
        <v>0</v>
      </c>
    </row>
    <row r="2372" spans="1:7" ht="15">
      <c r="A2372" s="112" t="s">
        <v>2912</v>
      </c>
      <c r="B2372" s="112">
        <v>2</v>
      </c>
      <c r="C2372" s="114">
        <v>0.001883379602555598</v>
      </c>
      <c r="D2372" s="112" t="s">
        <v>2054</v>
      </c>
      <c r="E2372" s="112" t="b">
        <v>0</v>
      </c>
      <c r="F2372" s="112" t="b">
        <v>0</v>
      </c>
      <c r="G2372" s="112" t="b">
        <v>0</v>
      </c>
    </row>
    <row r="2373" spans="1:7" ht="15">
      <c r="A2373" s="112" t="s">
        <v>2132</v>
      </c>
      <c r="B2373" s="112">
        <v>2</v>
      </c>
      <c r="C2373" s="114">
        <v>0.001883379602555598</v>
      </c>
      <c r="D2373" s="112" t="s">
        <v>2054</v>
      </c>
      <c r="E2373" s="112" t="b">
        <v>0</v>
      </c>
      <c r="F2373" s="112" t="b">
        <v>0</v>
      </c>
      <c r="G2373" s="112" t="b">
        <v>0</v>
      </c>
    </row>
    <row r="2374" spans="1:7" ht="15">
      <c r="A2374" s="112" t="s">
        <v>2672</v>
      </c>
      <c r="B2374" s="112">
        <v>2</v>
      </c>
      <c r="C2374" s="114">
        <v>0.001883379602555598</v>
      </c>
      <c r="D2374" s="112" t="s">
        <v>2054</v>
      </c>
      <c r="E2374" s="112" t="b">
        <v>0</v>
      </c>
      <c r="F2374" s="112" t="b">
        <v>1</v>
      </c>
      <c r="G2374" s="112" t="b">
        <v>0</v>
      </c>
    </row>
    <row r="2375" spans="1:7" ht="15">
      <c r="A2375" s="112" t="s">
        <v>2238</v>
      </c>
      <c r="B2375" s="112">
        <v>2</v>
      </c>
      <c r="C2375" s="114">
        <v>0.001883379602555598</v>
      </c>
      <c r="D2375" s="112" t="s">
        <v>2054</v>
      </c>
      <c r="E2375" s="112" t="b">
        <v>0</v>
      </c>
      <c r="F2375" s="112" t="b">
        <v>0</v>
      </c>
      <c r="G2375" s="112" t="b">
        <v>0</v>
      </c>
    </row>
    <row r="2376" spans="1:7" ht="15">
      <c r="A2376" s="112" t="s">
        <v>2150</v>
      </c>
      <c r="B2376" s="112">
        <v>2</v>
      </c>
      <c r="C2376" s="114">
        <v>0.0023350375105285633</v>
      </c>
      <c r="D2376" s="112" t="s">
        <v>2054</v>
      </c>
      <c r="E2376" s="112" t="b">
        <v>0</v>
      </c>
      <c r="F2376" s="112" t="b">
        <v>0</v>
      </c>
      <c r="G2376" s="112" t="b">
        <v>0</v>
      </c>
    </row>
    <row r="2377" spans="1:7" ht="15">
      <c r="A2377" s="112" t="s">
        <v>2313</v>
      </c>
      <c r="B2377" s="112">
        <v>2</v>
      </c>
      <c r="C2377" s="114">
        <v>0.001883379602555598</v>
      </c>
      <c r="D2377" s="112" t="s">
        <v>2054</v>
      </c>
      <c r="E2377" s="112" t="b">
        <v>0</v>
      </c>
      <c r="F2377" s="112" t="b">
        <v>0</v>
      </c>
      <c r="G2377" s="112" t="b">
        <v>0</v>
      </c>
    </row>
    <row r="2378" spans="1:7" ht="15">
      <c r="A2378" s="112" t="s">
        <v>2227</v>
      </c>
      <c r="B2378" s="112">
        <v>2</v>
      </c>
      <c r="C2378" s="114">
        <v>0.001883379602555598</v>
      </c>
      <c r="D2378" s="112" t="s">
        <v>2054</v>
      </c>
      <c r="E2378" s="112" t="b">
        <v>0</v>
      </c>
      <c r="F2378" s="112" t="b">
        <v>0</v>
      </c>
      <c r="G2378" s="112" t="b">
        <v>0</v>
      </c>
    </row>
    <row r="2379" spans="1:7" ht="15">
      <c r="A2379" s="112" t="s">
        <v>2890</v>
      </c>
      <c r="B2379" s="112">
        <v>2</v>
      </c>
      <c r="C2379" s="114">
        <v>0.001883379602555598</v>
      </c>
      <c r="D2379" s="112" t="s">
        <v>2054</v>
      </c>
      <c r="E2379" s="112" t="b">
        <v>0</v>
      </c>
      <c r="F2379" s="112" t="b">
        <v>0</v>
      </c>
      <c r="G2379" s="112" t="b">
        <v>0</v>
      </c>
    </row>
    <row r="2380" spans="1:7" ht="15">
      <c r="A2380" s="112" t="s">
        <v>2143</v>
      </c>
      <c r="B2380" s="112">
        <v>2</v>
      </c>
      <c r="C2380" s="114">
        <v>0.0023350375105285633</v>
      </c>
      <c r="D2380" s="112" t="s">
        <v>2054</v>
      </c>
      <c r="E2380" s="112" t="b">
        <v>0</v>
      </c>
      <c r="F2380" s="112" t="b">
        <v>0</v>
      </c>
      <c r="G2380" s="112" t="b">
        <v>0</v>
      </c>
    </row>
    <row r="2381" spans="1:7" ht="15">
      <c r="A2381" s="112" t="s">
        <v>2677</v>
      </c>
      <c r="B2381" s="112">
        <v>2</v>
      </c>
      <c r="C2381" s="114">
        <v>0.0023350375105285633</v>
      </c>
      <c r="D2381" s="112" t="s">
        <v>2054</v>
      </c>
      <c r="E2381" s="112" t="b">
        <v>1</v>
      </c>
      <c r="F2381" s="112" t="b">
        <v>0</v>
      </c>
      <c r="G2381" s="112" t="b">
        <v>0</v>
      </c>
    </row>
    <row r="2382" spans="1:7" ht="15">
      <c r="A2382" s="112" t="s">
        <v>2900</v>
      </c>
      <c r="B2382" s="112">
        <v>2</v>
      </c>
      <c r="C2382" s="114">
        <v>0.001883379602555598</v>
      </c>
      <c r="D2382" s="112" t="s">
        <v>2054</v>
      </c>
      <c r="E2382" s="112" t="b">
        <v>0</v>
      </c>
      <c r="F2382" s="112" t="b">
        <v>0</v>
      </c>
      <c r="G2382" s="112" t="b">
        <v>0</v>
      </c>
    </row>
    <row r="2383" spans="1:7" ht="15">
      <c r="A2383" s="112" t="s">
        <v>2901</v>
      </c>
      <c r="B2383" s="112">
        <v>2</v>
      </c>
      <c r="C2383" s="114">
        <v>0.001883379602555598</v>
      </c>
      <c r="D2383" s="112" t="s">
        <v>2054</v>
      </c>
      <c r="E2383" s="112" t="b">
        <v>0</v>
      </c>
      <c r="F2383" s="112" t="b">
        <v>1</v>
      </c>
      <c r="G2383" s="112" t="b">
        <v>0</v>
      </c>
    </row>
    <row r="2384" spans="1:7" ht="15">
      <c r="A2384" s="112" t="s">
        <v>2905</v>
      </c>
      <c r="B2384" s="112">
        <v>2</v>
      </c>
      <c r="C2384" s="114">
        <v>0.001883379602555598</v>
      </c>
      <c r="D2384" s="112" t="s">
        <v>2054</v>
      </c>
      <c r="E2384" s="112" t="b">
        <v>0</v>
      </c>
      <c r="F2384" s="112" t="b">
        <v>0</v>
      </c>
      <c r="G2384" s="112" t="b">
        <v>0</v>
      </c>
    </row>
    <row r="2385" spans="1:7" ht="15">
      <c r="A2385" s="112" t="s">
        <v>2906</v>
      </c>
      <c r="B2385" s="112">
        <v>2</v>
      </c>
      <c r="C2385" s="114">
        <v>0.001883379602555598</v>
      </c>
      <c r="D2385" s="112" t="s">
        <v>2054</v>
      </c>
      <c r="E2385" s="112" t="b">
        <v>0</v>
      </c>
      <c r="F2385" s="112" t="b">
        <v>1</v>
      </c>
      <c r="G2385" s="112" t="b">
        <v>0</v>
      </c>
    </row>
    <row r="2386" spans="1:7" ht="15">
      <c r="A2386" s="112" t="s">
        <v>2903</v>
      </c>
      <c r="B2386" s="112">
        <v>2</v>
      </c>
      <c r="C2386" s="114">
        <v>0.001883379602555598</v>
      </c>
      <c r="D2386" s="112" t="s">
        <v>2054</v>
      </c>
      <c r="E2386" s="112" t="b">
        <v>0</v>
      </c>
      <c r="F2386" s="112" t="b">
        <v>0</v>
      </c>
      <c r="G2386" s="112" t="b">
        <v>0</v>
      </c>
    </row>
    <row r="2387" spans="1:7" ht="15">
      <c r="A2387" s="112" t="s">
        <v>2904</v>
      </c>
      <c r="B2387" s="112">
        <v>2</v>
      </c>
      <c r="C2387" s="114">
        <v>0.001883379602555598</v>
      </c>
      <c r="D2387" s="112" t="s">
        <v>2054</v>
      </c>
      <c r="E2387" s="112" t="b">
        <v>0</v>
      </c>
      <c r="F2387" s="112" t="b">
        <v>0</v>
      </c>
      <c r="G2387" s="112" t="b">
        <v>0</v>
      </c>
    </row>
    <row r="2388" spans="1:7" ht="15">
      <c r="A2388" s="112" t="s">
        <v>2907</v>
      </c>
      <c r="B2388" s="112">
        <v>2</v>
      </c>
      <c r="C2388" s="114">
        <v>0.001883379602555598</v>
      </c>
      <c r="D2388" s="112" t="s">
        <v>2054</v>
      </c>
      <c r="E2388" s="112" t="b">
        <v>0</v>
      </c>
      <c r="F2388" s="112" t="b">
        <v>0</v>
      </c>
      <c r="G2388" s="112" t="b">
        <v>0</v>
      </c>
    </row>
    <row r="2389" spans="1:7" ht="15">
      <c r="A2389" s="112" t="s">
        <v>2190</v>
      </c>
      <c r="B2389" s="112">
        <v>2</v>
      </c>
      <c r="C2389" s="114">
        <v>0.001883379602555598</v>
      </c>
      <c r="D2389" s="112" t="s">
        <v>2054</v>
      </c>
      <c r="E2389" s="112" t="b">
        <v>0</v>
      </c>
      <c r="F2389" s="112" t="b">
        <v>0</v>
      </c>
      <c r="G2389" s="112" t="b">
        <v>0</v>
      </c>
    </row>
    <row r="2390" spans="1:7" ht="15">
      <c r="A2390" s="112" t="s">
        <v>2909</v>
      </c>
      <c r="B2390" s="112">
        <v>2</v>
      </c>
      <c r="C2390" s="114">
        <v>0.001883379602555598</v>
      </c>
      <c r="D2390" s="112" t="s">
        <v>2054</v>
      </c>
      <c r="E2390" s="112" t="b">
        <v>1</v>
      </c>
      <c r="F2390" s="112" t="b">
        <v>0</v>
      </c>
      <c r="G2390" s="112" t="b">
        <v>0</v>
      </c>
    </row>
    <row r="2391" spans="1:7" ht="15">
      <c r="A2391" s="112" t="s">
        <v>2902</v>
      </c>
      <c r="B2391" s="112">
        <v>2</v>
      </c>
      <c r="C2391" s="114">
        <v>0.001883379602555598</v>
      </c>
      <c r="D2391" s="112" t="s">
        <v>2054</v>
      </c>
      <c r="E2391" s="112" t="b">
        <v>0</v>
      </c>
      <c r="F2391" s="112" t="b">
        <v>0</v>
      </c>
      <c r="G2391" s="112" t="b">
        <v>0</v>
      </c>
    </row>
    <row r="2392" spans="1:7" ht="15">
      <c r="A2392" s="112" t="s">
        <v>2908</v>
      </c>
      <c r="B2392" s="112">
        <v>2</v>
      </c>
      <c r="C2392" s="114">
        <v>0.001883379602555598</v>
      </c>
      <c r="D2392" s="112" t="s">
        <v>2054</v>
      </c>
      <c r="E2392" s="112" t="b">
        <v>0</v>
      </c>
      <c r="F2392" s="112" t="b">
        <v>0</v>
      </c>
      <c r="G2392" s="112" t="b">
        <v>0</v>
      </c>
    </row>
    <row r="2393" spans="1:7" ht="15">
      <c r="A2393" s="112" t="s">
        <v>2323</v>
      </c>
      <c r="B2393" s="112">
        <v>2</v>
      </c>
      <c r="C2393" s="114">
        <v>0.0023350375105285633</v>
      </c>
      <c r="D2393" s="112" t="s">
        <v>2054</v>
      </c>
      <c r="E2393" s="112" t="b">
        <v>0</v>
      </c>
      <c r="F2393" s="112" t="b">
        <v>0</v>
      </c>
      <c r="G2393" s="112" t="b">
        <v>0</v>
      </c>
    </row>
    <row r="2394" spans="1:7" ht="15">
      <c r="A2394" s="112" t="s">
        <v>2674</v>
      </c>
      <c r="B2394" s="112">
        <v>2</v>
      </c>
      <c r="C2394" s="114">
        <v>0.0023350375105285633</v>
      </c>
      <c r="D2394" s="112" t="s">
        <v>2054</v>
      </c>
      <c r="E2394" s="112" t="b">
        <v>0</v>
      </c>
      <c r="F2394" s="112" t="b">
        <v>0</v>
      </c>
      <c r="G2394" s="112" t="b">
        <v>0</v>
      </c>
    </row>
    <row r="2395" spans="1:7" ht="15">
      <c r="A2395" s="112" t="s">
        <v>2675</v>
      </c>
      <c r="B2395" s="112">
        <v>2</v>
      </c>
      <c r="C2395" s="114">
        <v>0.0023350375105285633</v>
      </c>
      <c r="D2395" s="112" t="s">
        <v>2054</v>
      </c>
      <c r="E2395" s="112" t="b">
        <v>0</v>
      </c>
      <c r="F2395" s="112" t="b">
        <v>0</v>
      </c>
      <c r="G2395" s="112" t="b">
        <v>0</v>
      </c>
    </row>
    <row r="2396" spans="1:7" ht="15">
      <c r="A2396" s="112" t="s">
        <v>2889</v>
      </c>
      <c r="B2396" s="112">
        <v>2</v>
      </c>
      <c r="C2396" s="114">
        <v>0.001883379602555598</v>
      </c>
      <c r="D2396" s="112" t="s">
        <v>2054</v>
      </c>
      <c r="E2396" s="112" t="b">
        <v>0</v>
      </c>
      <c r="F2396" s="112" t="b">
        <v>0</v>
      </c>
      <c r="G2396" s="112" t="b">
        <v>0</v>
      </c>
    </row>
    <row r="2397" spans="1:7" ht="15">
      <c r="A2397" s="112" t="s">
        <v>2668</v>
      </c>
      <c r="B2397" s="112">
        <v>2</v>
      </c>
      <c r="C2397" s="114">
        <v>0.0023350375105285633</v>
      </c>
      <c r="D2397" s="112" t="s">
        <v>2054</v>
      </c>
      <c r="E2397" s="112" t="b">
        <v>0</v>
      </c>
      <c r="F2397" s="112" t="b">
        <v>0</v>
      </c>
      <c r="G2397" s="112" t="b">
        <v>0</v>
      </c>
    </row>
    <row r="2398" spans="1:7" ht="15">
      <c r="A2398" s="112" t="s">
        <v>2895</v>
      </c>
      <c r="B2398" s="112">
        <v>2</v>
      </c>
      <c r="C2398" s="114">
        <v>0.0023350375105285633</v>
      </c>
      <c r="D2398" s="112" t="s">
        <v>2054</v>
      </c>
      <c r="E2398" s="112" t="b">
        <v>0</v>
      </c>
      <c r="F2398" s="112" t="b">
        <v>0</v>
      </c>
      <c r="G2398" s="112" t="b">
        <v>0</v>
      </c>
    </row>
    <row r="2399" spans="1:7" ht="15">
      <c r="A2399" s="112" t="s">
        <v>2352</v>
      </c>
      <c r="B2399" s="112">
        <v>2</v>
      </c>
      <c r="C2399" s="114">
        <v>0.0023350375105285633</v>
      </c>
      <c r="D2399" s="112" t="s">
        <v>2054</v>
      </c>
      <c r="E2399" s="112" t="b">
        <v>0</v>
      </c>
      <c r="F2399" s="112" t="b">
        <v>0</v>
      </c>
      <c r="G2399" s="112" t="b">
        <v>0</v>
      </c>
    </row>
    <row r="2400" spans="1:7" ht="15">
      <c r="A2400" s="112" t="s">
        <v>2538</v>
      </c>
      <c r="B2400" s="112">
        <v>2</v>
      </c>
      <c r="C2400" s="114">
        <v>0.0023350375105285633</v>
      </c>
      <c r="D2400" s="112" t="s">
        <v>2054</v>
      </c>
      <c r="E2400" s="112" t="b">
        <v>0</v>
      </c>
      <c r="F2400" s="112" t="b">
        <v>0</v>
      </c>
      <c r="G2400" s="112" t="b">
        <v>0</v>
      </c>
    </row>
    <row r="2401" spans="1:7" ht="15">
      <c r="A2401" s="112" t="s">
        <v>2159</v>
      </c>
      <c r="B2401" s="112">
        <v>2</v>
      </c>
      <c r="C2401" s="114">
        <v>0.001883379602555598</v>
      </c>
      <c r="D2401" s="112" t="s">
        <v>2054</v>
      </c>
      <c r="E2401" s="112" t="b">
        <v>0</v>
      </c>
      <c r="F2401" s="112" t="b">
        <v>0</v>
      </c>
      <c r="G2401" s="112" t="b">
        <v>0</v>
      </c>
    </row>
    <row r="2402" spans="1:7" ht="15">
      <c r="A2402" s="112" t="s">
        <v>2448</v>
      </c>
      <c r="B2402" s="112">
        <v>2</v>
      </c>
      <c r="C2402" s="114">
        <v>0.001883379602555598</v>
      </c>
      <c r="D2402" s="112" t="s">
        <v>2054</v>
      </c>
      <c r="E2402" s="112" t="b">
        <v>0</v>
      </c>
      <c r="F2402" s="112" t="b">
        <v>0</v>
      </c>
      <c r="G2402" s="112" t="b">
        <v>0</v>
      </c>
    </row>
    <row r="2403" spans="1:7" ht="15">
      <c r="A2403" s="112" t="s">
        <v>2083</v>
      </c>
      <c r="B2403" s="112">
        <v>26</v>
      </c>
      <c r="C2403" s="114">
        <v>0.010591175617261545</v>
      </c>
      <c r="D2403" s="112" t="s">
        <v>2055</v>
      </c>
      <c r="E2403" s="112" t="b">
        <v>0</v>
      </c>
      <c r="F2403" s="112" t="b">
        <v>0</v>
      </c>
      <c r="G2403" s="112" t="b">
        <v>0</v>
      </c>
    </row>
    <row r="2404" spans="1:7" ht="15">
      <c r="A2404" s="112" t="s">
        <v>2090</v>
      </c>
      <c r="B2404" s="112">
        <v>26</v>
      </c>
      <c r="C2404" s="114">
        <v>0.011696083640170484</v>
      </c>
      <c r="D2404" s="112" t="s">
        <v>2055</v>
      </c>
      <c r="E2404" s="112" t="b">
        <v>0</v>
      </c>
      <c r="F2404" s="112" t="b">
        <v>0</v>
      </c>
      <c r="G2404" s="112" t="b">
        <v>0</v>
      </c>
    </row>
    <row r="2405" spans="1:7" ht="15">
      <c r="A2405" s="112" t="s">
        <v>2080</v>
      </c>
      <c r="B2405" s="112">
        <v>23</v>
      </c>
      <c r="C2405" s="114">
        <v>0.01257290308174944</v>
      </c>
      <c r="D2405" s="112" t="s">
        <v>2055</v>
      </c>
      <c r="E2405" s="112" t="b">
        <v>0</v>
      </c>
      <c r="F2405" s="112" t="b">
        <v>0</v>
      </c>
      <c r="G2405" s="112" t="b">
        <v>0</v>
      </c>
    </row>
    <row r="2406" spans="1:7" ht="15">
      <c r="A2406" s="112" t="s">
        <v>2089</v>
      </c>
      <c r="B2406" s="112">
        <v>22</v>
      </c>
      <c r="C2406" s="114">
        <v>0.00896176398383669</v>
      </c>
      <c r="D2406" s="112" t="s">
        <v>2055</v>
      </c>
      <c r="E2406" s="112" t="b">
        <v>0</v>
      </c>
      <c r="F2406" s="112" t="b">
        <v>0</v>
      </c>
      <c r="G2406" s="112" t="b">
        <v>0</v>
      </c>
    </row>
    <row r="2407" spans="1:7" ht="15">
      <c r="A2407" s="112" t="s">
        <v>2094</v>
      </c>
      <c r="B2407" s="112">
        <v>18</v>
      </c>
      <c r="C2407" s="114">
        <v>0.009839663281369128</v>
      </c>
      <c r="D2407" s="112" t="s">
        <v>2055</v>
      </c>
      <c r="E2407" s="112" t="b">
        <v>0</v>
      </c>
      <c r="F2407" s="112" t="b">
        <v>0</v>
      </c>
      <c r="G2407" s="112" t="b">
        <v>0</v>
      </c>
    </row>
    <row r="2408" spans="1:7" ht="15">
      <c r="A2408" s="112" t="s">
        <v>2082</v>
      </c>
      <c r="B2408" s="112">
        <v>17</v>
      </c>
      <c r="C2408" s="114">
        <v>0.01554913992555673</v>
      </c>
      <c r="D2408" s="112" t="s">
        <v>2055</v>
      </c>
      <c r="E2408" s="112" t="b">
        <v>0</v>
      </c>
      <c r="F2408" s="112" t="b">
        <v>0</v>
      </c>
      <c r="G2408" s="112" t="b">
        <v>0</v>
      </c>
    </row>
    <row r="2409" spans="1:7" ht="15">
      <c r="A2409" s="112" t="s">
        <v>2086</v>
      </c>
      <c r="B2409" s="112">
        <v>15</v>
      </c>
      <c r="C2409" s="114">
        <v>0.006747740561636817</v>
      </c>
      <c r="D2409" s="112" t="s">
        <v>2055</v>
      </c>
      <c r="E2409" s="112" t="b">
        <v>0</v>
      </c>
      <c r="F2409" s="112" t="b">
        <v>0</v>
      </c>
      <c r="G2409" s="112" t="b">
        <v>0</v>
      </c>
    </row>
    <row r="2410" spans="1:7" ht="15">
      <c r="A2410" s="112" t="s">
        <v>2221</v>
      </c>
      <c r="B2410" s="112">
        <v>13</v>
      </c>
      <c r="C2410" s="114">
        <v>0.010632137105698634</v>
      </c>
      <c r="D2410" s="112" t="s">
        <v>2055</v>
      </c>
      <c r="E2410" s="112" t="b">
        <v>0</v>
      </c>
      <c r="F2410" s="112" t="b">
        <v>0</v>
      </c>
      <c r="G2410" s="112" t="b">
        <v>0</v>
      </c>
    </row>
    <row r="2411" spans="1:7" ht="15">
      <c r="A2411" s="112" t="s">
        <v>2096</v>
      </c>
      <c r="B2411" s="112">
        <v>12</v>
      </c>
      <c r="C2411" s="114">
        <v>0.007981438303427027</v>
      </c>
      <c r="D2411" s="112" t="s">
        <v>2055</v>
      </c>
      <c r="E2411" s="112" t="b">
        <v>0</v>
      </c>
      <c r="F2411" s="112" t="b">
        <v>0</v>
      </c>
      <c r="G2411" s="112" t="b">
        <v>0</v>
      </c>
    </row>
    <row r="2412" spans="1:7" ht="15">
      <c r="A2412" s="112" t="s">
        <v>2081</v>
      </c>
      <c r="B2412" s="112">
        <v>10</v>
      </c>
      <c r="C2412" s="114">
        <v>0.010331271882814876</v>
      </c>
      <c r="D2412" s="112" t="s">
        <v>2055</v>
      </c>
      <c r="E2412" s="112" t="b">
        <v>0</v>
      </c>
      <c r="F2412" s="112" t="b">
        <v>0</v>
      </c>
      <c r="G2412" s="112" t="b">
        <v>0</v>
      </c>
    </row>
    <row r="2413" spans="1:7" ht="15">
      <c r="A2413" s="112" t="s">
        <v>2126</v>
      </c>
      <c r="B2413" s="112">
        <v>10</v>
      </c>
      <c r="C2413" s="114">
        <v>0.006025862125952254</v>
      </c>
      <c r="D2413" s="112" t="s">
        <v>2055</v>
      </c>
      <c r="E2413" s="112" t="b">
        <v>0</v>
      </c>
      <c r="F2413" s="112" t="b">
        <v>0</v>
      </c>
      <c r="G2413" s="112" t="b">
        <v>0</v>
      </c>
    </row>
    <row r="2414" spans="1:7" ht="15">
      <c r="A2414" s="112" t="s">
        <v>2270</v>
      </c>
      <c r="B2414" s="112">
        <v>7</v>
      </c>
      <c r="C2414" s="114">
        <v>0.012383992933246374</v>
      </c>
      <c r="D2414" s="112" t="s">
        <v>2055</v>
      </c>
      <c r="E2414" s="112" t="b">
        <v>0</v>
      </c>
      <c r="F2414" s="112" t="b">
        <v>0</v>
      </c>
      <c r="G2414" s="112" t="b">
        <v>0</v>
      </c>
    </row>
    <row r="2415" spans="1:7" ht="15">
      <c r="A2415" s="112" t="s">
        <v>2182</v>
      </c>
      <c r="B2415" s="112">
        <v>6</v>
      </c>
      <c r="C2415" s="114">
        <v>0.004907140202630138</v>
      </c>
      <c r="D2415" s="112" t="s">
        <v>2055</v>
      </c>
      <c r="E2415" s="112" t="b">
        <v>0</v>
      </c>
      <c r="F2415" s="112" t="b">
        <v>0</v>
      </c>
      <c r="G2415" s="112" t="b">
        <v>0</v>
      </c>
    </row>
    <row r="2416" spans="1:7" ht="15">
      <c r="A2416" s="112" t="s">
        <v>2159</v>
      </c>
      <c r="B2416" s="112">
        <v>6</v>
      </c>
      <c r="C2416" s="114">
        <v>0.006198763129688925</v>
      </c>
      <c r="D2416" s="112" t="s">
        <v>2055</v>
      </c>
      <c r="E2416" s="112" t="b">
        <v>0</v>
      </c>
      <c r="F2416" s="112" t="b">
        <v>0</v>
      </c>
      <c r="G2416" s="112" t="b">
        <v>0</v>
      </c>
    </row>
    <row r="2417" spans="1:7" ht="15">
      <c r="A2417" s="112" t="s">
        <v>2087</v>
      </c>
      <c r="B2417" s="112">
        <v>6</v>
      </c>
      <c r="C2417" s="114">
        <v>0.005487931738431788</v>
      </c>
      <c r="D2417" s="112" t="s">
        <v>2055</v>
      </c>
      <c r="E2417" s="112" t="b">
        <v>0</v>
      </c>
      <c r="F2417" s="112" t="b">
        <v>0</v>
      </c>
      <c r="G2417" s="112" t="b">
        <v>0</v>
      </c>
    </row>
    <row r="2418" spans="1:7" ht="15">
      <c r="A2418" s="112" t="s">
        <v>2238</v>
      </c>
      <c r="B2418" s="112">
        <v>5</v>
      </c>
      <c r="C2418" s="114">
        <v>0.004573276448693157</v>
      </c>
      <c r="D2418" s="112" t="s">
        <v>2055</v>
      </c>
      <c r="E2418" s="112" t="b">
        <v>0</v>
      </c>
      <c r="F2418" s="112" t="b">
        <v>0</v>
      </c>
      <c r="G2418" s="112" t="b">
        <v>0</v>
      </c>
    </row>
    <row r="2419" spans="1:7" ht="15">
      <c r="A2419" s="112" t="s">
        <v>2219</v>
      </c>
      <c r="B2419" s="112">
        <v>5</v>
      </c>
      <c r="C2419" s="114">
        <v>0.005929320150504626</v>
      </c>
      <c r="D2419" s="112" t="s">
        <v>2055</v>
      </c>
      <c r="E2419" s="112" t="b">
        <v>0</v>
      </c>
      <c r="F2419" s="112" t="b">
        <v>0</v>
      </c>
      <c r="G2419" s="112" t="b">
        <v>0</v>
      </c>
    </row>
    <row r="2420" spans="1:7" ht="15">
      <c r="A2420" s="112" t="s">
        <v>2079</v>
      </c>
      <c r="B2420" s="112">
        <v>5</v>
      </c>
      <c r="C2420" s="114">
        <v>0.007005672589720281</v>
      </c>
      <c r="D2420" s="112" t="s">
        <v>2055</v>
      </c>
      <c r="E2420" s="112" t="b">
        <v>0</v>
      </c>
      <c r="F2420" s="112" t="b">
        <v>0</v>
      </c>
      <c r="G2420" s="112" t="b">
        <v>0</v>
      </c>
    </row>
    <row r="2421" spans="1:7" ht="15">
      <c r="A2421" s="112" t="s">
        <v>2297</v>
      </c>
      <c r="B2421" s="112">
        <v>5</v>
      </c>
      <c r="C2421" s="114">
        <v>0.008845709238033125</v>
      </c>
      <c r="D2421" s="112" t="s">
        <v>2055</v>
      </c>
      <c r="E2421" s="112" t="b">
        <v>0</v>
      </c>
      <c r="F2421" s="112" t="b">
        <v>0</v>
      </c>
      <c r="G2421" s="112" t="b">
        <v>0</v>
      </c>
    </row>
    <row r="2422" spans="1:7" ht="15">
      <c r="A2422" s="112" t="s">
        <v>2078</v>
      </c>
      <c r="B2422" s="112">
        <v>5</v>
      </c>
      <c r="C2422" s="114">
        <v>0.007005672589720281</v>
      </c>
      <c r="D2422" s="112" t="s">
        <v>2055</v>
      </c>
      <c r="E2422" s="112" t="b">
        <v>0</v>
      </c>
      <c r="F2422" s="112" t="b">
        <v>0</v>
      </c>
      <c r="G2422" s="112" t="b">
        <v>0</v>
      </c>
    </row>
    <row r="2423" spans="1:7" ht="15">
      <c r="A2423" s="112" t="s">
        <v>2318</v>
      </c>
      <c r="B2423" s="112">
        <v>4</v>
      </c>
      <c r="C2423" s="114">
        <v>0.0041325087531259505</v>
      </c>
      <c r="D2423" s="112" t="s">
        <v>2055</v>
      </c>
      <c r="E2423" s="112" t="b">
        <v>0</v>
      </c>
      <c r="F2423" s="112" t="b">
        <v>0</v>
      </c>
      <c r="G2423" s="112" t="b">
        <v>0</v>
      </c>
    </row>
    <row r="2424" spans="1:7" ht="15">
      <c r="A2424" s="112" t="s">
        <v>2204</v>
      </c>
      <c r="B2424" s="112">
        <v>4</v>
      </c>
      <c r="C2424" s="114">
        <v>0.004743456120403701</v>
      </c>
      <c r="D2424" s="112" t="s">
        <v>2055</v>
      </c>
      <c r="E2424" s="112" t="b">
        <v>0</v>
      </c>
      <c r="F2424" s="112" t="b">
        <v>0</v>
      </c>
      <c r="G2424" s="112" t="b">
        <v>0</v>
      </c>
    </row>
    <row r="2425" spans="1:7" ht="15">
      <c r="A2425" s="112" t="s">
        <v>2590</v>
      </c>
      <c r="B2425" s="112">
        <v>4</v>
      </c>
      <c r="C2425" s="114">
        <v>0.0041325087531259505</v>
      </c>
      <c r="D2425" s="112" t="s">
        <v>2055</v>
      </c>
      <c r="E2425" s="112" t="b">
        <v>0</v>
      </c>
      <c r="F2425" s="112" t="b">
        <v>0</v>
      </c>
      <c r="G2425" s="112" t="b">
        <v>0</v>
      </c>
    </row>
    <row r="2426" spans="1:7" ht="15">
      <c r="A2426" s="112" t="s">
        <v>2160</v>
      </c>
      <c r="B2426" s="112">
        <v>4</v>
      </c>
      <c r="C2426" s="114">
        <v>0.004743456120403701</v>
      </c>
      <c r="D2426" s="112" t="s">
        <v>2055</v>
      </c>
      <c r="E2426" s="112" t="b">
        <v>0</v>
      </c>
      <c r="F2426" s="112" t="b">
        <v>1</v>
      </c>
      <c r="G2426" s="112" t="b">
        <v>0</v>
      </c>
    </row>
    <row r="2427" spans="1:7" ht="15">
      <c r="A2427" s="112" t="s">
        <v>2139</v>
      </c>
      <c r="B2427" s="112">
        <v>4</v>
      </c>
      <c r="C2427" s="114">
        <v>0.005604538071776225</v>
      </c>
      <c r="D2427" s="112" t="s">
        <v>2055</v>
      </c>
      <c r="E2427" s="112" t="b">
        <v>0</v>
      </c>
      <c r="F2427" s="112" t="b">
        <v>0</v>
      </c>
      <c r="G2427" s="112" t="b">
        <v>0</v>
      </c>
    </row>
    <row r="2428" spans="1:7" ht="15">
      <c r="A2428" s="112" t="s">
        <v>2106</v>
      </c>
      <c r="B2428" s="112">
        <v>4</v>
      </c>
      <c r="C2428" s="114">
        <v>0.0041325087531259505</v>
      </c>
      <c r="D2428" s="112" t="s">
        <v>2055</v>
      </c>
      <c r="E2428" s="112" t="b">
        <v>0</v>
      </c>
      <c r="F2428" s="112" t="b">
        <v>0</v>
      </c>
      <c r="G2428" s="112" t="b">
        <v>0</v>
      </c>
    </row>
    <row r="2429" spans="1:7" ht="15">
      <c r="A2429" s="112" t="s">
        <v>2181</v>
      </c>
      <c r="B2429" s="112">
        <v>4</v>
      </c>
      <c r="C2429" s="114">
        <v>0.0070765673904265</v>
      </c>
      <c r="D2429" s="112" t="s">
        <v>2055</v>
      </c>
      <c r="E2429" s="112" t="b">
        <v>1</v>
      </c>
      <c r="F2429" s="112" t="b">
        <v>0</v>
      </c>
      <c r="G2429" s="112" t="b">
        <v>0</v>
      </c>
    </row>
    <row r="2430" spans="1:7" ht="15">
      <c r="A2430" s="112" t="s">
        <v>2203</v>
      </c>
      <c r="B2430" s="112">
        <v>4</v>
      </c>
      <c r="C2430" s="114">
        <v>0.0041325087531259505</v>
      </c>
      <c r="D2430" s="112" t="s">
        <v>2055</v>
      </c>
      <c r="E2430" s="112" t="b">
        <v>0</v>
      </c>
      <c r="F2430" s="112" t="b">
        <v>0</v>
      </c>
      <c r="G2430" s="112" t="b">
        <v>0</v>
      </c>
    </row>
    <row r="2431" spans="1:7" ht="15">
      <c r="A2431" s="112" t="s">
        <v>2293</v>
      </c>
      <c r="B2431" s="112">
        <v>4</v>
      </c>
      <c r="C2431" s="114">
        <v>0.0041325087531259505</v>
      </c>
      <c r="D2431" s="112" t="s">
        <v>2055</v>
      </c>
      <c r="E2431" s="112" t="b">
        <v>0</v>
      </c>
      <c r="F2431" s="112" t="b">
        <v>0</v>
      </c>
      <c r="G2431" s="112" t="b">
        <v>0</v>
      </c>
    </row>
    <row r="2432" spans="1:7" ht="15">
      <c r="A2432" s="112" t="s">
        <v>2594</v>
      </c>
      <c r="B2432" s="112">
        <v>4</v>
      </c>
      <c r="C2432" s="114">
        <v>0.0070765673904265</v>
      </c>
      <c r="D2432" s="112" t="s">
        <v>2055</v>
      </c>
      <c r="E2432" s="112" t="b">
        <v>0</v>
      </c>
      <c r="F2432" s="112" t="b">
        <v>0</v>
      </c>
      <c r="G2432" s="112" t="b">
        <v>0</v>
      </c>
    </row>
    <row r="2433" spans="1:7" ht="15">
      <c r="A2433" s="112" t="s">
        <v>2595</v>
      </c>
      <c r="B2433" s="112">
        <v>4</v>
      </c>
      <c r="C2433" s="114">
        <v>0.0070765673904265</v>
      </c>
      <c r="D2433" s="112" t="s">
        <v>2055</v>
      </c>
      <c r="E2433" s="112" t="b">
        <v>0</v>
      </c>
      <c r="F2433" s="112" t="b">
        <v>0</v>
      </c>
      <c r="G2433" s="112" t="b">
        <v>0</v>
      </c>
    </row>
    <row r="2434" spans="1:7" ht="15">
      <c r="A2434" s="112" t="s">
        <v>2591</v>
      </c>
      <c r="B2434" s="112">
        <v>4</v>
      </c>
      <c r="C2434" s="114">
        <v>0.005604538071776225</v>
      </c>
      <c r="D2434" s="112" t="s">
        <v>2055</v>
      </c>
      <c r="E2434" s="112" t="b">
        <v>0</v>
      </c>
      <c r="F2434" s="112" t="b">
        <v>0</v>
      </c>
      <c r="G2434" s="112" t="b">
        <v>0</v>
      </c>
    </row>
    <row r="2435" spans="1:7" ht="15">
      <c r="A2435" s="112" t="s">
        <v>2592</v>
      </c>
      <c r="B2435" s="112">
        <v>4</v>
      </c>
      <c r="C2435" s="114">
        <v>0.0070765673904265</v>
      </c>
      <c r="D2435" s="112" t="s">
        <v>2055</v>
      </c>
      <c r="E2435" s="112" t="b">
        <v>0</v>
      </c>
      <c r="F2435" s="112" t="b">
        <v>0</v>
      </c>
      <c r="G2435" s="112" t="b">
        <v>0</v>
      </c>
    </row>
    <row r="2436" spans="1:7" ht="15">
      <c r="A2436" s="112" t="s">
        <v>2185</v>
      </c>
      <c r="B2436" s="112">
        <v>4</v>
      </c>
      <c r="C2436" s="114">
        <v>0.0070765673904265</v>
      </c>
      <c r="D2436" s="112" t="s">
        <v>2055</v>
      </c>
      <c r="E2436" s="112" t="b">
        <v>0</v>
      </c>
      <c r="F2436" s="112" t="b">
        <v>0</v>
      </c>
      <c r="G2436" s="112" t="b">
        <v>0</v>
      </c>
    </row>
    <row r="2437" spans="1:7" ht="15">
      <c r="A2437" s="112" t="s">
        <v>2421</v>
      </c>
      <c r="B2437" s="112">
        <v>4</v>
      </c>
      <c r="C2437" s="114">
        <v>0.0070765673904265</v>
      </c>
      <c r="D2437" s="112" t="s">
        <v>2055</v>
      </c>
      <c r="E2437" s="112" t="b">
        <v>0</v>
      </c>
      <c r="F2437" s="112" t="b">
        <v>0</v>
      </c>
      <c r="G2437" s="112" t="b">
        <v>0</v>
      </c>
    </row>
    <row r="2438" spans="1:7" ht="15">
      <c r="A2438" s="112" t="s">
        <v>2372</v>
      </c>
      <c r="B2438" s="112">
        <v>4</v>
      </c>
      <c r="C2438" s="114">
        <v>0.0070765673904265</v>
      </c>
      <c r="D2438" s="112" t="s">
        <v>2055</v>
      </c>
      <c r="E2438" s="112" t="b">
        <v>0</v>
      </c>
      <c r="F2438" s="112" t="b">
        <v>0</v>
      </c>
      <c r="G2438" s="112" t="b">
        <v>0</v>
      </c>
    </row>
    <row r="2439" spans="1:7" ht="15">
      <c r="A2439" s="112" t="s">
        <v>2331</v>
      </c>
      <c r="B2439" s="112">
        <v>4</v>
      </c>
      <c r="C2439" s="114">
        <v>0.0070765673904265</v>
      </c>
      <c r="D2439" s="112" t="s">
        <v>2055</v>
      </c>
      <c r="E2439" s="112" t="b">
        <v>0</v>
      </c>
      <c r="F2439" s="112" t="b">
        <v>0</v>
      </c>
      <c r="G2439" s="112" t="b">
        <v>0</v>
      </c>
    </row>
    <row r="2440" spans="1:7" ht="15">
      <c r="A2440" s="112" t="s">
        <v>2332</v>
      </c>
      <c r="B2440" s="112">
        <v>3</v>
      </c>
      <c r="C2440" s="114">
        <v>0.004203403553832168</v>
      </c>
      <c r="D2440" s="112" t="s">
        <v>2055</v>
      </c>
      <c r="E2440" s="112" t="b">
        <v>0</v>
      </c>
      <c r="F2440" s="112" t="b">
        <v>0</v>
      </c>
      <c r="G2440" s="112" t="b">
        <v>0</v>
      </c>
    </row>
    <row r="2441" spans="1:7" ht="15">
      <c r="A2441" s="112" t="s">
        <v>2413</v>
      </c>
      <c r="B2441" s="112">
        <v>3</v>
      </c>
      <c r="C2441" s="114">
        <v>0.0035575920903027757</v>
      </c>
      <c r="D2441" s="112" t="s">
        <v>2055</v>
      </c>
      <c r="E2441" s="112" t="b">
        <v>0</v>
      </c>
      <c r="F2441" s="112" t="b">
        <v>0</v>
      </c>
      <c r="G2441" s="112" t="b">
        <v>0</v>
      </c>
    </row>
    <row r="2442" spans="1:7" ht="15">
      <c r="A2442" s="112" t="s">
        <v>2414</v>
      </c>
      <c r="B2442" s="112">
        <v>3</v>
      </c>
      <c r="C2442" s="114">
        <v>0.0035575920903027757</v>
      </c>
      <c r="D2442" s="112" t="s">
        <v>2055</v>
      </c>
      <c r="E2442" s="112" t="b">
        <v>0</v>
      </c>
      <c r="F2442" s="112" t="b">
        <v>0</v>
      </c>
      <c r="G2442" s="112" t="b">
        <v>0</v>
      </c>
    </row>
    <row r="2443" spans="1:7" ht="15">
      <c r="A2443" s="112" t="s">
        <v>2230</v>
      </c>
      <c r="B2443" s="112">
        <v>3</v>
      </c>
      <c r="C2443" s="114">
        <v>0.0035575920903027757</v>
      </c>
      <c r="D2443" s="112" t="s">
        <v>2055</v>
      </c>
      <c r="E2443" s="112" t="b">
        <v>0</v>
      </c>
      <c r="F2443" s="112" t="b">
        <v>0</v>
      </c>
      <c r="G2443" s="112" t="b">
        <v>0</v>
      </c>
    </row>
    <row r="2444" spans="1:7" ht="15">
      <c r="A2444" s="112" t="s">
        <v>2765</v>
      </c>
      <c r="B2444" s="112">
        <v>3</v>
      </c>
      <c r="C2444" s="114">
        <v>0.005307425542819875</v>
      </c>
      <c r="D2444" s="112" t="s">
        <v>2055</v>
      </c>
      <c r="E2444" s="112" t="b">
        <v>0</v>
      </c>
      <c r="F2444" s="112" t="b">
        <v>0</v>
      </c>
      <c r="G2444" s="112" t="b">
        <v>0</v>
      </c>
    </row>
    <row r="2445" spans="1:7" ht="15">
      <c r="A2445" s="112" t="s">
        <v>2766</v>
      </c>
      <c r="B2445" s="112">
        <v>3</v>
      </c>
      <c r="C2445" s="114">
        <v>0.005307425542819875</v>
      </c>
      <c r="D2445" s="112" t="s">
        <v>2055</v>
      </c>
      <c r="E2445" s="112" t="b">
        <v>0</v>
      </c>
      <c r="F2445" s="112" t="b">
        <v>0</v>
      </c>
      <c r="G2445" s="112" t="b">
        <v>0</v>
      </c>
    </row>
    <row r="2446" spans="1:7" ht="15">
      <c r="A2446" s="112" t="s">
        <v>2117</v>
      </c>
      <c r="B2446" s="112">
        <v>3</v>
      </c>
      <c r="C2446" s="114">
        <v>0.004203403553832168</v>
      </c>
      <c r="D2446" s="112" t="s">
        <v>2055</v>
      </c>
      <c r="E2446" s="112" t="b">
        <v>0</v>
      </c>
      <c r="F2446" s="112" t="b">
        <v>0</v>
      </c>
      <c r="G2446" s="112" t="b">
        <v>0</v>
      </c>
    </row>
    <row r="2447" spans="1:7" ht="15">
      <c r="A2447" s="112" t="s">
        <v>2175</v>
      </c>
      <c r="B2447" s="112">
        <v>3</v>
      </c>
      <c r="C2447" s="114">
        <v>0.0035575920903027757</v>
      </c>
      <c r="D2447" s="112" t="s">
        <v>2055</v>
      </c>
      <c r="E2447" s="112" t="b">
        <v>0</v>
      </c>
      <c r="F2447" s="112" t="b">
        <v>0</v>
      </c>
      <c r="G2447" s="112" t="b">
        <v>0</v>
      </c>
    </row>
    <row r="2448" spans="1:7" ht="15">
      <c r="A2448" s="112" t="s">
        <v>2761</v>
      </c>
      <c r="B2448" s="112">
        <v>3</v>
      </c>
      <c r="C2448" s="114">
        <v>0.0035575920903027757</v>
      </c>
      <c r="D2448" s="112" t="s">
        <v>2055</v>
      </c>
      <c r="E2448" s="112" t="b">
        <v>0</v>
      </c>
      <c r="F2448" s="112" t="b">
        <v>0</v>
      </c>
      <c r="G2448" s="112" t="b">
        <v>0</v>
      </c>
    </row>
    <row r="2449" spans="1:7" ht="15">
      <c r="A2449" s="112" t="s">
        <v>2762</v>
      </c>
      <c r="B2449" s="112">
        <v>3</v>
      </c>
      <c r="C2449" s="114">
        <v>0.0035575920903027757</v>
      </c>
      <c r="D2449" s="112" t="s">
        <v>2055</v>
      </c>
      <c r="E2449" s="112" t="b">
        <v>0</v>
      </c>
      <c r="F2449" s="112" t="b">
        <v>0</v>
      </c>
      <c r="G2449" s="112" t="b">
        <v>0</v>
      </c>
    </row>
    <row r="2450" spans="1:7" ht="15">
      <c r="A2450" s="112" t="s">
        <v>2763</v>
      </c>
      <c r="B2450" s="112">
        <v>3</v>
      </c>
      <c r="C2450" s="114">
        <v>0.0035575920903027757</v>
      </c>
      <c r="D2450" s="112" t="s">
        <v>2055</v>
      </c>
      <c r="E2450" s="112" t="b">
        <v>0</v>
      </c>
      <c r="F2450" s="112" t="b">
        <v>0</v>
      </c>
      <c r="G2450" s="112" t="b">
        <v>0</v>
      </c>
    </row>
    <row r="2451" spans="1:7" ht="15">
      <c r="A2451" s="112" t="s">
        <v>2764</v>
      </c>
      <c r="B2451" s="112">
        <v>3</v>
      </c>
      <c r="C2451" s="114">
        <v>0.005307425542819875</v>
      </c>
      <c r="D2451" s="112" t="s">
        <v>2055</v>
      </c>
      <c r="E2451" s="112" t="b">
        <v>0</v>
      </c>
      <c r="F2451" s="112" t="b">
        <v>0</v>
      </c>
      <c r="G2451" s="112" t="b">
        <v>0</v>
      </c>
    </row>
    <row r="2452" spans="1:7" ht="15">
      <c r="A2452" s="112" t="s">
        <v>2581</v>
      </c>
      <c r="B2452" s="112">
        <v>3</v>
      </c>
      <c r="C2452" s="114">
        <v>0.005307425542819875</v>
      </c>
      <c r="D2452" s="112" t="s">
        <v>2055</v>
      </c>
      <c r="E2452" s="112" t="b">
        <v>0</v>
      </c>
      <c r="F2452" s="112" t="b">
        <v>0</v>
      </c>
      <c r="G2452" s="112" t="b">
        <v>0</v>
      </c>
    </row>
    <row r="2453" spans="1:7" ht="15">
      <c r="A2453" s="112" t="s">
        <v>2361</v>
      </c>
      <c r="B2453" s="112">
        <v>3</v>
      </c>
      <c r="C2453" s="114">
        <v>0.0035575920903027757</v>
      </c>
      <c r="D2453" s="112" t="s">
        <v>2055</v>
      </c>
      <c r="E2453" s="112" t="b">
        <v>0</v>
      </c>
      <c r="F2453" s="112" t="b">
        <v>0</v>
      </c>
      <c r="G2453" s="112" t="b">
        <v>0</v>
      </c>
    </row>
    <row r="2454" spans="1:7" ht="15">
      <c r="A2454" s="112" t="s">
        <v>2109</v>
      </c>
      <c r="B2454" s="112">
        <v>3</v>
      </c>
      <c r="C2454" s="114">
        <v>0.004203403553832168</v>
      </c>
      <c r="D2454" s="112" t="s">
        <v>2055</v>
      </c>
      <c r="E2454" s="112" t="b">
        <v>0</v>
      </c>
      <c r="F2454" s="112" t="b">
        <v>0</v>
      </c>
      <c r="G2454" s="112" t="b">
        <v>0</v>
      </c>
    </row>
    <row r="2455" spans="1:7" ht="15">
      <c r="A2455" s="112" t="s">
        <v>2294</v>
      </c>
      <c r="B2455" s="112">
        <v>3</v>
      </c>
      <c r="C2455" s="114">
        <v>0.0035575920903027757</v>
      </c>
      <c r="D2455" s="112" t="s">
        <v>2055</v>
      </c>
      <c r="E2455" s="112" t="b">
        <v>0</v>
      </c>
      <c r="F2455" s="112" t="b">
        <v>0</v>
      </c>
      <c r="G2455" s="112" t="b">
        <v>0</v>
      </c>
    </row>
    <row r="2456" spans="1:7" ht="15">
      <c r="A2456" s="112" t="s">
        <v>2295</v>
      </c>
      <c r="B2456" s="112">
        <v>3</v>
      </c>
      <c r="C2456" s="114">
        <v>0.0035575920903027757</v>
      </c>
      <c r="D2456" s="112" t="s">
        <v>2055</v>
      </c>
      <c r="E2456" s="112" t="b">
        <v>0</v>
      </c>
      <c r="F2456" s="112" t="b">
        <v>0</v>
      </c>
      <c r="G2456" s="112" t="b">
        <v>0</v>
      </c>
    </row>
    <row r="2457" spans="1:7" ht="15">
      <c r="A2457" s="112" t="s">
        <v>2461</v>
      </c>
      <c r="B2457" s="112">
        <v>3</v>
      </c>
      <c r="C2457" s="114">
        <v>0.0035575920903027757</v>
      </c>
      <c r="D2457" s="112" t="s">
        <v>2055</v>
      </c>
      <c r="E2457" s="112" t="b">
        <v>0</v>
      </c>
      <c r="F2457" s="112" t="b">
        <v>0</v>
      </c>
      <c r="G2457" s="112" t="b">
        <v>0</v>
      </c>
    </row>
    <row r="2458" spans="1:7" ht="15">
      <c r="A2458" s="112" t="s">
        <v>2341</v>
      </c>
      <c r="B2458" s="112">
        <v>3</v>
      </c>
      <c r="C2458" s="114">
        <v>0.0035575920903027757</v>
      </c>
      <c r="D2458" s="112" t="s">
        <v>2055</v>
      </c>
      <c r="E2458" s="112" t="b">
        <v>0</v>
      </c>
      <c r="F2458" s="112" t="b">
        <v>0</v>
      </c>
      <c r="G2458" s="112" t="b">
        <v>0</v>
      </c>
    </row>
    <row r="2459" spans="1:7" ht="15">
      <c r="A2459" s="112" t="s">
        <v>2329</v>
      </c>
      <c r="B2459" s="112">
        <v>3</v>
      </c>
      <c r="C2459" s="114">
        <v>0.005307425542819875</v>
      </c>
      <c r="D2459" s="112" t="s">
        <v>2055</v>
      </c>
      <c r="E2459" s="112" t="b">
        <v>0</v>
      </c>
      <c r="F2459" s="112" t="b">
        <v>0</v>
      </c>
      <c r="G2459" s="112" t="b">
        <v>0</v>
      </c>
    </row>
    <row r="2460" spans="1:7" ht="15">
      <c r="A2460" s="112" t="s">
        <v>2263</v>
      </c>
      <c r="B2460" s="112">
        <v>3</v>
      </c>
      <c r="C2460" s="114">
        <v>0.0035575920903027757</v>
      </c>
      <c r="D2460" s="112" t="s">
        <v>2055</v>
      </c>
      <c r="E2460" s="112" t="b">
        <v>0</v>
      </c>
      <c r="F2460" s="112" t="b">
        <v>0</v>
      </c>
      <c r="G2460" s="112" t="b">
        <v>0</v>
      </c>
    </row>
    <row r="2461" spans="1:7" ht="15">
      <c r="A2461" s="112" t="s">
        <v>2257</v>
      </c>
      <c r="B2461" s="112">
        <v>3</v>
      </c>
      <c r="C2461" s="114">
        <v>0.004203403553832168</v>
      </c>
      <c r="D2461" s="112" t="s">
        <v>2055</v>
      </c>
      <c r="E2461" s="112" t="b">
        <v>0</v>
      </c>
      <c r="F2461" s="112" t="b">
        <v>0</v>
      </c>
      <c r="G2461" s="112" t="b">
        <v>0</v>
      </c>
    </row>
    <row r="2462" spans="1:7" ht="15">
      <c r="A2462" s="112" t="s">
        <v>2239</v>
      </c>
      <c r="B2462" s="112">
        <v>3</v>
      </c>
      <c r="C2462" s="114">
        <v>0.004203403553832168</v>
      </c>
      <c r="D2462" s="112" t="s">
        <v>2055</v>
      </c>
      <c r="E2462" s="112" t="b">
        <v>0</v>
      </c>
      <c r="F2462" s="112" t="b">
        <v>0</v>
      </c>
      <c r="G2462" s="112" t="b">
        <v>0</v>
      </c>
    </row>
    <row r="2463" spans="1:7" ht="15">
      <c r="A2463" s="112" t="s">
        <v>2419</v>
      </c>
      <c r="B2463" s="112">
        <v>3</v>
      </c>
      <c r="C2463" s="114">
        <v>0.0035575920903027757</v>
      </c>
      <c r="D2463" s="112" t="s">
        <v>2055</v>
      </c>
      <c r="E2463" s="112" t="b">
        <v>0</v>
      </c>
      <c r="F2463" s="112" t="b">
        <v>0</v>
      </c>
      <c r="G2463" s="112" t="b">
        <v>0</v>
      </c>
    </row>
    <row r="2464" spans="1:7" ht="15">
      <c r="A2464" s="112" t="s">
        <v>2420</v>
      </c>
      <c r="B2464" s="112">
        <v>3</v>
      </c>
      <c r="C2464" s="114">
        <v>0.0035575920903027757</v>
      </c>
      <c r="D2464" s="112" t="s">
        <v>2055</v>
      </c>
      <c r="E2464" s="112" t="b">
        <v>0</v>
      </c>
      <c r="F2464" s="112" t="b">
        <v>0</v>
      </c>
      <c r="G2464" s="112" t="b">
        <v>0</v>
      </c>
    </row>
    <row r="2465" spans="1:7" ht="15">
      <c r="A2465" s="112" t="s">
        <v>2143</v>
      </c>
      <c r="B2465" s="112">
        <v>3</v>
      </c>
      <c r="C2465" s="114">
        <v>0.004203403553832168</v>
      </c>
      <c r="D2465" s="112" t="s">
        <v>2055</v>
      </c>
      <c r="E2465" s="112" t="b">
        <v>0</v>
      </c>
      <c r="F2465" s="112" t="b">
        <v>0</v>
      </c>
      <c r="G2465" s="112" t="b">
        <v>0</v>
      </c>
    </row>
    <row r="2466" spans="1:7" ht="15">
      <c r="A2466" s="112" t="s">
        <v>2751</v>
      </c>
      <c r="B2466" s="112">
        <v>3</v>
      </c>
      <c r="C2466" s="114">
        <v>0.005307425542819875</v>
      </c>
      <c r="D2466" s="112" t="s">
        <v>2055</v>
      </c>
      <c r="E2466" s="112" t="b">
        <v>0</v>
      </c>
      <c r="F2466" s="112" t="b">
        <v>0</v>
      </c>
      <c r="G2466" s="112" t="b">
        <v>0</v>
      </c>
    </row>
    <row r="2467" spans="1:7" ht="15">
      <c r="A2467" s="112" t="s">
        <v>2752</v>
      </c>
      <c r="B2467" s="112">
        <v>3</v>
      </c>
      <c r="C2467" s="114">
        <v>0.005307425542819875</v>
      </c>
      <c r="D2467" s="112" t="s">
        <v>2055</v>
      </c>
      <c r="E2467" s="112" t="b">
        <v>0</v>
      </c>
      <c r="F2467" s="112" t="b">
        <v>0</v>
      </c>
      <c r="G2467" s="112" t="b">
        <v>0</v>
      </c>
    </row>
    <row r="2468" spans="1:7" ht="15">
      <c r="A2468" s="112" t="s">
        <v>2133</v>
      </c>
      <c r="B2468" s="112">
        <v>3</v>
      </c>
      <c r="C2468" s="114">
        <v>0.005307425542819875</v>
      </c>
      <c r="D2468" s="112" t="s">
        <v>2055</v>
      </c>
      <c r="E2468" s="112" t="b">
        <v>0</v>
      </c>
      <c r="F2468" s="112" t="b">
        <v>0</v>
      </c>
      <c r="G2468" s="112" t="b">
        <v>0</v>
      </c>
    </row>
    <row r="2469" spans="1:7" ht="15">
      <c r="A2469" s="112" t="s">
        <v>2363</v>
      </c>
      <c r="B2469" s="112">
        <v>3</v>
      </c>
      <c r="C2469" s="114">
        <v>0.004203403553832168</v>
      </c>
      <c r="D2469" s="112" t="s">
        <v>2055</v>
      </c>
      <c r="E2469" s="112" t="b">
        <v>0</v>
      </c>
      <c r="F2469" s="112" t="b">
        <v>1</v>
      </c>
      <c r="G2469" s="112" t="b">
        <v>0</v>
      </c>
    </row>
    <row r="2470" spans="1:7" ht="15">
      <c r="A2470" s="112" t="s">
        <v>2137</v>
      </c>
      <c r="B2470" s="112">
        <v>3</v>
      </c>
      <c r="C2470" s="114">
        <v>0.004203403553832168</v>
      </c>
      <c r="D2470" s="112" t="s">
        <v>2055</v>
      </c>
      <c r="E2470" s="112" t="b">
        <v>0</v>
      </c>
      <c r="F2470" s="112" t="b">
        <v>0</v>
      </c>
      <c r="G2470" s="112" t="b">
        <v>0</v>
      </c>
    </row>
    <row r="2471" spans="1:7" ht="15">
      <c r="A2471" s="112" t="s">
        <v>2423</v>
      </c>
      <c r="B2471" s="112">
        <v>3</v>
      </c>
      <c r="C2471" s="114">
        <v>0.005307425542819875</v>
      </c>
      <c r="D2471" s="112" t="s">
        <v>2055</v>
      </c>
      <c r="E2471" s="112" t="b">
        <v>0</v>
      </c>
      <c r="F2471" s="112" t="b">
        <v>0</v>
      </c>
      <c r="G2471" s="112" t="b">
        <v>0</v>
      </c>
    </row>
    <row r="2472" spans="1:7" ht="15">
      <c r="A2472" s="112" t="s">
        <v>2142</v>
      </c>
      <c r="B2472" s="112">
        <v>3</v>
      </c>
      <c r="C2472" s="114">
        <v>0.005307425542819875</v>
      </c>
      <c r="D2472" s="112" t="s">
        <v>2055</v>
      </c>
      <c r="E2472" s="112" t="b">
        <v>0</v>
      </c>
      <c r="F2472" s="112" t="b">
        <v>0</v>
      </c>
      <c r="G2472" s="112" t="b">
        <v>0</v>
      </c>
    </row>
    <row r="2473" spans="1:7" ht="15">
      <c r="A2473" s="112" t="s">
        <v>2153</v>
      </c>
      <c r="B2473" s="112">
        <v>3</v>
      </c>
      <c r="C2473" s="114">
        <v>0.005307425542819875</v>
      </c>
      <c r="D2473" s="112" t="s">
        <v>2055</v>
      </c>
      <c r="E2473" s="112" t="b">
        <v>0</v>
      </c>
      <c r="F2473" s="112" t="b">
        <v>0</v>
      </c>
      <c r="G2473" s="112" t="b">
        <v>0</v>
      </c>
    </row>
    <row r="2474" spans="1:7" ht="15">
      <c r="A2474" s="112" t="s">
        <v>2321</v>
      </c>
      <c r="B2474" s="112">
        <v>3</v>
      </c>
      <c r="C2474" s="114">
        <v>0.005307425542819875</v>
      </c>
      <c r="D2474" s="112" t="s">
        <v>2055</v>
      </c>
      <c r="E2474" s="112" t="b">
        <v>0</v>
      </c>
      <c r="F2474" s="112" t="b">
        <v>0</v>
      </c>
      <c r="G2474" s="112" t="b">
        <v>0</v>
      </c>
    </row>
    <row r="2475" spans="1:7" ht="15">
      <c r="A2475" s="112" t="s">
        <v>2173</v>
      </c>
      <c r="B2475" s="112">
        <v>2</v>
      </c>
      <c r="C2475" s="114">
        <v>0.00353828369521325</v>
      </c>
      <c r="D2475" s="112" t="s">
        <v>2055</v>
      </c>
      <c r="E2475" s="112" t="b">
        <v>0</v>
      </c>
      <c r="F2475" s="112" t="b">
        <v>0</v>
      </c>
      <c r="G2475" s="112" t="b">
        <v>0</v>
      </c>
    </row>
    <row r="2476" spans="1:7" ht="15">
      <c r="A2476" s="112" t="s">
        <v>2261</v>
      </c>
      <c r="B2476" s="112">
        <v>2</v>
      </c>
      <c r="C2476" s="114">
        <v>0.0028022690358881124</v>
      </c>
      <c r="D2476" s="112" t="s">
        <v>2055</v>
      </c>
      <c r="E2476" s="112" t="b">
        <v>0</v>
      </c>
      <c r="F2476" s="112" t="b">
        <v>0</v>
      </c>
      <c r="G2476" s="112" t="b">
        <v>0</v>
      </c>
    </row>
    <row r="2477" spans="1:7" ht="15">
      <c r="A2477" s="112" t="s">
        <v>2342</v>
      </c>
      <c r="B2477" s="112">
        <v>2</v>
      </c>
      <c r="C2477" s="114">
        <v>0.00353828369521325</v>
      </c>
      <c r="D2477" s="112" t="s">
        <v>2055</v>
      </c>
      <c r="E2477" s="112" t="b">
        <v>1</v>
      </c>
      <c r="F2477" s="112" t="b">
        <v>0</v>
      </c>
      <c r="G2477" s="112" t="b">
        <v>0</v>
      </c>
    </row>
    <row r="2478" spans="1:7" ht="15">
      <c r="A2478" s="112" t="s">
        <v>2242</v>
      </c>
      <c r="B2478" s="112">
        <v>2</v>
      </c>
      <c r="C2478" s="114">
        <v>0.0028022690358881124</v>
      </c>
      <c r="D2478" s="112" t="s">
        <v>2055</v>
      </c>
      <c r="E2478" s="112" t="b">
        <v>0</v>
      </c>
      <c r="F2478" s="112" t="b">
        <v>1</v>
      </c>
      <c r="G2478" s="112" t="b">
        <v>0</v>
      </c>
    </row>
    <row r="2479" spans="1:7" ht="15">
      <c r="A2479" s="112" t="s">
        <v>2482</v>
      </c>
      <c r="B2479" s="112">
        <v>2</v>
      </c>
      <c r="C2479" s="114">
        <v>0.0028022690358881124</v>
      </c>
      <c r="D2479" s="112" t="s">
        <v>2055</v>
      </c>
      <c r="E2479" s="112" t="b">
        <v>0</v>
      </c>
      <c r="F2479" s="112" t="b">
        <v>1</v>
      </c>
      <c r="G2479" s="112" t="b">
        <v>0</v>
      </c>
    </row>
    <row r="2480" spans="1:7" ht="15">
      <c r="A2480" s="112" t="s">
        <v>2268</v>
      </c>
      <c r="B2480" s="112">
        <v>2</v>
      </c>
      <c r="C2480" s="114">
        <v>0.0028022690358881124</v>
      </c>
      <c r="D2480" s="112" t="s">
        <v>2055</v>
      </c>
      <c r="E2480" s="112" t="b">
        <v>0</v>
      </c>
      <c r="F2480" s="112" t="b">
        <v>0</v>
      </c>
      <c r="G2480" s="112" t="b">
        <v>0</v>
      </c>
    </row>
    <row r="2481" spans="1:7" ht="15">
      <c r="A2481" s="112" t="s">
        <v>3081</v>
      </c>
      <c r="B2481" s="112">
        <v>2</v>
      </c>
      <c r="C2481" s="114">
        <v>0.0028022690358881124</v>
      </c>
      <c r="D2481" s="112" t="s">
        <v>2055</v>
      </c>
      <c r="E2481" s="112" t="b">
        <v>0</v>
      </c>
      <c r="F2481" s="112" t="b">
        <v>0</v>
      </c>
      <c r="G2481" s="112" t="b">
        <v>0</v>
      </c>
    </row>
    <row r="2482" spans="1:7" ht="15">
      <c r="A2482" s="112" t="s">
        <v>2222</v>
      </c>
      <c r="B2482" s="112">
        <v>2</v>
      </c>
      <c r="C2482" s="114">
        <v>0.0028022690358881124</v>
      </c>
      <c r="D2482" s="112" t="s">
        <v>2055</v>
      </c>
      <c r="E2482" s="112" t="b">
        <v>0</v>
      </c>
      <c r="F2482" s="112" t="b">
        <v>0</v>
      </c>
      <c r="G2482" s="112" t="b">
        <v>0</v>
      </c>
    </row>
    <row r="2483" spans="1:7" ht="15">
      <c r="A2483" s="112" t="s">
        <v>3089</v>
      </c>
      <c r="B2483" s="112">
        <v>2</v>
      </c>
      <c r="C2483" s="114">
        <v>0.0028022690358881124</v>
      </c>
      <c r="D2483" s="112" t="s">
        <v>2055</v>
      </c>
      <c r="E2483" s="112" t="b">
        <v>0</v>
      </c>
      <c r="F2483" s="112" t="b">
        <v>0</v>
      </c>
      <c r="G2483" s="112" t="b">
        <v>0</v>
      </c>
    </row>
    <row r="2484" spans="1:7" ht="15">
      <c r="A2484" s="112" t="s">
        <v>3111</v>
      </c>
      <c r="B2484" s="112">
        <v>2</v>
      </c>
      <c r="C2484" s="114">
        <v>0.00353828369521325</v>
      </c>
      <c r="D2484" s="112" t="s">
        <v>2055</v>
      </c>
      <c r="E2484" s="112" t="b">
        <v>0</v>
      </c>
      <c r="F2484" s="112" t="b">
        <v>0</v>
      </c>
      <c r="G2484" s="112" t="b">
        <v>0</v>
      </c>
    </row>
    <row r="2485" spans="1:7" ht="15">
      <c r="A2485" s="112" t="s">
        <v>3112</v>
      </c>
      <c r="B2485" s="112">
        <v>2</v>
      </c>
      <c r="C2485" s="114">
        <v>0.00353828369521325</v>
      </c>
      <c r="D2485" s="112" t="s">
        <v>2055</v>
      </c>
      <c r="E2485" s="112" t="b">
        <v>0</v>
      </c>
      <c r="F2485" s="112" t="b">
        <v>0</v>
      </c>
      <c r="G2485" s="112" t="b">
        <v>0</v>
      </c>
    </row>
    <row r="2486" spans="1:7" ht="15">
      <c r="A2486" s="112" t="s">
        <v>3113</v>
      </c>
      <c r="B2486" s="112">
        <v>2</v>
      </c>
      <c r="C2486" s="114">
        <v>0.00353828369521325</v>
      </c>
      <c r="D2486" s="112" t="s">
        <v>2055</v>
      </c>
      <c r="E2486" s="112" t="b">
        <v>0</v>
      </c>
      <c r="F2486" s="112" t="b">
        <v>0</v>
      </c>
      <c r="G2486" s="112" t="b">
        <v>0</v>
      </c>
    </row>
    <row r="2487" spans="1:7" ht="15">
      <c r="A2487" s="112" t="s">
        <v>2746</v>
      </c>
      <c r="B2487" s="112">
        <v>2</v>
      </c>
      <c r="C2487" s="114">
        <v>0.0028022690358881124</v>
      </c>
      <c r="D2487" s="112" t="s">
        <v>2055</v>
      </c>
      <c r="E2487" s="112" t="b">
        <v>0</v>
      </c>
      <c r="F2487" s="112" t="b">
        <v>0</v>
      </c>
      <c r="G2487" s="112" t="b">
        <v>0</v>
      </c>
    </row>
    <row r="2488" spans="1:7" ht="15">
      <c r="A2488" s="112" t="s">
        <v>2192</v>
      </c>
      <c r="B2488" s="112">
        <v>2</v>
      </c>
      <c r="C2488" s="114">
        <v>0.0028022690358881124</v>
      </c>
      <c r="D2488" s="112" t="s">
        <v>2055</v>
      </c>
      <c r="E2488" s="112" t="b">
        <v>0</v>
      </c>
      <c r="F2488" s="112" t="b">
        <v>0</v>
      </c>
      <c r="G2488" s="112" t="b">
        <v>0</v>
      </c>
    </row>
    <row r="2489" spans="1:7" ht="15">
      <c r="A2489" s="112" t="s">
        <v>2521</v>
      </c>
      <c r="B2489" s="112">
        <v>2</v>
      </c>
      <c r="C2489" s="114">
        <v>0.0028022690358881124</v>
      </c>
      <c r="D2489" s="112" t="s">
        <v>2055</v>
      </c>
      <c r="E2489" s="112" t="b">
        <v>0</v>
      </c>
      <c r="F2489" s="112" t="b">
        <v>0</v>
      </c>
      <c r="G2489" s="112" t="b">
        <v>0</v>
      </c>
    </row>
    <row r="2490" spans="1:7" ht="15">
      <c r="A2490" s="112" t="s">
        <v>2352</v>
      </c>
      <c r="B2490" s="112">
        <v>2</v>
      </c>
      <c r="C2490" s="114">
        <v>0.0028022690358881124</v>
      </c>
      <c r="D2490" s="112" t="s">
        <v>2055</v>
      </c>
      <c r="E2490" s="112" t="b">
        <v>0</v>
      </c>
      <c r="F2490" s="112" t="b">
        <v>0</v>
      </c>
      <c r="G2490" s="112" t="b">
        <v>0</v>
      </c>
    </row>
    <row r="2491" spans="1:7" ht="15">
      <c r="A2491" s="112" t="s">
        <v>3104</v>
      </c>
      <c r="B2491" s="112">
        <v>2</v>
      </c>
      <c r="C2491" s="114">
        <v>0.00353828369521325</v>
      </c>
      <c r="D2491" s="112" t="s">
        <v>2055</v>
      </c>
      <c r="E2491" s="112" t="b">
        <v>0</v>
      </c>
      <c r="F2491" s="112" t="b">
        <v>0</v>
      </c>
      <c r="G2491" s="112" t="b">
        <v>0</v>
      </c>
    </row>
    <row r="2492" spans="1:7" ht="15">
      <c r="A2492" s="112" t="s">
        <v>3105</v>
      </c>
      <c r="B2492" s="112">
        <v>2</v>
      </c>
      <c r="C2492" s="114">
        <v>0.00353828369521325</v>
      </c>
      <c r="D2492" s="112" t="s">
        <v>2055</v>
      </c>
      <c r="E2492" s="112" t="b">
        <v>0</v>
      </c>
      <c r="F2492" s="112" t="b">
        <v>0</v>
      </c>
      <c r="G2492" s="112" t="b">
        <v>0</v>
      </c>
    </row>
    <row r="2493" spans="1:7" ht="15">
      <c r="A2493" s="112" t="s">
        <v>3107</v>
      </c>
      <c r="B2493" s="112">
        <v>2</v>
      </c>
      <c r="C2493" s="114">
        <v>0.00353828369521325</v>
      </c>
      <c r="D2493" s="112" t="s">
        <v>2055</v>
      </c>
      <c r="E2493" s="112" t="b">
        <v>0</v>
      </c>
      <c r="F2493" s="112" t="b">
        <v>0</v>
      </c>
      <c r="G2493" s="112" t="b">
        <v>0</v>
      </c>
    </row>
    <row r="2494" spans="1:7" ht="15">
      <c r="A2494" s="112" t="s">
        <v>2475</v>
      </c>
      <c r="B2494" s="112">
        <v>2</v>
      </c>
      <c r="C2494" s="114">
        <v>0.0028022690358881124</v>
      </c>
      <c r="D2494" s="112" t="s">
        <v>2055</v>
      </c>
      <c r="E2494" s="112" t="b">
        <v>0</v>
      </c>
      <c r="F2494" s="112" t="b">
        <v>0</v>
      </c>
      <c r="G2494" s="112" t="b">
        <v>0</v>
      </c>
    </row>
    <row r="2495" spans="1:7" ht="15">
      <c r="A2495" s="112" t="s">
        <v>2183</v>
      </c>
      <c r="B2495" s="112">
        <v>2</v>
      </c>
      <c r="C2495" s="114">
        <v>0.0028022690358881124</v>
      </c>
      <c r="D2495" s="112" t="s">
        <v>2055</v>
      </c>
      <c r="E2495" s="112" t="b">
        <v>0</v>
      </c>
      <c r="F2495" s="112" t="b">
        <v>1</v>
      </c>
      <c r="G2495" s="112" t="b">
        <v>0</v>
      </c>
    </row>
    <row r="2496" spans="1:7" ht="15">
      <c r="A2496" s="112" t="s">
        <v>3090</v>
      </c>
      <c r="B2496" s="112">
        <v>2</v>
      </c>
      <c r="C2496" s="114">
        <v>0.00353828369521325</v>
      </c>
      <c r="D2496" s="112" t="s">
        <v>2055</v>
      </c>
      <c r="E2496" s="112" t="b">
        <v>0</v>
      </c>
      <c r="F2496" s="112" t="b">
        <v>0</v>
      </c>
      <c r="G2496" s="112" t="b">
        <v>0</v>
      </c>
    </row>
    <row r="2497" spans="1:7" ht="15">
      <c r="A2497" s="112" t="s">
        <v>2424</v>
      </c>
      <c r="B2497" s="112">
        <v>2</v>
      </c>
      <c r="C2497" s="114">
        <v>0.0028022690358881124</v>
      </c>
      <c r="D2497" s="112" t="s">
        <v>2055</v>
      </c>
      <c r="E2497" s="112" t="b">
        <v>0</v>
      </c>
      <c r="F2497" s="112" t="b">
        <v>0</v>
      </c>
      <c r="G2497" s="112" t="b">
        <v>0</v>
      </c>
    </row>
    <row r="2498" spans="1:7" ht="15">
      <c r="A2498" s="112" t="s">
        <v>2213</v>
      </c>
      <c r="B2498" s="112">
        <v>2</v>
      </c>
      <c r="C2498" s="114">
        <v>0.00353828369521325</v>
      </c>
      <c r="D2498" s="112" t="s">
        <v>2055</v>
      </c>
      <c r="E2498" s="112" t="b">
        <v>0</v>
      </c>
      <c r="F2498" s="112" t="b">
        <v>1</v>
      </c>
      <c r="G2498" s="112" t="b">
        <v>0</v>
      </c>
    </row>
    <row r="2499" spans="1:7" ht="15">
      <c r="A2499" s="112" t="s">
        <v>2163</v>
      </c>
      <c r="B2499" s="112">
        <v>2</v>
      </c>
      <c r="C2499" s="114">
        <v>0.0028022690358881124</v>
      </c>
      <c r="D2499" s="112" t="s">
        <v>2055</v>
      </c>
      <c r="E2499" s="112" t="b">
        <v>0</v>
      </c>
      <c r="F2499" s="112" t="b">
        <v>1</v>
      </c>
      <c r="G2499" s="112" t="b">
        <v>0</v>
      </c>
    </row>
    <row r="2500" spans="1:7" ht="15">
      <c r="A2500" s="112" t="s">
        <v>3088</v>
      </c>
      <c r="B2500" s="112">
        <v>2</v>
      </c>
      <c r="C2500" s="114">
        <v>0.00353828369521325</v>
      </c>
      <c r="D2500" s="112" t="s">
        <v>2055</v>
      </c>
      <c r="E2500" s="112" t="b">
        <v>0</v>
      </c>
      <c r="F2500" s="112" t="b">
        <v>0</v>
      </c>
      <c r="G2500" s="112" t="b">
        <v>0</v>
      </c>
    </row>
    <row r="2501" spans="1:7" ht="15">
      <c r="A2501" s="112" t="s">
        <v>2373</v>
      </c>
      <c r="B2501" s="112">
        <v>2</v>
      </c>
      <c r="C2501" s="114">
        <v>0.00353828369521325</v>
      </c>
      <c r="D2501" s="112" t="s">
        <v>2055</v>
      </c>
      <c r="E2501" s="112" t="b">
        <v>0</v>
      </c>
      <c r="F2501" s="112" t="b">
        <v>0</v>
      </c>
      <c r="G2501" s="112" t="b">
        <v>0</v>
      </c>
    </row>
    <row r="2502" spans="1:7" ht="15">
      <c r="A2502" s="112" t="s">
        <v>3083</v>
      </c>
      <c r="B2502" s="112">
        <v>2</v>
      </c>
      <c r="C2502" s="114">
        <v>0.00353828369521325</v>
      </c>
      <c r="D2502" s="112" t="s">
        <v>2055</v>
      </c>
      <c r="E2502" s="112" t="b">
        <v>0</v>
      </c>
      <c r="F2502" s="112" t="b">
        <v>0</v>
      </c>
      <c r="G2502" s="112" t="b">
        <v>0</v>
      </c>
    </row>
    <row r="2503" spans="1:7" ht="15">
      <c r="A2503" s="112" t="s">
        <v>3084</v>
      </c>
      <c r="B2503" s="112">
        <v>2</v>
      </c>
      <c r="C2503" s="114">
        <v>0.00353828369521325</v>
      </c>
      <c r="D2503" s="112" t="s">
        <v>2055</v>
      </c>
      <c r="E2503" s="112" t="b">
        <v>0</v>
      </c>
      <c r="F2503" s="112" t="b">
        <v>0</v>
      </c>
      <c r="G2503" s="112" t="b">
        <v>0</v>
      </c>
    </row>
    <row r="2504" spans="1:7" ht="15">
      <c r="A2504" s="112" t="s">
        <v>2639</v>
      </c>
      <c r="B2504" s="112">
        <v>2</v>
      </c>
      <c r="C2504" s="114">
        <v>0.00353828369521325</v>
      </c>
      <c r="D2504" s="112" t="s">
        <v>2055</v>
      </c>
      <c r="E2504" s="112" t="b">
        <v>0</v>
      </c>
      <c r="F2504" s="112" t="b">
        <v>0</v>
      </c>
      <c r="G2504" s="112" t="b">
        <v>0</v>
      </c>
    </row>
    <row r="2505" spans="1:7" ht="15">
      <c r="A2505" s="112" t="s">
        <v>2585</v>
      </c>
      <c r="B2505" s="112">
        <v>2</v>
      </c>
      <c r="C2505" s="114">
        <v>0.0028022690358881124</v>
      </c>
      <c r="D2505" s="112" t="s">
        <v>2055</v>
      </c>
      <c r="E2505" s="112" t="b">
        <v>0</v>
      </c>
      <c r="F2505" s="112" t="b">
        <v>0</v>
      </c>
      <c r="G2505" s="112" t="b">
        <v>0</v>
      </c>
    </row>
    <row r="2506" spans="1:7" ht="15">
      <c r="A2506" s="112" t="s">
        <v>2210</v>
      </c>
      <c r="B2506" s="112">
        <v>2</v>
      </c>
      <c r="C2506" s="114">
        <v>0.0028022690358881124</v>
      </c>
      <c r="D2506" s="112" t="s">
        <v>2055</v>
      </c>
      <c r="E2506" s="112" t="b">
        <v>0</v>
      </c>
      <c r="F2506" s="112" t="b">
        <v>0</v>
      </c>
      <c r="G2506" s="112" t="b">
        <v>0</v>
      </c>
    </row>
    <row r="2507" spans="1:7" ht="15">
      <c r="A2507" s="112" t="s">
        <v>3080</v>
      </c>
      <c r="B2507" s="112">
        <v>2</v>
      </c>
      <c r="C2507" s="114">
        <v>0.00353828369521325</v>
      </c>
      <c r="D2507" s="112" t="s">
        <v>2055</v>
      </c>
      <c r="E2507" s="112" t="b">
        <v>0</v>
      </c>
      <c r="F2507" s="112" t="b">
        <v>0</v>
      </c>
      <c r="G2507" s="112" t="b">
        <v>0</v>
      </c>
    </row>
    <row r="2508" spans="1:7" ht="15">
      <c r="A2508" s="112" t="s">
        <v>2412</v>
      </c>
      <c r="B2508" s="112">
        <v>2</v>
      </c>
      <c r="C2508" s="114">
        <v>0.0028022690358881124</v>
      </c>
      <c r="D2508" s="112" t="s">
        <v>2055</v>
      </c>
      <c r="E2508" s="112" t="b">
        <v>0</v>
      </c>
      <c r="F2508" s="112" t="b">
        <v>0</v>
      </c>
      <c r="G2508" s="112" t="b">
        <v>0</v>
      </c>
    </row>
    <row r="2509" spans="1:7" ht="15">
      <c r="A2509" s="112" t="s">
        <v>2362</v>
      </c>
      <c r="B2509" s="112">
        <v>2</v>
      </c>
      <c r="C2509" s="114">
        <v>0.0028022690358881124</v>
      </c>
      <c r="D2509" s="112" t="s">
        <v>2055</v>
      </c>
      <c r="E2509" s="112" t="b">
        <v>0</v>
      </c>
      <c r="F2509" s="112" t="b">
        <v>0</v>
      </c>
      <c r="G2509" s="112" t="b">
        <v>0</v>
      </c>
    </row>
    <row r="2510" spans="1:7" ht="15">
      <c r="A2510" s="112" t="s">
        <v>2300</v>
      </c>
      <c r="B2510" s="112">
        <v>2</v>
      </c>
      <c r="C2510" s="114">
        <v>0.0028022690358881124</v>
      </c>
      <c r="D2510" s="112" t="s">
        <v>2055</v>
      </c>
      <c r="E2510" s="112" t="b">
        <v>0</v>
      </c>
      <c r="F2510" s="112" t="b">
        <v>0</v>
      </c>
      <c r="G2510" s="112" t="b">
        <v>0</v>
      </c>
    </row>
    <row r="2511" spans="1:7" ht="15">
      <c r="A2511" s="112" t="s">
        <v>3067</v>
      </c>
      <c r="B2511" s="112">
        <v>2</v>
      </c>
      <c r="C2511" s="114">
        <v>0.0028022690358881124</v>
      </c>
      <c r="D2511" s="112" t="s">
        <v>2055</v>
      </c>
      <c r="E2511" s="112" t="b">
        <v>0</v>
      </c>
      <c r="F2511" s="112" t="b">
        <v>0</v>
      </c>
      <c r="G2511" s="112" t="b">
        <v>0</v>
      </c>
    </row>
    <row r="2512" spans="1:7" ht="15">
      <c r="A2512" s="112" t="s">
        <v>3068</v>
      </c>
      <c r="B2512" s="112">
        <v>2</v>
      </c>
      <c r="C2512" s="114">
        <v>0.0028022690358881124</v>
      </c>
      <c r="D2512" s="112" t="s">
        <v>2055</v>
      </c>
      <c r="E2512" s="112" t="b">
        <v>0</v>
      </c>
      <c r="F2512" s="112" t="b">
        <v>0</v>
      </c>
      <c r="G2512" s="112" t="b">
        <v>0</v>
      </c>
    </row>
    <row r="2513" spans="1:7" ht="15">
      <c r="A2513" s="112" t="s">
        <v>2193</v>
      </c>
      <c r="B2513" s="112">
        <v>2</v>
      </c>
      <c r="C2513" s="114">
        <v>0.0028022690358881124</v>
      </c>
      <c r="D2513" s="112" t="s">
        <v>2055</v>
      </c>
      <c r="E2513" s="112" t="b">
        <v>0</v>
      </c>
      <c r="F2513" s="112" t="b">
        <v>0</v>
      </c>
      <c r="G2513" s="112" t="b">
        <v>0</v>
      </c>
    </row>
    <row r="2514" spans="1:7" ht="15">
      <c r="A2514" s="112" t="s">
        <v>2202</v>
      </c>
      <c r="B2514" s="112">
        <v>2</v>
      </c>
      <c r="C2514" s="114">
        <v>0.0028022690358881124</v>
      </c>
      <c r="D2514" s="112" t="s">
        <v>2055</v>
      </c>
      <c r="E2514" s="112" t="b">
        <v>0</v>
      </c>
      <c r="F2514" s="112" t="b">
        <v>0</v>
      </c>
      <c r="G2514" s="112" t="b">
        <v>0</v>
      </c>
    </row>
    <row r="2515" spans="1:7" ht="15">
      <c r="A2515" s="112" t="s">
        <v>2095</v>
      </c>
      <c r="B2515" s="112">
        <v>2</v>
      </c>
      <c r="C2515" s="114">
        <v>0.00353828369521325</v>
      </c>
      <c r="D2515" s="112" t="s">
        <v>2055</v>
      </c>
      <c r="E2515" s="112" t="b">
        <v>0</v>
      </c>
      <c r="F2515" s="112" t="b">
        <v>0</v>
      </c>
      <c r="G2515" s="112" t="b">
        <v>0</v>
      </c>
    </row>
    <row r="2516" spans="1:7" ht="15">
      <c r="A2516" s="112" t="s">
        <v>3072</v>
      </c>
      <c r="B2516" s="112">
        <v>2</v>
      </c>
      <c r="C2516" s="114">
        <v>0.00353828369521325</v>
      </c>
      <c r="D2516" s="112" t="s">
        <v>2055</v>
      </c>
      <c r="E2516" s="112" t="b">
        <v>0</v>
      </c>
      <c r="F2516" s="112" t="b">
        <v>0</v>
      </c>
      <c r="G2516" s="112" t="b">
        <v>0</v>
      </c>
    </row>
    <row r="2517" spans="1:7" ht="15">
      <c r="A2517" s="112" t="s">
        <v>2702</v>
      </c>
      <c r="B2517" s="112">
        <v>2</v>
      </c>
      <c r="C2517" s="114">
        <v>0.00353828369521325</v>
      </c>
      <c r="D2517" s="112" t="s">
        <v>2055</v>
      </c>
      <c r="E2517" s="112" t="b">
        <v>0</v>
      </c>
      <c r="F2517" s="112" t="b">
        <v>0</v>
      </c>
      <c r="G2517" s="112" t="b">
        <v>0</v>
      </c>
    </row>
    <row r="2518" spans="1:7" ht="15">
      <c r="A2518" s="112" t="s">
        <v>2149</v>
      </c>
      <c r="B2518" s="112">
        <v>2</v>
      </c>
      <c r="C2518" s="114">
        <v>0.0028022690358881124</v>
      </c>
      <c r="D2518" s="112" t="s">
        <v>2055</v>
      </c>
      <c r="E2518" s="112" t="b">
        <v>0</v>
      </c>
      <c r="F2518" s="112" t="b">
        <v>0</v>
      </c>
      <c r="G2518" s="112" t="b">
        <v>0</v>
      </c>
    </row>
    <row r="2519" spans="1:7" ht="15">
      <c r="A2519" s="112" t="s">
        <v>2747</v>
      </c>
      <c r="B2519" s="112">
        <v>2</v>
      </c>
      <c r="C2519" s="114">
        <v>0.00353828369521325</v>
      </c>
      <c r="D2519" s="112" t="s">
        <v>2055</v>
      </c>
      <c r="E2519" s="112" t="b">
        <v>0</v>
      </c>
      <c r="F2519" s="112" t="b">
        <v>0</v>
      </c>
      <c r="G2519" s="112" t="b">
        <v>0</v>
      </c>
    </row>
    <row r="2520" spans="1:7" ht="15">
      <c r="A2520" s="112" t="s">
        <v>2374</v>
      </c>
      <c r="B2520" s="112">
        <v>2</v>
      </c>
      <c r="C2520" s="114">
        <v>0.00353828369521325</v>
      </c>
      <c r="D2520" s="112" t="s">
        <v>2055</v>
      </c>
      <c r="E2520" s="112" t="b">
        <v>0</v>
      </c>
      <c r="F2520" s="112" t="b">
        <v>0</v>
      </c>
      <c r="G2520" s="112" t="b">
        <v>0</v>
      </c>
    </row>
    <row r="2521" spans="1:7" ht="15">
      <c r="A2521" s="112" t="s">
        <v>3071</v>
      </c>
      <c r="B2521" s="112">
        <v>2</v>
      </c>
      <c r="C2521" s="114">
        <v>0.00353828369521325</v>
      </c>
      <c r="D2521" s="112" t="s">
        <v>2055</v>
      </c>
      <c r="E2521" s="112" t="b">
        <v>0</v>
      </c>
      <c r="F2521" s="112" t="b">
        <v>0</v>
      </c>
      <c r="G2521" s="112" t="b">
        <v>0</v>
      </c>
    </row>
    <row r="2522" spans="1:7" ht="15">
      <c r="A2522" s="112" t="s">
        <v>3066</v>
      </c>
      <c r="B2522" s="112">
        <v>2</v>
      </c>
      <c r="C2522" s="114">
        <v>0.00353828369521325</v>
      </c>
      <c r="D2522" s="112" t="s">
        <v>2055</v>
      </c>
      <c r="E2522" s="112" t="b">
        <v>0</v>
      </c>
      <c r="F2522" s="112" t="b">
        <v>0</v>
      </c>
      <c r="G2522" s="112" t="b">
        <v>0</v>
      </c>
    </row>
    <row r="2523" spans="1:7" ht="15">
      <c r="A2523" s="112" t="s">
        <v>2279</v>
      </c>
      <c r="B2523" s="112">
        <v>2</v>
      </c>
      <c r="C2523" s="114">
        <v>0.00353828369521325</v>
      </c>
      <c r="D2523" s="112" t="s">
        <v>2055</v>
      </c>
      <c r="E2523" s="112" t="b">
        <v>0</v>
      </c>
      <c r="F2523" s="112" t="b">
        <v>0</v>
      </c>
      <c r="G2523" s="112" t="b">
        <v>0</v>
      </c>
    </row>
    <row r="2524" spans="1:7" ht="15">
      <c r="A2524" s="112" t="s">
        <v>2945</v>
      </c>
      <c r="B2524" s="112">
        <v>2</v>
      </c>
      <c r="C2524" s="114">
        <v>0.00353828369521325</v>
      </c>
      <c r="D2524" s="112" t="s">
        <v>2055</v>
      </c>
      <c r="E2524" s="112" t="b">
        <v>1</v>
      </c>
      <c r="F2524" s="112" t="b">
        <v>0</v>
      </c>
      <c r="G2524" s="112" t="b">
        <v>0</v>
      </c>
    </row>
    <row r="2525" spans="1:7" ht="15">
      <c r="A2525" s="112" t="s">
        <v>2442</v>
      </c>
      <c r="B2525" s="112">
        <v>2</v>
      </c>
      <c r="C2525" s="114">
        <v>0.00353828369521325</v>
      </c>
      <c r="D2525" s="112" t="s">
        <v>2055</v>
      </c>
      <c r="E2525" s="112" t="b">
        <v>0</v>
      </c>
      <c r="F2525" s="112" t="b">
        <v>0</v>
      </c>
      <c r="G2525" s="112" t="b">
        <v>0</v>
      </c>
    </row>
    <row r="2526" spans="1:7" ht="15">
      <c r="A2526" s="112" t="s">
        <v>2462</v>
      </c>
      <c r="B2526" s="112">
        <v>2</v>
      </c>
      <c r="C2526" s="114">
        <v>0.00353828369521325</v>
      </c>
      <c r="D2526" s="112" t="s">
        <v>2055</v>
      </c>
      <c r="E2526" s="112" t="b">
        <v>0</v>
      </c>
      <c r="F2526" s="112" t="b">
        <v>0</v>
      </c>
      <c r="G2526" s="112" t="b">
        <v>0</v>
      </c>
    </row>
    <row r="2527" spans="1:7" ht="15">
      <c r="A2527" s="112" t="s">
        <v>2409</v>
      </c>
      <c r="B2527" s="112">
        <v>2</v>
      </c>
      <c r="C2527" s="114">
        <v>0.0028022690358881124</v>
      </c>
      <c r="D2527" s="112" t="s">
        <v>2055</v>
      </c>
      <c r="E2527" s="112" t="b">
        <v>0</v>
      </c>
      <c r="F2527" s="112" t="b">
        <v>0</v>
      </c>
      <c r="G2527" s="112" t="b">
        <v>0</v>
      </c>
    </row>
    <row r="2528" spans="1:7" ht="15">
      <c r="A2528" s="112" t="s">
        <v>2526</v>
      </c>
      <c r="B2528" s="112">
        <v>2</v>
      </c>
      <c r="C2528" s="114">
        <v>0.00353828369521325</v>
      </c>
      <c r="D2528" s="112" t="s">
        <v>2055</v>
      </c>
      <c r="E2528" s="112" t="b">
        <v>0</v>
      </c>
      <c r="F2528" s="112" t="b">
        <v>0</v>
      </c>
      <c r="G2528" s="112" t="b">
        <v>0</v>
      </c>
    </row>
    <row r="2529" spans="1:7" ht="15">
      <c r="A2529" s="112" t="s">
        <v>2929</v>
      </c>
      <c r="B2529" s="112">
        <v>2</v>
      </c>
      <c r="C2529" s="114">
        <v>0.00353828369521325</v>
      </c>
      <c r="D2529" s="112" t="s">
        <v>2055</v>
      </c>
      <c r="E2529" s="112" t="b">
        <v>0</v>
      </c>
      <c r="F2529" s="112" t="b">
        <v>0</v>
      </c>
      <c r="G2529" s="112" t="b">
        <v>0</v>
      </c>
    </row>
    <row r="2530" spans="1:7" ht="15">
      <c r="A2530" s="112" t="s">
        <v>2686</v>
      </c>
      <c r="B2530" s="112">
        <v>2</v>
      </c>
      <c r="C2530" s="114">
        <v>0.00353828369521325</v>
      </c>
      <c r="D2530" s="112" t="s">
        <v>2055</v>
      </c>
      <c r="E2530" s="112" t="b">
        <v>0</v>
      </c>
      <c r="F2530" s="112" t="b">
        <v>0</v>
      </c>
      <c r="G2530" s="112" t="b">
        <v>0</v>
      </c>
    </row>
    <row r="2531" spans="1:7" ht="15">
      <c r="A2531" s="112" t="s">
        <v>2687</v>
      </c>
      <c r="B2531" s="112">
        <v>2</v>
      </c>
      <c r="C2531" s="114">
        <v>0.00353828369521325</v>
      </c>
      <c r="D2531" s="112" t="s">
        <v>2055</v>
      </c>
      <c r="E2531" s="112" t="b">
        <v>0</v>
      </c>
      <c r="F2531" s="112" t="b">
        <v>0</v>
      </c>
      <c r="G2531" s="112" t="b">
        <v>0</v>
      </c>
    </row>
    <row r="2532" spans="1:7" ht="15">
      <c r="A2532" s="112" t="s">
        <v>2930</v>
      </c>
      <c r="B2532" s="112">
        <v>2</v>
      </c>
      <c r="C2532" s="114">
        <v>0.00353828369521325</v>
      </c>
      <c r="D2532" s="112" t="s">
        <v>2055</v>
      </c>
      <c r="E2532" s="112" t="b">
        <v>0</v>
      </c>
      <c r="F2532" s="112" t="b">
        <v>0</v>
      </c>
      <c r="G2532" s="112" t="b">
        <v>0</v>
      </c>
    </row>
    <row r="2533" spans="1:7" ht="15">
      <c r="A2533" s="112" t="s">
        <v>2215</v>
      </c>
      <c r="B2533" s="112">
        <v>2</v>
      </c>
      <c r="C2533" s="114">
        <v>0.00353828369521325</v>
      </c>
      <c r="D2533" s="112" t="s">
        <v>2055</v>
      </c>
      <c r="E2533" s="112" t="b">
        <v>0</v>
      </c>
      <c r="F2533" s="112" t="b">
        <v>0</v>
      </c>
      <c r="G2533" s="112" t="b">
        <v>0</v>
      </c>
    </row>
    <row r="2534" spans="1:7" ht="15">
      <c r="A2534" s="112" t="s">
        <v>2932</v>
      </c>
      <c r="B2534" s="112">
        <v>2</v>
      </c>
      <c r="C2534" s="114">
        <v>0.00353828369521325</v>
      </c>
      <c r="D2534" s="112" t="s">
        <v>2055</v>
      </c>
      <c r="E2534" s="112" t="b">
        <v>0</v>
      </c>
      <c r="F2534" s="112" t="b">
        <v>0</v>
      </c>
      <c r="G2534" s="112" t="b">
        <v>0</v>
      </c>
    </row>
    <row r="2535" spans="1:7" ht="15">
      <c r="A2535" s="112" t="s">
        <v>2089</v>
      </c>
      <c r="B2535" s="112">
        <v>41</v>
      </c>
      <c r="C2535" s="114">
        <v>0.016247486748986486</v>
      </c>
      <c r="D2535" s="112" t="s">
        <v>2056</v>
      </c>
      <c r="E2535" s="112" t="b">
        <v>0</v>
      </c>
      <c r="F2535" s="112" t="b">
        <v>0</v>
      </c>
      <c r="G2535" s="112" t="b">
        <v>0</v>
      </c>
    </row>
    <row r="2536" spans="1:7" ht="15">
      <c r="A2536" s="112" t="s">
        <v>2096</v>
      </c>
      <c r="B2536" s="112">
        <v>35</v>
      </c>
      <c r="C2536" s="114">
        <v>0.013869805761329927</v>
      </c>
      <c r="D2536" s="112" t="s">
        <v>2056</v>
      </c>
      <c r="E2536" s="112" t="b">
        <v>0</v>
      </c>
      <c r="F2536" s="112" t="b">
        <v>0</v>
      </c>
      <c r="G2536" s="112" t="b">
        <v>0</v>
      </c>
    </row>
    <row r="2537" spans="1:7" ht="15">
      <c r="A2537" s="112" t="s">
        <v>2083</v>
      </c>
      <c r="B2537" s="112">
        <v>35</v>
      </c>
      <c r="C2537" s="114">
        <v>0.015388749230833568</v>
      </c>
      <c r="D2537" s="112" t="s">
        <v>2056</v>
      </c>
      <c r="E2537" s="112" t="b">
        <v>0</v>
      </c>
      <c r="F2537" s="112" t="b">
        <v>0</v>
      </c>
      <c r="G2537" s="112" t="b">
        <v>0</v>
      </c>
    </row>
    <row r="2538" spans="1:7" ht="15">
      <c r="A2538" s="112" t="s">
        <v>2080</v>
      </c>
      <c r="B2538" s="112">
        <v>33</v>
      </c>
      <c r="C2538" s="114">
        <v>0.013077245432111072</v>
      </c>
      <c r="D2538" s="112" t="s">
        <v>2056</v>
      </c>
      <c r="E2538" s="112" t="b">
        <v>0</v>
      </c>
      <c r="F2538" s="112" t="b">
        <v>0</v>
      </c>
      <c r="G2538" s="112" t="b">
        <v>0</v>
      </c>
    </row>
    <row r="2539" spans="1:7" ht="15">
      <c r="A2539" s="112" t="s">
        <v>2094</v>
      </c>
      <c r="B2539" s="112">
        <v>15</v>
      </c>
      <c r="C2539" s="114">
        <v>0.008077973111591525</v>
      </c>
      <c r="D2539" s="112" t="s">
        <v>2056</v>
      </c>
      <c r="E2539" s="112" t="b">
        <v>0</v>
      </c>
      <c r="F2539" s="112" t="b">
        <v>0</v>
      </c>
      <c r="G2539" s="112" t="b">
        <v>0</v>
      </c>
    </row>
    <row r="2540" spans="1:7" ht="15">
      <c r="A2540" s="112" t="s">
        <v>2086</v>
      </c>
      <c r="B2540" s="112">
        <v>15</v>
      </c>
      <c r="C2540" s="114">
        <v>0.00893485495729705</v>
      </c>
      <c r="D2540" s="112" t="s">
        <v>2056</v>
      </c>
      <c r="E2540" s="112" t="b">
        <v>0</v>
      </c>
      <c r="F2540" s="112" t="b">
        <v>0</v>
      </c>
      <c r="G2540" s="112" t="b">
        <v>0</v>
      </c>
    </row>
    <row r="2541" spans="1:7" ht="15">
      <c r="A2541" s="112" t="s">
        <v>2090</v>
      </c>
      <c r="B2541" s="112">
        <v>13</v>
      </c>
      <c r="C2541" s="114">
        <v>0.006329118635468052</v>
      </c>
      <c r="D2541" s="112" t="s">
        <v>2056</v>
      </c>
      <c r="E2541" s="112" t="b">
        <v>0</v>
      </c>
      <c r="F2541" s="112" t="b">
        <v>0</v>
      </c>
      <c r="G2541" s="112" t="b">
        <v>0</v>
      </c>
    </row>
    <row r="2542" spans="1:7" ht="15">
      <c r="A2542" s="112" t="s">
        <v>2168</v>
      </c>
      <c r="B2542" s="112">
        <v>12</v>
      </c>
      <c r="C2542" s="114">
        <v>0.01429576793167528</v>
      </c>
      <c r="D2542" s="112" t="s">
        <v>2056</v>
      </c>
      <c r="E2542" s="112" t="b">
        <v>0</v>
      </c>
      <c r="F2542" s="112" t="b">
        <v>1</v>
      </c>
      <c r="G2542" s="112" t="b">
        <v>0</v>
      </c>
    </row>
    <row r="2543" spans="1:7" ht="15">
      <c r="A2543" s="112" t="s">
        <v>2163</v>
      </c>
      <c r="B2543" s="112">
        <v>12</v>
      </c>
      <c r="C2543" s="114">
        <v>0.007914213890142976</v>
      </c>
      <c r="D2543" s="112" t="s">
        <v>2056</v>
      </c>
      <c r="E2543" s="112" t="b">
        <v>0</v>
      </c>
      <c r="F2543" s="112" t="b">
        <v>1</v>
      </c>
      <c r="G2543" s="112" t="b">
        <v>0</v>
      </c>
    </row>
    <row r="2544" spans="1:7" ht="15">
      <c r="A2544" s="112" t="s">
        <v>2127</v>
      </c>
      <c r="B2544" s="112">
        <v>8</v>
      </c>
      <c r="C2544" s="114">
        <v>0.005855338068861228</v>
      </c>
      <c r="D2544" s="112" t="s">
        <v>2056</v>
      </c>
      <c r="E2544" s="112" t="b">
        <v>0</v>
      </c>
      <c r="F2544" s="112" t="b">
        <v>0</v>
      </c>
      <c r="G2544" s="112" t="b">
        <v>0</v>
      </c>
    </row>
    <row r="2545" spans="1:7" ht="15">
      <c r="A2545" s="112" t="s">
        <v>2084</v>
      </c>
      <c r="B2545" s="112">
        <v>8</v>
      </c>
      <c r="C2545" s="114">
        <v>0.008282684372844195</v>
      </c>
      <c r="D2545" s="112" t="s">
        <v>2056</v>
      </c>
      <c r="E2545" s="112" t="b">
        <v>0</v>
      </c>
      <c r="F2545" s="112" t="b">
        <v>1</v>
      </c>
      <c r="G2545" s="112" t="b">
        <v>0</v>
      </c>
    </row>
    <row r="2546" spans="1:7" ht="15">
      <c r="A2546" s="112" t="s">
        <v>2139</v>
      </c>
      <c r="B2546" s="112">
        <v>7</v>
      </c>
      <c r="C2546" s="114">
        <v>0.005708473903155314</v>
      </c>
      <c r="D2546" s="112" t="s">
        <v>2056</v>
      </c>
      <c r="E2546" s="112" t="b">
        <v>0</v>
      </c>
      <c r="F2546" s="112" t="b">
        <v>0</v>
      </c>
      <c r="G2546" s="112" t="b">
        <v>0</v>
      </c>
    </row>
    <row r="2547" spans="1:7" ht="15">
      <c r="A2547" s="112" t="s">
        <v>2137</v>
      </c>
      <c r="B2547" s="112">
        <v>7</v>
      </c>
      <c r="C2547" s="114">
        <v>0.005708473903155314</v>
      </c>
      <c r="D2547" s="112" t="s">
        <v>2056</v>
      </c>
      <c r="E2547" s="112" t="b">
        <v>0</v>
      </c>
      <c r="F2547" s="112" t="b">
        <v>0</v>
      </c>
      <c r="G2547" s="112" t="b">
        <v>0</v>
      </c>
    </row>
    <row r="2548" spans="1:7" ht="15">
      <c r="A2548" s="112" t="s">
        <v>2247</v>
      </c>
      <c r="B2548" s="112">
        <v>7</v>
      </c>
      <c r="C2548" s="114">
        <v>0.00987807288322727</v>
      </c>
      <c r="D2548" s="112" t="s">
        <v>2056</v>
      </c>
      <c r="E2548" s="112" t="b">
        <v>0</v>
      </c>
      <c r="F2548" s="112" t="b">
        <v>0</v>
      </c>
      <c r="G2548" s="112" t="b">
        <v>0</v>
      </c>
    </row>
    <row r="2549" spans="1:7" ht="15">
      <c r="A2549" s="112" t="s">
        <v>2099</v>
      </c>
      <c r="B2549" s="112">
        <v>7</v>
      </c>
      <c r="C2549" s="114">
        <v>0.008339197960143914</v>
      </c>
      <c r="D2549" s="112" t="s">
        <v>2056</v>
      </c>
      <c r="E2549" s="112" t="b">
        <v>0</v>
      </c>
      <c r="F2549" s="112" t="b">
        <v>0</v>
      </c>
      <c r="G2549" s="112" t="b">
        <v>0</v>
      </c>
    </row>
    <row r="2550" spans="1:7" ht="15">
      <c r="A2550" s="112" t="s">
        <v>2126</v>
      </c>
      <c r="B2550" s="112">
        <v>6</v>
      </c>
      <c r="C2550" s="114">
        <v>0.005486095579198266</v>
      </c>
      <c r="D2550" s="112" t="s">
        <v>2056</v>
      </c>
      <c r="E2550" s="112" t="b">
        <v>0</v>
      </c>
      <c r="F2550" s="112" t="b">
        <v>0</v>
      </c>
      <c r="G2550" s="112" t="b">
        <v>0</v>
      </c>
    </row>
    <row r="2551" spans="1:7" ht="15">
      <c r="A2551" s="112" t="s">
        <v>2272</v>
      </c>
      <c r="B2551" s="112">
        <v>6</v>
      </c>
      <c r="C2551" s="114">
        <v>0.008466919614194802</v>
      </c>
      <c r="D2551" s="112" t="s">
        <v>2056</v>
      </c>
      <c r="E2551" s="112" t="b">
        <v>0</v>
      </c>
      <c r="F2551" s="112" t="b">
        <v>0</v>
      </c>
      <c r="G2551" s="112" t="b">
        <v>0</v>
      </c>
    </row>
    <row r="2552" spans="1:7" ht="15">
      <c r="A2552" s="112" t="s">
        <v>2425</v>
      </c>
      <c r="B2552" s="112">
        <v>6</v>
      </c>
      <c r="C2552" s="114">
        <v>0.01072182594875646</v>
      </c>
      <c r="D2552" s="112" t="s">
        <v>2056</v>
      </c>
      <c r="E2552" s="112" t="b">
        <v>0</v>
      </c>
      <c r="F2552" s="112" t="b">
        <v>0</v>
      </c>
      <c r="G2552" s="112" t="b">
        <v>0</v>
      </c>
    </row>
    <row r="2553" spans="1:7" ht="15">
      <c r="A2553" s="112" t="s">
        <v>2337</v>
      </c>
      <c r="B2553" s="112">
        <v>6</v>
      </c>
      <c r="C2553" s="114">
        <v>0.008466919614194802</v>
      </c>
      <c r="D2553" s="112" t="s">
        <v>2056</v>
      </c>
      <c r="E2553" s="112" t="b">
        <v>0</v>
      </c>
      <c r="F2553" s="112" t="b">
        <v>0</v>
      </c>
      <c r="G2553" s="112" t="b">
        <v>0</v>
      </c>
    </row>
    <row r="2554" spans="1:7" ht="15">
      <c r="A2554" s="112" t="s">
        <v>2184</v>
      </c>
      <c r="B2554" s="112">
        <v>6</v>
      </c>
      <c r="C2554" s="114">
        <v>0.008466919614194802</v>
      </c>
      <c r="D2554" s="112" t="s">
        <v>2056</v>
      </c>
      <c r="E2554" s="112" t="b">
        <v>0</v>
      </c>
      <c r="F2554" s="112" t="b">
        <v>0</v>
      </c>
      <c r="G2554" s="112" t="b">
        <v>0</v>
      </c>
    </row>
    <row r="2555" spans="1:7" ht="15">
      <c r="A2555" s="112" t="s">
        <v>2117</v>
      </c>
      <c r="B2555" s="112">
        <v>5</v>
      </c>
      <c r="C2555" s="114">
        <v>0.004571746315998554</v>
      </c>
      <c r="D2555" s="112" t="s">
        <v>2056</v>
      </c>
      <c r="E2555" s="112" t="b">
        <v>0</v>
      </c>
      <c r="F2555" s="112" t="b">
        <v>0</v>
      </c>
      <c r="G2555" s="112" t="b">
        <v>0</v>
      </c>
    </row>
    <row r="2556" spans="1:7" ht="15">
      <c r="A2556" s="112" t="s">
        <v>2483</v>
      </c>
      <c r="B2556" s="112">
        <v>5</v>
      </c>
      <c r="C2556" s="114">
        <v>0.00893485495729705</v>
      </c>
      <c r="D2556" s="112" t="s">
        <v>2056</v>
      </c>
      <c r="E2556" s="112" t="b">
        <v>0</v>
      </c>
      <c r="F2556" s="112" t="b">
        <v>0</v>
      </c>
      <c r="G2556" s="112" t="b">
        <v>0</v>
      </c>
    </row>
    <row r="2557" spans="1:7" ht="15">
      <c r="A2557" s="112" t="s">
        <v>2159</v>
      </c>
      <c r="B2557" s="112">
        <v>5</v>
      </c>
      <c r="C2557" s="114">
        <v>0.005176677733027621</v>
      </c>
      <c r="D2557" s="112" t="s">
        <v>2056</v>
      </c>
      <c r="E2557" s="112" t="b">
        <v>0</v>
      </c>
      <c r="F2557" s="112" t="b">
        <v>0</v>
      </c>
      <c r="G2557" s="112" t="b">
        <v>0</v>
      </c>
    </row>
    <row r="2558" spans="1:7" ht="15">
      <c r="A2558" s="112" t="s">
        <v>2375</v>
      </c>
      <c r="B2558" s="112">
        <v>5</v>
      </c>
      <c r="C2558" s="114">
        <v>0.005176677733027621</v>
      </c>
      <c r="D2558" s="112" t="s">
        <v>2056</v>
      </c>
      <c r="E2558" s="112" t="b">
        <v>0</v>
      </c>
      <c r="F2558" s="112" t="b">
        <v>0</v>
      </c>
      <c r="G2558" s="112" t="b">
        <v>0</v>
      </c>
    </row>
    <row r="2559" spans="1:7" ht="15">
      <c r="A2559" s="112" t="s">
        <v>2373</v>
      </c>
      <c r="B2559" s="112">
        <v>5</v>
      </c>
      <c r="C2559" s="114">
        <v>0.005956569971531366</v>
      </c>
      <c r="D2559" s="112" t="s">
        <v>2056</v>
      </c>
      <c r="E2559" s="112" t="b">
        <v>0</v>
      </c>
      <c r="F2559" s="112" t="b">
        <v>0</v>
      </c>
      <c r="G2559" s="112" t="b">
        <v>0</v>
      </c>
    </row>
    <row r="2560" spans="1:7" ht="15">
      <c r="A2560" s="112" t="s">
        <v>2456</v>
      </c>
      <c r="B2560" s="112">
        <v>5</v>
      </c>
      <c r="C2560" s="114">
        <v>0.005956569971531366</v>
      </c>
      <c r="D2560" s="112" t="s">
        <v>2056</v>
      </c>
      <c r="E2560" s="112" t="b">
        <v>0</v>
      </c>
      <c r="F2560" s="112" t="b">
        <v>0</v>
      </c>
      <c r="G2560" s="112" t="b">
        <v>0</v>
      </c>
    </row>
    <row r="2561" spans="1:7" ht="15">
      <c r="A2561" s="112" t="s">
        <v>2218</v>
      </c>
      <c r="B2561" s="112">
        <v>5</v>
      </c>
      <c r="C2561" s="114">
        <v>0.005176677733027621</v>
      </c>
      <c r="D2561" s="112" t="s">
        <v>2056</v>
      </c>
      <c r="E2561" s="112" t="b">
        <v>0</v>
      </c>
      <c r="F2561" s="112" t="b">
        <v>0</v>
      </c>
      <c r="G2561" s="112" t="b">
        <v>0</v>
      </c>
    </row>
    <row r="2562" spans="1:7" ht="15">
      <c r="A2562" s="112" t="s">
        <v>2082</v>
      </c>
      <c r="B2562" s="112">
        <v>5</v>
      </c>
      <c r="C2562" s="114">
        <v>0.005176677733027621</v>
      </c>
      <c r="D2562" s="112" t="s">
        <v>2056</v>
      </c>
      <c r="E2562" s="112" t="b">
        <v>0</v>
      </c>
      <c r="F2562" s="112" t="b">
        <v>0</v>
      </c>
      <c r="G2562" s="112" t="b">
        <v>0</v>
      </c>
    </row>
    <row r="2563" spans="1:7" ht="15">
      <c r="A2563" s="112" t="s">
        <v>2301</v>
      </c>
      <c r="B2563" s="112">
        <v>5</v>
      </c>
      <c r="C2563" s="114">
        <v>0.005956569971531366</v>
      </c>
      <c r="D2563" s="112" t="s">
        <v>2056</v>
      </c>
      <c r="E2563" s="112" t="b">
        <v>0</v>
      </c>
      <c r="F2563" s="112" t="b">
        <v>0</v>
      </c>
      <c r="G2563" s="112" t="b">
        <v>0</v>
      </c>
    </row>
    <row r="2564" spans="1:7" ht="15">
      <c r="A2564" s="112" t="s">
        <v>2356</v>
      </c>
      <c r="B2564" s="112">
        <v>5</v>
      </c>
      <c r="C2564" s="114">
        <v>0.007055766345162335</v>
      </c>
      <c r="D2564" s="112" t="s">
        <v>2056</v>
      </c>
      <c r="E2564" s="112" t="b">
        <v>0</v>
      </c>
      <c r="F2564" s="112" t="b">
        <v>0</v>
      </c>
      <c r="G2564" s="112" t="b">
        <v>0</v>
      </c>
    </row>
    <row r="2565" spans="1:7" ht="15">
      <c r="A2565" s="112" t="s">
        <v>2381</v>
      </c>
      <c r="B2565" s="112">
        <v>5</v>
      </c>
      <c r="C2565" s="114">
        <v>0.00893485495729705</v>
      </c>
      <c r="D2565" s="112" t="s">
        <v>2056</v>
      </c>
      <c r="E2565" s="112" t="b">
        <v>0</v>
      </c>
      <c r="F2565" s="112" t="b">
        <v>0</v>
      </c>
      <c r="G2565" s="112" t="b">
        <v>0</v>
      </c>
    </row>
    <row r="2566" spans="1:7" ht="15">
      <c r="A2566" s="112" t="s">
        <v>2091</v>
      </c>
      <c r="B2566" s="112">
        <v>5</v>
      </c>
      <c r="C2566" s="114">
        <v>0.00893485495729705</v>
      </c>
      <c r="D2566" s="112" t="s">
        <v>2056</v>
      </c>
      <c r="E2566" s="112" t="b">
        <v>0</v>
      </c>
      <c r="F2566" s="112" t="b">
        <v>0</v>
      </c>
      <c r="G2566" s="112" t="b">
        <v>0</v>
      </c>
    </row>
    <row r="2567" spans="1:7" ht="15">
      <c r="A2567" s="112" t="s">
        <v>2289</v>
      </c>
      <c r="B2567" s="112">
        <v>4</v>
      </c>
      <c r="C2567" s="114">
        <v>0.004765255977225093</v>
      </c>
      <c r="D2567" s="112" t="s">
        <v>2056</v>
      </c>
      <c r="E2567" s="112" t="b">
        <v>0</v>
      </c>
      <c r="F2567" s="112" t="b">
        <v>0</v>
      </c>
      <c r="G2567" s="112" t="b">
        <v>0</v>
      </c>
    </row>
    <row r="2568" spans="1:7" ht="15">
      <c r="A2568" s="112" t="s">
        <v>2173</v>
      </c>
      <c r="B2568" s="112">
        <v>4</v>
      </c>
      <c r="C2568" s="114">
        <v>0.0041413421864220975</v>
      </c>
      <c r="D2568" s="112" t="s">
        <v>2056</v>
      </c>
      <c r="E2568" s="112" t="b">
        <v>0</v>
      </c>
      <c r="F2568" s="112" t="b">
        <v>0</v>
      </c>
      <c r="G2568" s="112" t="b">
        <v>0</v>
      </c>
    </row>
    <row r="2569" spans="1:7" ht="15">
      <c r="A2569" s="112" t="s">
        <v>2311</v>
      </c>
      <c r="B2569" s="112">
        <v>4</v>
      </c>
      <c r="C2569" s="114">
        <v>0.004765255977225093</v>
      </c>
      <c r="D2569" s="112" t="s">
        <v>2056</v>
      </c>
      <c r="E2569" s="112" t="b">
        <v>0</v>
      </c>
      <c r="F2569" s="112" t="b">
        <v>0</v>
      </c>
      <c r="G2569" s="112" t="b">
        <v>0</v>
      </c>
    </row>
    <row r="2570" spans="1:7" ht="15">
      <c r="A2570" s="112" t="s">
        <v>2589</v>
      </c>
      <c r="B2570" s="112">
        <v>4</v>
      </c>
      <c r="C2570" s="114">
        <v>0.00714788396583764</v>
      </c>
      <c r="D2570" s="112" t="s">
        <v>2056</v>
      </c>
      <c r="E2570" s="112" t="b">
        <v>0</v>
      </c>
      <c r="F2570" s="112" t="b">
        <v>0</v>
      </c>
      <c r="G2570" s="112" t="b">
        <v>0</v>
      </c>
    </row>
    <row r="2571" spans="1:7" ht="15">
      <c r="A2571" s="112" t="s">
        <v>2175</v>
      </c>
      <c r="B2571" s="112">
        <v>4</v>
      </c>
      <c r="C2571" s="114">
        <v>0.004765255977225093</v>
      </c>
      <c r="D2571" s="112" t="s">
        <v>2056</v>
      </c>
      <c r="E2571" s="112" t="b">
        <v>0</v>
      </c>
      <c r="F2571" s="112" t="b">
        <v>0</v>
      </c>
      <c r="G2571" s="112" t="b">
        <v>0</v>
      </c>
    </row>
    <row r="2572" spans="1:7" ht="15">
      <c r="A2572" s="112" t="s">
        <v>2219</v>
      </c>
      <c r="B2572" s="112">
        <v>4</v>
      </c>
      <c r="C2572" s="114">
        <v>0.0041413421864220975</v>
      </c>
      <c r="D2572" s="112" t="s">
        <v>2056</v>
      </c>
      <c r="E2572" s="112" t="b">
        <v>0</v>
      </c>
      <c r="F2572" s="112" t="b">
        <v>0</v>
      </c>
      <c r="G2572" s="112" t="b">
        <v>0</v>
      </c>
    </row>
    <row r="2573" spans="1:7" ht="15">
      <c r="A2573" s="112" t="s">
        <v>2100</v>
      </c>
      <c r="B2573" s="112">
        <v>4</v>
      </c>
      <c r="C2573" s="114">
        <v>0.0041413421864220975</v>
      </c>
      <c r="D2573" s="112" t="s">
        <v>2056</v>
      </c>
      <c r="E2573" s="112" t="b">
        <v>0</v>
      </c>
      <c r="F2573" s="112" t="b">
        <v>0</v>
      </c>
      <c r="G2573" s="112" t="b">
        <v>0</v>
      </c>
    </row>
    <row r="2574" spans="1:7" ht="15">
      <c r="A2574" s="112" t="s">
        <v>2325</v>
      </c>
      <c r="B2574" s="112">
        <v>4</v>
      </c>
      <c r="C2574" s="114">
        <v>0.00714788396583764</v>
      </c>
      <c r="D2574" s="112" t="s">
        <v>2056</v>
      </c>
      <c r="E2574" s="112" t="b">
        <v>0</v>
      </c>
      <c r="F2574" s="112" t="b">
        <v>0</v>
      </c>
      <c r="G2574" s="112" t="b">
        <v>0</v>
      </c>
    </row>
    <row r="2575" spans="1:7" ht="15">
      <c r="A2575" s="112" t="s">
        <v>2092</v>
      </c>
      <c r="B2575" s="112">
        <v>4</v>
      </c>
      <c r="C2575" s="114">
        <v>0.0041413421864220975</v>
      </c>
      <c r="D2575" s="112" t="s">
        <v>2056</v>
      </c>
      <c r="E2575" s="112" t="b">
        <v>0</v>
      </c>
      <c r="F2575" s="112" t="b">
        <v>0</v>
      </c>
      <c r="G2575" s="112" t="b">
        <v>0</v>
      </c>
    </row>
    <row r="2576" spans="1:7" ht="15">
      <c r="A2576" s="112" t="s">
        <v>2475</v>
      </c>
      <c r="B2576" s="112">
        <v>3</v>
      </c>
      <c r="C2576" s="114">
        <v>0.004233459807097401</v>
      </c>
      <c r="D2576" s="112" t="s">
        <v>2056</v>
      </c>
      <c r="E2576" s="112" t="b">
        <v>0</v>
      </c>
      <c r="F2576" s="112" t="b">
        <v>0</v>
      </c>
      <c r="G2576" s="112" t="b">
        <v>0</v>
      </c>
    </row>
    <row r="2577" spans="1:7" ht="15">
      <c r="A2577" s="112" t="s">
        <v>2160</v>
      </c>
      <c r="B2577" s="112">
        <v>3</v>
      </c>
      <c r="C2577" s="114">
        <v>0.004233459807097401</v>
      </c>
      <c r="D2577" s="112" t="s">
        <v>2056</v>
      </c>
      <c r="E2577" s="112" t="b">
        <v>0</v>
      </c>
      <c r="F2577" s="112" t="b">
        <v>1</v>
      </c>
      <c r="G2577" s="112" t="b">
        <v>0</v>
      </c>
    </row>
    <row r="2578" spans="1:7" ht="15">
      <c r="A2578" s="112" t="s">
        <v>2423</v>
      </c>
      <c r="B2578" s="112">
        <v>3</v>
      </c>
      <c r="C2578" s="114">
        <v>0.004233459807097401</v>
      </c>
      <c r="D2578" s="112" t="s">
        <v>2056</v>
      </c>
      <c r="E2578" s="112" t="b">
        <v>0</v>
      </c>
      <c r="F2578" s="112" t="b">
        <v>0</v>
      </c>
      <c r="G2578" s="112" t="b">
        <v>0</v>
      </c>
    </row>
    <row r="2579" spans="1:7" ht="15">
      <c r="A2579" s="112" t="s">
        <v>2480</v>
      </c>
      <c r="B2579" s="112">
        <v>3</v>
      </c>
      <c r="C2579" s="114">
        <v>0.004233459807097401</v>
      </c>
      <c r="D2579" s="112" t="s">
        <v>2056</v>
      </c>
      <c r="E2579" s="112" t="b">
        <v>0</v>
      </c>
      <c r="F2579" s="112" t="b">
        <v>0</v>
      </c>
      <c r="G2579" s="112" t="b">
        <v>0</v>
      </c>
    </row>
    <row r="2580" spans="1:7" ht="15">
      <c r="A2580" s="112" t="s">
        <v>2210</v>
      </c>
      <c r="B2580" s="112">
        <v>3</v>
      </c>
      <c r="C2580" s="114">
        <v>0.00357394198291882</v>
      </c>
      <c r="D2580" s="112" t="s">
        <v>2056</v>
      </c>
      <c r="E2580" s="112" t="b">
        <v>0</v>
      </c>
      <c r="F2580" s="112" t="b">
        <v>0</v>
      </c>
      <c r="G2580" s="112" t="b">
        <v>0</v>
      </c>
    </row>
    <row r="2581" spans="1:7" ht="15">
      <c r="A2581" s="112" t="s">
        <v>2410</v>
      </c>
      <c r="B2581" s="112">
        <v>3</v>
      </c>
      <c r="C2581" s="114">
        <v>0.004233459807097401</v>
      </c>
      <c r="D2581" s="112" t="s">
        <v>2056</v>
      </c>
      <c r="E2581" s="112" t="b">
        <v>0</v>
      </c>
      <c r="F2581" s="112" t="b">
        <v>0</v>
      </c>
      <c r="G2581" s="112" t="b">
        <v>0</v>
      </c>
    </row>
    <row r="2582" spans="1:7" ht="15">
      <c r="A2582" s="112" t="s">
        <v>2455</v>
      </c>
      <c r="B2582" s="112">
        <v>3</v>
      </c>
      <c r="C2582" s="114">
        <v>0.004233459807097401</v>
      </c>
      <c r="D2582" s="112" t="s">
        <v>2056</v>
      </c>
      <c r="E2582" s="112" t="b">
        <v>0</v>
      </c>
      <c r="F2582" s="112" t="b">
        <v>0</v>
      </c>
      <c r="G2582" s="112" t="b">
        <v>0</v>
      </c>
    </row>
    <row r="2583" spans="1:7" ht="15">
      <c r="A2583" s="112" t="s">
        <v>2267</v>
      </c>
      <c r="B2583" s="112">
        <v>3</v>
      </c>
      <c r="C2583" s="114">
        <v>0.00536091297437823</v>
      </c>
      <c r="D2583" s="112" t="s">
        <v>2056</v>
      </c>
      <c r="E2583" s="112" t="b">
        <v>0</v>
      </c>
      <c r="F2583" s="112" t="b">
        <v>0</v>
      </c>
      <c r="G2583" s="112" t="b">
        <v>0</v>
      </c>
    </row>
    <row r="2584" spans="1:7" ht="15">
      <c r="A2584" s="112" t="s">
        <v>2689</v>
      </c>
      <c r="B2584" s="112">
        <v>3</v>
      </c>
      <c r="C2584" s="114">
        <v>0.004233459807097401</v>
      </c>
      <c r="D2584" s="112" t="s">
        <v>2056</v>
      </c>
      <c r="E2584" s="112" t="b">
        <v>0</v>
      </c>
      <c r="F2584" s="112" t="b">
        <v>0</v>
      </c>
      <c r="G2584" s="112" t="b">
        <v>0</v>
      </c>
    </row>
    <row r="2585" spans="1:7" ht="15">
      <c r="A2585" s="112" t="s">
        <v>2545</v>
      </c>
      <c r="B2585" s="112">
        <v>3</v>
      </c>
      <c r="C2585" s="114">
        <v>0.004233459807097401</v>
      </c>
      <c r="D2585" s="112" t="s">
        <v>2056</v>
      </c>
      <c r="E2585" s="112" t="b">
        <v>0</v>
      </c>
      <c r="F2585" s="112" t="b">
        <v>0</v>
      </c>
      <c r="G2585" s="112" t="b">
        <v>0</v>
      </c>
    </row>
    <row r="2586" spans="1:7" ht="15">
      <c r="A2586" s="112" t="s">
        <v>2422</v>
      </c>
      <c r="B2586" s="112">
        <v>3</v>
      </c>
      <c r="C2586" s="114">
        <v>0.00536091297437823</v>
      </c>
      <c r="D2586" s="112" t="s">
        <v>2056</v>
      </c>
      <c r="E2586" s="112" t="b">
        <v>0</v>
      </c>
      <c r="F2586" s="112" t="b">
        <v>0</v>
      </c>
      <c r="G2586" s="112" t="b">
        <v>0</v>
      </c>
    </row>
    <row r="2587" spans="1:7" ht="15">
      <c r="A2587" s="112" t="s">
        <v>2290</v>
      </c>
      <c r="B2587" s="112">
        <v>3</v>
      </c>
      <c r="C2587" s="114">
        <v>0.004233459807097401</v>
      </c>
      <c r="D2587" s="112" t="s">
        <v>2056</v>
      </c>
      <c r="E2587" s="112" t="b">
        <v>0</v>
      </c>
      <c r="F2587" s="112" t="b">
        <v>1</v>
      </c>
      <c r="G2587" s="112" t="b">
        <v>0</v>
      </c>
    </row>
    <row r="2588" spans="1:7" ht="15">
      <c r="A2588" s="112" t="s">
        <v>2374</v>
      </c>
      <c r="B2588" s="112">
        <v>3</v>
      </c>
      <c r="C2588" s="114">
        <v>0.004233459807097401</v>
      </c>
      <c r="D2588" s="112" t="s">
        <v>2056</v>
      </c>
      <c r="E2588" s="112" t="b">
        <v>0</v>
      </c>
      <c r="F2588" s="112" t="b">
        <v>0</v>
      </c>
      <c r="G2588" s="112" t="b">
        <v>0</v>
      </c>
    </row>
    <row r="2589" spans="1:7" ht="15">
      <c r="A2589" s="112" t="s">
        <v>2078</v>
      </c>
      <c r="B2589" s="112">
        <v>3</v>
      </c>
      <c r="C2589" s="114">
        <v>0.004233459807097401</v>
      </c>
      <c r="D2589" s="112" t="s">
        <v>2056</v>
      </c>
      <c r="E2589" s="112" t="b">
        <v>0</v>
      </c>
      <c r="F2589" s="112" t="b">
        <v>0</v>
      </c>
      <c r="G2589" s="112" t="b">
        <v>0</v>
      </c>
    </row>
    <row r="2590" spans="1:7" ht="15">
      <c r="A2590" s="112" t="s">
        <v>2143</v>
      </c>
      <c r="B2590" s="112">
        <v>3</v>
      </c>
      <c r="C2590" s="114">
        <v>0.00357394198291882</v>
      </c>
      <c r="D2590" s="112" t="s">
        <v>2056</v>
      </c>
      <c r="E2590" s="112" t="b">
        <v>0</v>
      </c>
      <c r="F2590" s="112" t="b">
        <v>0</v>
      </c>
      <c r="G2590" s="112" t="b">
        <v>0</v>
      </c>
    </row>
    <row r="2591" spans="1:7" ht="15">
      <c r="A2591" s="112" t="s">
        <v>2087</v>
      </c>
      <c r="B2591" s="112">
        <v>3</v>
      </c>
      <c r="C2591" s="114">
        <v>0.00357394198291882</v>
      </c>
      <c r="D2591" s="112" t="s">
        <v>2056</v>
      </c>
      <c r="E2591" s="112" t="b">
        <v>0</v>
      </c>
      <c r="F2591" s="112" t="b">
        <v>0</v>
      </c>
      <c r="G2591" s="112" t="b">
        <v>0</v>
      </c>
    </row>
    <row r="2592" spans="1:7" ht="15">
      <c r="A2592" s="112" t="s">
        <v>2588</v>
      </c>
      <c r="B2592" s="112">
        <v>3</v>
      </c>
      <c r="C2592" s="114">
        <v>0.00536091297437823</v>
      </c>
      <c r="D2592" s="112" t="s">
        <v>2056</v>
      </c>
      <c r="E2592" s="112" t="b">
        <v>0</v>
      </c>
      <c r="F2592" s="112" t="b">
        <v>0</v>
      </c>
      <c r="G2592" s="112" t="b">
        <v>0</v>
      </c>
    </row>
    <row r="2593" spans="1:7" ht="15">
      <c r="A2593" s="112" t="s">
        <v>2741</v>
      </c>
      <c r="B2593" s="112">
        <v>3</v>
      </c>
      <c r="C2593" s="114">
        <v>0.00536091297437823</v>
      </c>
      <c r="D2593" s="112" t="s">
        <v>2056</v>
      </c>
      <c r="E2593" s="112" t="b">
        <v>0</v>
      </c>
      <c r="F2593" s="112" t="b">
        <v>0</v>
      </c>
      <c r="G2593" s="112" t="b">
        <v>0</v>
      </c>
    </row>
    <row r="2594" spans="1:7" ht="15">
      <c r="A2594" s="112" t="s">
        <v>2735</v>
      </c>
      <c r="B2594" s="112">
        <v>3</v>
      </c>
      <c r="C2594" s="114">
        <v>0.00536091297437823</v>
      </c>
      <c r="D2594" s="112" t="s">
        <v>2056</v>
      </c>
      <c r="E2594" s="112" t="b">
        <v>0</v>
      </c>
      <c r="F2594" s="112" t="b">
        <v>0</v>
      </c>
      <c r="G2594" s="112" t="b">
        <v>0</v>
      </c>
    </row>
    <row r="2595" spans="1:7" ht="15">
      <c r="A2595" s="112" t="s">
        <v>2736</v>
      </c>
      <c r="B2595" s="112">
        <v>3</v>
      </c>
      <c r="C2595" s="114">
        <v>0.00536091297437823</v>
      </c>
      <c r="D2595" s="112" t="s">
        <v>2056</v>
      </c>
      <c r="E2595" s="112" t="b">
        <v>0</v>
      </c>
      <c r="F2595" s="112" t="b">
        <v>0</v>
      </c>
      <c r="G2595" s="112" t="b">
        <v>0</v>
      </c>
    </row>
    <row r="2596" spans="1:7" ht="15">
      <c r="A2596" s="112" t="s">
        <v>2104</v>
      </c>
      <c r="B2596" s="112">
        <v>3</v>
      </c>
      <c r="C2596" s="114">
        <v>0.00357394198291882</v>
      </c>
      <c r="D2596" s="112" t="s">
        <v>2056</v>
      </c>
      <c r="E2596" s="112" t="b">
        <v>0</v>
      </c>
      <c r="F2596" s="112" t="b">
        <v>0</v>
      </c>
      <c r="G2596" s="112" t="b">
        <v>0</v>
      </c>
    </row>
    <row r="2597" spans="1:7" ht="15">
      <c r="A2597" s="112" t="s">
        <v>2098</v>
      </c>
      <c r="B2597" s="112">
        <v>3</v>
      </c>
      <c r="C2597" s="114">
        <v>0.00357394198291882</v>
      </c>
      <c r="D2597" s="112" t="s">
        <v>2056</v>
      </c>
      <c r="E2597" s="112" t="b">
        <v>1</v>
      </c>
      <c r="F2597" s="112" t="b">
        <v>0</v>
      </c>
      <c r="G2597" s="112" t="b">
        <v>0</v>
      </c>
    </row>
    <row r="2598" spans="1:7" ht="15">
      <c r="A2598" s="112" t="s">
        <v>2582</v>
      </c>
      <c r="B2598" s="112">
        <v>3</v>
      </c>
      <c r="C2598" s="114">
        <v>0.00536091297437823</v>
      </c>
      <c r="D2598" s="112" t="s">
        <v>2056</v>
      </c>
      <c r="E2598" s="112" t="b">
        <v>0</v>
      </c>
      <c r="F2598" s="112" t="b">
        <v>0</v>
      </c>
      <c r="G2598" s="112" t="b">
        <v>0</v>
      </c>
    </row>
    <row r="2599" spans="1:7" ht="15">
      <c r="A2599" s="112" t="s">
        <v>2583</v>
      </c>
      <c r="B2599" s="112">
        <v>3</v>
      </c>
      <c r="C2599" s="114">
        <v>0.00536091297437823</v>
      </c>
      <c r="D2599" s="112" t="s">
        <v>2056</v>
      </c>
      <c r="E2599" s="112" t="b">
        <v>0</v>
      </c>
      <c r="F2599" s="112" t="b">
        <v>0</v>
      </c>
      <c r="G2599" s="112" t="b">
        <v>0</v>
      </c>
    </row>
    <row r="2600" spans="1:7" ht="15">
      <c r="A2600" s="112" t="s">
        <v>2142</v>
      </c>
      <c r="B2600" s="112">
        <v>3</v>
      </c>
      <c r="C2600" s="114">
        <v>0.00536091297437823</v>
      </c>
      <c r="D2600" s="112" t="s">
        <v>2056</v>
      </c>
      <c r="E2600" s="112" t="b">
        <v>0</v>
      </c>
      <c r="F2600" s="112" t="b">
        <v>0</v>
      </c>
      <c r="G2600" s="112" t="b">
        <v>0</v>
      </c>
    </row>
    <row r="2601" spans="1:7" ht="15">
      <c r="A2601" s="112" t="s">
        <v>2261</v>
      </c>
      <c r="B2601" s="112">
        <v>3</v>
      </c>
      <c r="C2601" s="114">
        <v>0.00536091297437823</v>
      </c>
      <c r="D2601" s="112" t="s">
        <v>2056</v>
      </c>
      <c r="E2601" s="112" t="b">
        <v>0</v>
      </c>
      <c r="F2601" s="112" t="b">
        <v>0</v>
      </c>
      <c r="G2601" s="112" t="b">
        <v>0</v>
      </c>
    </row>
    <row r="2602" spans="1:7" ht="15">
      <c r="A2602" s="112" t="s">
        <v>2729</v>
      </c>
      <c r="B2602" s="112">
        <v>2</v>
      </c>
      <c r="C2602" s="114">
        <v>0.0028223065380649343</v>
      </c>
      <c r="D2602" s="112" t="s">
        <v>2056</v>
      </c>
      <c r="E2602" s="112" t="b">
        <v>0</v>
      </c>
      <c r="F2602" s="112" t="b">
        <v>0</v>
      </c>
      <c r="G2602" s="112" t="b">
        <v>0</v>
      </c>
    </row>
    <row r="2603" spans="1:7" ht="15">
      <c r="A2603" s="112" t="s">
        <v>2372</v>
      </c>
      <c r="B2603" s="112">
        <v>2</v>
      </c>
      <c r="C2603" s="114">
        <v>0.0028223065380649343</v>
      </c>
      <c r="D2603" s="112" t="s">
        <v>2056</v>
      </c>
      <c r="E2603" s="112" t="b">
        <v>0</v>
      </c>
      <c r="F2603" s="112" t="b">
        <v>0</v>
      </c>
      <c r="G2603" s="112" t="b">
        <v>0</v>
      </c>
    </row>
    <row r="2604" spans="1:7" ht="15">
      <c r="A2604" s="112" t="s">
        <v>2730</v>
      </c>
      <c r="B2604" s="112">
        <v>2</v>
      </c>
      <c r="C2604" s="114">
        <v>0.0028223065380649343</v>
      </c>
      <c r="D2604" s="112" t="s">
        <v>2056</v>
      </c>
      <c r="E2604" s="112" t="b">
        <v>0</v>
      </c>
      <c r="F2604" s="112" t="b">
        <v>0</v>
      </c>
      <c r="G2604" s="112" t="b">
        <v>0</v>
      </c>
    </row>
    <row r="2605" spans="1:7" ht="15">
      <c r="A2605" s="112" t="s">
        <v>2731</v>
      </c>
      <c r="B2605" s="112">
        <v>2</v>
      </c>
      <c r="C2605" s="114">
        <v>0.0028223065380649343</v>
      </c>
      <c r="D2605" s="112" t="s">
        <v>2056</v>
      </c>
      <c r="E2605" s="112" t="b">
        <v>0</v>
      </c>
      <c r="F2605" s="112" t="b">
        <v>0</v>
      </c>
      <c r="G2605" s="112" t="b">
        <v>0</v>
      </c>
    </row>
    <row r="2606" spans="1:7" ht="15">
      <c r="A2606" s="112" t="s">
        <v>2552</v>
      </c>
      <c r="B2606" s="112">
        <v>2</v>
      </c>
      <c r="C2606" s="114">
        <v>0.0028223065380649343</v>
      </c>
      <c r="D2606" s="112" t="s">
        <v>2056</v>
      </c>
      <c r="E2606" s="112" t="b">
        <v>0</v>
      </c>
      <c r="F2606" s="112" t="b">
        <v>0</v>
      </c>
      <c r="G2606" s="112" t="b">
        <v>0</v>
      </c>
    </row>
    <row r="2607" spans="1:7" ht="15">
      <c r="A2607" s="112" t="s">
        <v>2513</v>
      </c>
      <c r="B2607" s="112">
        <v>2</v>
      </c>
      <c r="C2607" s="114">
        <v>0.00357394198291882</v>
      </c>
      <c r="D2607" s="112" t="s">
        <v>2056</v>
      </c>
      <c r="E2607" s="112" t="b">
        <v>0</v>
      </c>
      <c r="F2607" s="112" t="b">
        <v>0</v>
      </c>
      <c r="G2607" s="112" t="b">
        <v>0</v>
      </c>
    </row>
    <row r="2608" spans="1:7" ht="15">
      <c r="A2608" s="112" t="s">
        <v>2481</v>
      </c>
      <c r="B2608" s="112">
        <v>2</v>
      </c>
      <c r="C2608" s="114">
        <v>0.0028223065380649343</v>
      </c>
      <c r="D2608" s="112" t="s">
        <v>2056</v>
      </c>
      <c r="E2608" s="112" t="b">
        <v>0</v>
      </c>
      <c r="F2608" s="112" t="b">
        <v>0</v>
      </c>
      <c r="G2608" s="112" t="b">
        <v>0</v>
      </c>
    </row>
    <row r="2609" spans="1:7" ht="15">
      <c r="A2609" s="112" t="s">
        <v>3063</v>
      </c>
      <c r="B2609" s="112">
        <v>2</v>
      </c>
      <c r="C2609" s="114">
        <v>0.0028223065380649343</v>
      </c>
      <c r="D2609" s="112" t="s">
        <v>2056</v>
      </c>
      <c r="E2609" s="112" t="b">
        <v>0</v>
      </c>
      <c r="F2609" s="112" t="b">
        <v>0</v>
      </c>
      <c r="G2609" s="112" t="b">
        <v>0</v>
      </c>
    </row>
    <row r="2610" spans="1:7" ht="15">
      <c r="A2610" s="112" t="s">
        <v>2684</v>
      </c>
      <c r="B2610" s="112">
        <v>2</v>
      </c>
      <c r="C2610" s="114">
        <v>0.0028223065380649343</v>
      </c>
      <c r="D2610" s="112" t="s">
        <v>2056</v>
      </c>
      <c r="E2610" s="112" t="b">
        <v>0</v>
      </c>
      <c r="F2610" s="112" t="b">
        <v>0</v>
      </c>
      <c r="G2610" s="112" t="b">
        <v>0</v>
      </c>
    </row>
    <row r="2611" spans="1:7" ht="15">
      <c r="A2611" s="112" t="s">
        <v>2327</v>
      </c>
      <c r="B2611" s="112">
        <v>2</v>
      </c>
      <c r="C2611" s="114">
        <v>0.0028223065380649343</v>
      </c>
      <c r="D2611" s="112" t="s">
        <v>2056</v>
      </c>
      <c r="E2611" s="112" t="b">
        <v>0</v>
      </c>
      <c r="F2611" s="112" t="b">
        <v>0</v>
      </c>
      <c r="G2611" s="112" t="b">
        <v>0</v>
      </c>
    </row>
    <row r="2612" spans="1:7" ht="15">
      <c r="A2612" s="112" t="s">
        <v>2294</v>
      </c>
      <c r="B2612" s="112">
        <v>2</v>
      </c>
      <c r="C2612" s="114">
        <v>0.0028223065380649343</v>
      </c>
      <c r="D2612" s="112" t="s">
        <v>2056</v>
      </c>
      <c r="E2612" s="112" t="b">
        <v>0</v>
      </c>
      <c r="F2612" s="112" t="b">
        <v>0</v>
      </c>
      <c r="G2612" s="112" t="b">
        <v>0</v>
      </c>
    </row>
    <row r="2613" spans="1:7" ht="15">
      <c r="A2613" s="112" t="s">
        <v>2295</v>
      </c>
      <c r="B2613" s="112">
        <v>2</v>
      </c>
      <c r="C2613" s="114">
        <v>0.0028223065380649343</v>
      </c>
      <c r="D2613" s="112" t="s">
        <v>2056</v>
      </c>
      <c r="E2613" s="112" t="b">
        <v>0</v>
      </c>
      <c r="F2613" s="112" t="b">
        <v>0</v>
      </c>
      <c r="G2613" s="112" t="b">
        <v>0</v>
      </c>
    </row>
    <row r="2614" spans="1:7" ht="15">
      <c r="A2614" s="112" t="s">
        <v>2195</v>
      </c>
      <c r="B2614" s="112">
        <v>2</v>
      </c>
      <c r="C2614" s="114">
        <v>0.0028223065380649343</v>
      </c>
      <c r="D2614" s="112" t="s">
        <v>2056</v>
      </c>
      <c r="E2614" s="112" t="b">
        <v>0</v>
      </c>
      <c r="F2614" s="112" t="b">
        <v>0</v>
      </c>
      <c r="G2614" s="112" t="b">
        <v>0</v>
      </c>
    </row>
    <row r="2615" spans="1:7" ht="15">
      <c r="A2615" s="112" t="s">
        <v>2224</v>
      </c>
      <c r="B2615" s="112">
        <v>2</v>
      </c>
      <c r="C2615" s="114">
        <v>0.0028223065380649343</v>
      </c>
      <c r="D2615" s="112" t="s">
        <v>2056</v>
      </c>
      <c r="E2615" s="112" t="b">
        <v>0</v>
      </c>
      <c r="F2615" s="112" t="b">
        <v>0</v>
      </c>
      <c r="G2615" s="112" t="b">
        <v>0</v>
      </c>
    </row>
    <row r="2616" spans="1:7" ht="15">
      <c r="A2616" s="112" t="s">
        <v>2225</v>
      </c>
      <c r="B2616" s="112">
        <v>2</v>
      </c>
      <c r="C2616" s="114">
        <v>0.0028223065380649343</v>
      </c>
      <c r="D2616" s="112" t="s">
        <v>2056</v>
      </c>
      <c r="E2616" s="112" t="b">
        <v>0</v>
      </c>
      <c r="F2616" s="112" t="b">
        <v>0</v>
      </c>
      <c r="G2616" s="112" t="b">
        <v>0</v>
      </c>
    </row>
    <row r="2617" spans="1:7" ht="15">
      <c r="A2617" s="112" t="s">
        <v>2642</v>
      </c>
      <c r="B2617" s="112">
        <v>2</v>
      </c>
      <c r="C2617" s="114">
        <v>0.0028223065380649343</v>
      </c>
      <c r="D2617" s="112" t="s">
        <v>2056</v>
      </c>
      <c r="E2617" s="112" t="b">
        <v>0</v>
      </c>
      <c r="F2617" s="112" t="b">
        <v>0</v>
      </c>
      <c r="G2617" s="112" t="b">
        <v>0</v>
      </c>
    </row>
    <row r="2618" spans="1:7" ht="15">
      <c r="A2618" s="112" t="s">
        <v>2315</v>
      </c>
      <c r="B2618" s="112">
        <v>2</v>
      </c>
      <c r="C2618" s="114">
        <v>0.0028223065380649343</v>
      </c>
      <c r="D2618" s="112" t="s">
        <v>2056</v>
      </c>
      <c r="E2618" s="112" t="b">
        <v>0</v>
      </c>
      <c r="F2618" s="112" t="b">
        <v>0</v>
      </c>
      <c r="G2618" s="112" t="b">
        <v>0</v>
      </c>
    </row>
    <row r="2619" spans="1:7" ht="15">
      <c r="A2619" s="112" t="s">
        <v>2182</v>
      </c>
      <c r="B2619" s="112">
        <v>2</v>
      </c>
      <c r="C2619" s="114">
        <v>0.0028223065380649343</v>
      </c>
      <c r="D2619" s="112" t="s">
        <v>2056</v>
      </c>
      <c r="E2619" s="112" t="b">
        <v>0</v>
      </c>
      <c r="F2619" s="112" t="b">
        <v>0</v>
      </c>
      <c r="G2619" s="112" t="b">
        <v>0</v>
      </c>
    </row>
    <row r="2620" spans="1:7" ht="15">
      <c r="A2620" s="112" t="s">
        <v>2690</v>
      </c>
      <c r="B2620" s="112">
        <v>2</v>
      </c>
      <c r="C2620" s="114">
        <v>0.0028223065380649343</v>
      </c>
      <c r="D2620" s="112" t="s">
        <v>2056</v>
      </c>
      <c r="E2620" s="112" t="b">
        <v>0</v>
      </c>
      <c r="F2620" s="112" t="b">
        <v>1</v>
      </c>
      <c r="G2620" s="112" t="b">
        <v>0</v>
      </c>
    </row>
    <row r="2621" spans="1:7" ht="15">
      <c r="A2621" s="112" t="s">
        <v>2145</v>
      </c>
      <c r="B2621" s="112">
        <v>2</v>
      </c>
      <c r="C2621" s="114">
        <v>0.0028223065380649343</v>
      </c>
      <c r="D2621" s="112" t="s">
        <v>2056</v>
      </c>
      <c r="E2621" s="112" t="b">
        <v>0</v>
      </c>
      <c r="F2621" s="112" t="b">
        <v>0</v>
      </c>
      <c r="G2621" s="112" t="b">
        <v>0</v>
      </c>
    </row>
    <row r="2622" spans="1:7" ht="15">
      <c r="A2622" s="112" t="s">
        <v>2341</v>
      </c>
      <c r="B2622" s="112">
        <v>2</v>
      </c>
      <c r="C2622" s="114">
        <v>0.0028223065380649343</v>
      </c>
      <c r="D2622" s="112" t="s">
        <v>2056</v>
      </c>
      <c r="E2622" s="112" t="b">
        <v>0</v>
      </c>
      <c r="F2622" s="112" t="b">
        <v>0</v>
      </c>
      <c r="G2622" s="112" t="b">
        <v>0</v>
      </c>
    </row>
    <row r="2623" spans="1:7" ht="15">
      <c r="A2623" s="112" t="s">
        <v>2412</v>
      </c>
      <c r="B2623" s="112">
        <v>2</v>
      </c>
      <c r="C2623" s="114">
        <v>0.0028223065380649343</v>
      </c>
      <c r="D2623" s="112" t="s">
        <v>2056</v>
      </c>
      <c r="E2623" s="112" t="b">
        <v>0</v>
      </c>
      <c r="F2623" s="112" t="b">
        <v>0</v>
      </c>
      <c r="G2623" s="112" t="b">
        <v>0</v>
      </c>
    </row>
    <row r="2624" spans="1:7" ht="15">
      <c r="A2624" s="112" t="s">
        <v>2362</v>
      </c>
      <c r="B2624" s="112">
        <v>2</v>
      </c>
      <c r="C2624" s="114">
        <v>0.0028223065380649343</v>
      </c>
      <c r="D2624" s="112" t="s">
        <v>2056</v>
      </c>
      <c r="E2624" s="112" t="b">
        <v>0</v>
      </c>
      <c r="F2624" s="112" t="b">
        <v>0</v>
      </c>
      <c r="G2624" s="112" t="b">
        <v>0</v>
      </c>
    </row>
    <row r="2625" spans="1:7" ht="15">
      <c r="A2625" s="112" t="s">
        <v>2277</v>
      </c>
      <c r="B2625" s="112">
        <v>2</v>
      </c>
      <c r="C2625" s="114">
        <v>0.0028223065380649343</v>
      </c>
      <c r="D2625" s="112" t="s">
        <v>2056</v>
      </c>
      <c r="E2625" s="112" t="b">
        <v>0</v>
      </c>
      <c r="F2625" s="112" t="b">
        <v>0</v>
      </c>
      <c r="G2625" s="112" t="b">
        <v>0</v>
      </c>
    </row>
    <row r="2626" spans="1:7" ht="15">
      <c r="A2626" s="112" t="s">
        <v>2463</v>
      </c>
      <c r="B2626" s="112">
        <v>2</v>
      </c>
      <c r="C2626" s="114">
        <v>0.00357394198291882</v>
      </c>
      <c r="D2626" s="112" t="s">
        <v>2056</v>
      </c>
      <c r="E2626" s="112" t="b">
        <v>0</v>
      </c>
      <c r="F2626" s="112" t="b">
        <v>0</v>
      </c>
      <c r="G2626" s="112" t="b">
        <v>0</v>
      </c>
    </row>
    <row r="2627" spans="1:7" ht="15">
      <c r="A2627" s="112" t="s">
        <v>2397</v>
      </c>
      <c r="B2627" s="112">
        <v>2</v>
      </c>
      <c r="C2627" s="114">
        <v>0.00357394198291882</v>
      </c>
      <c r="D2627" s="112" t="s">
        <v>2056</v>
      </c>
      <c r="E2627" s="112" t="b">
        <v>0</v>
      </c>
      <c r="F2627" s="112" t="b">
        <v>0</v>
      </c>
      <c r="G2627" s="112" t="b">
        <v>0</v>
      </c>
    </row>
    <row r="2628" spans="1:7" ht="15">
      <c r="A2628" s="112" t="s">
        <v>2193</v>
      </c>
      <c r="B2628" s="112">
        <v>2</v>
      </c>
      <c r="C2628" s="114">
        <v>0.00357394198291882</v>
      </c>
      <c r="D2628" s="112" t="s">
        <v>2056</v>
      </c>
      <c r="E2628" s="112" t="b">
        <v>0</v>
      </c>
      <c r="F2628" s="112" t="b">
        <v>0</v>
      </c>
      <c r="G2628" s="112" t="b">
        <v>0</v>
      </c>
    </row>
    <row r="2629" spans="1:7" ht="15">
      <c r="A2629" s="112" t="s">
        <v>3062</v>
      </c>
      <c r="B2629" s="112">
        <v>2</v>
      </c>
      <c r="C2629" s="114">
        <v>0.00357394198291882</v>
      </c>
      <c r="D2629" s="112" t="s">
        <v>2056</v>
      </c>
      <c r="E2629" s="112" t="b">
        <v>0</v>
      </c>
      <c r="F2629" s="112" t="b">
        <v>0</v>
      </c>
      <c r="G2629" s="112" t="b">
        <v>0</v>
      </c>
    </row>
    <row r="2630" spans="1:7" ht="15">
      <c r="A2630" s="112" t="s">
        <v>2297</v>
      </c>
      <c r="B2630" s="112">
        <v>2</v>
      </c>
      <c r="C2630" s="114">
        <v>0.0028223065380649343</v>
      </c>
      <c r="D2630" s="112" t="s">
        <v>2056</v>
      </c>
      <c r="E2630" s="112" t="b">
        <v>0</v>
      </c>
      <c r="F2630" s="112" t="b">
        <v>0</v>
      </c>
      <c r="G2630" s="112" t="b">
        <v>0</v>
      </c>
    </row>
    <row r="2631" spans="1:7" ht="15">
      <c r="A2631" s="112" t="s">
        <v>2361</v>
      </c>
      <c r="B2631" s="112">
        <v>2</v>
      </c>
      <c r="C2631" s="114">
        <v>0.0028223065380649343</v>
      </c>
      <c r="D2631" s="112" t="s">
        <v>2056</v>
      </c>
      <c r="E2631" s="112" t="b">
        <v>0</v>
      </c>
      <c r="F2631" s="112" t="b">
        <v>0</v>
      </c>
      <c r="G2631" s="112" t="b">
        <v>0</v>
      </c>
    </row>
    <row r="2632" spans="1:7" ht="15">
      <c r="A2632" s="112" t="s">
        <v>3061</v>
      </c>
      <c r="B2632" s="112">
        <v>2</v>
      </c>
      <c r="C2632" s="114">
        <v>0.00357394198291882</v>
      </c>
      <c r="D2632" s="112" t="s">
        <v>2056</v>
      </c>
      <c r="E2632" s="112" t="b">
        <v>0</v>
      </c>
      <c r="F2632" s="112" t="b">
        <v>0</v>
      </c>
      <c r="G2632" s="112" t="b">
        <v>0</v>
      </c>
    </row>
    <row r="2633" spans="1:7" ht="15">
      <c r="A2633" s="112" t="s">
        <v>2293</v>
      </c>
      <c r="B2633" s="112">
        <v>2</v>
      </c>
      <c r="C2633" s="114">
        <v>0.0028223065380649343</v>
      </c>
      <c r="D2633" s="112" t="s">
        <v>2056</v>
      </c>
      <c r="E2633" s="112" t="b">
        <v>0</v>
      </c>
      <c r="F2633" s="112" t="b">
        <v>0</v>
      </c>
      <c r="G2633" s="112" t="b">
        <v>0</v>
      </c>
    </row>
    <row r="2634" spans="1:7" ht="15">
      <c r="A2634" s="112" t="s">
        <v>3058</v>
      </c>
      <c r="B2634" s="112">
        <v>2</v>
      </c>
      <c r="C2634" s="114">
        <v>0.00357394198291882</v>
      </c>
      <c r="D2634" s="112" t="s">
        <v>2056</v>
      </c>
      <c r="E2634" s="112" t="b">
        <v>0</v>
      </c>
      <c r="F2634" s="112" t="b">
        <v>0</v>
      </c>
      <c r="G2634" s="112" t="b">
        <v>0</v>
      </c>
    </row>
    <row r="2635" spans="1:7" ht="15">
      <c r="A2635" s="112" t="s">
        <v>3059</v>
      </c>
      <c r="B2635" s="112">
        <v>2</v>
      </c>
      <c r="C2635" s="114">
        <v>0.00357394198291882</v>
      </c>
      <c r="D2635" s="112" t="s">
        <v>2056</v>
      </c>
      <c r="E2635" s="112" t="b">
        <v>0</v>
      </c>
      <c r="F2635" s="112" t="b">
        <v>0</v>
      </c>
      <c r="G2635" s="112" t="b">
        <v>0</v>
      </c>
    </row>
    <row r="2636" spans="1:7" ht="15">
      <c r="A2636" s="112" t="s">
        <v>2740</v>
      </c>
      <c r="B2636" s="112">
        <v>2</v>
      </c>
      <c r="C2636" s="114">
        <v>0.00357394198291882</v>
      </c>
      <c r="D2636" s="112" t="s">
        <v>2056</v>
      </c>
      <c r="E2636" s="112" t="b">
        <v>0</v>
      </c>
      <c r="F2636" s="112" t="b">
        <v>0</v>
      </c>
      <c r="G2636" s="112" t="b">
        <v>0</v>
      </c>
    </row>
    <row r="2637" spans="1:7" ht="15">
      <c r="A2637" s="112" t="s">
        <v>2243</v>
      </c>
      <c r="B2637" s="112">
        <v>2</v>
      </c>
      <c r="C2637" s="114">
        <v>0.0028223065380649343</v>
      </c>
      <c r="D2637" s="112" t="s">
        <v>2056</v>
      </c>
      <c r="E2637" s="112" t="b">
        <v>0</v>
      </c>
      <c r="F2637" s="112" t="b">
        <v>1</v>
      </c>
      <c r="G2637" s="112" t="b">
        <v>0</v>
      </c>
    </row>
    <row r="2638" spans="1:7" ht="15">
      <c r="A2638" s="112" t="s">
        <v>3046</v>
      </c>
      <c r="B2638" s="112">
        <v>2</v>
      </c>
      <c r="C2638" s="114">
        <v>0.00357394198291882</v>
      </c>
      <c r="D2638" s="112" t="s">
        <v>2056</v>
      </c>
      <c r="E2638" s="112" t="b">
        <v>0</v>
      </c>
      <c r="F2638" s="112" t="b">
        <v>0</v>
      </c>
      <c r="G2638" s="112" t="b">
        <v>0</v>
      </c>
    </row>
    <row r="2639" spans="1:7" ht="15">
      <c r="A2639" s="112" t="s">
        <v>2586</v>
      </c>
      <c r="B2639" s="112">
        <v>2</v>
      </c>
      <c r="C2639" s="114">
        <v>0.00357394198291882</v>
      </c>
      <c r="D2639" s="112" t="s">
        <v>2056</v>
      </c>
      <c r="E2639" s="112" t="b">
        <v>0</v>
      </c>
      <c r="F2639" s="112" t="b">
        <v>0</v>
      </c>
      <c r="G2639" s="112" t="b">
        <v>0</v>
      </c>
    </row>
    <row r="2640" spans="1:7" ht="15">
      <c r="A2640" s="112" t="s">
        <v>2241</v>
      </c>
      <c r="B2640" s="112">
        <v>2</v>
      </c>
      <c r="C2640" s="114">
        <v>0.00357394198291882</v>
      </c>
      <c r="D2640" s="112" t="s">
        <v>2056</v>
      </c>
      <c r="E2640" s="112" t="b">
        <v>0</v>
      </c>
      <c r="F2640" s="112" t="b">
        <v>0</v>
      </c>
      <c r="G2640" s="112" t="b">
        <v>0</v>
      </c>
    </row>
    <row r="2641" spans="1:7" ht="15">
      <c r="A2641" s="112" t="s">
        <v>2738</v>
      </c>
      <c r="B2641" s="112">
        <v>2</v>
      </c>
      <c r="C2641" s="114">
        <v>0.00357394198291882</v>
      </c>
      <c r="D2641" s="112" t="s">
        <v>2056</v>
      </c>
      <c r="E2641" s="112" t="b">
        <v>0</v>
      </c>
      <c r="F2641" s="112" t="b">
        <v>0</v>
      </c>
      <c r="G2641" s="112" t="b">
        <v>0</v>
      </c>
    </row>
    <row r="2642" spans="1:7" ht="15">
      <c r="A2642" s="112" t="s">
        <v>2227</v>
      </c>
      <c r="B2642" s="112">
        <v>2</v>
      </c>
      <c r="C2642" s="114">
        <v>0.00357394198291882</v>
      </c>
      <c r="D2642" s="112" t="s">
        <v>2056</v>
      </c>
      <c r="E2642" s="112" t="b">
        <v>0</v>
      </c>
      <c r="F2642" s="112" t="b">
        <v>0</v>
      </c>
      <c r="G2642" s="112" t="b">
        <v>0</v>
      </c>
    </row>
    <row r="2643" spans="1:7" ht="15">
      <c r="A2643" s="112" t="s">
        <v>3043</v>
      </c>
      <c r="B2643" s="112">
        <v>2</v>
      </c>
      <c r="C2643" s="114">
        <v>0.00357394198291882</v>
      </c>
      <c r="D2643" s="112" t="s">
        <v>2056</v>
      </c>
      <c r="E2643" s="112" t="b">
        <v>0</v>
      </c>
      <c r="F2643" s="112" t="b">
        <v>0</v>
      </c>
      <c r="G2643" s="112" t="b">
        <v>0</v>
      </c>
    </row>
    <row r="2644" spans="1:7" ht="15">
      <c r="A2644" s="112" t="s">
        <v>3044</v>
      </c>
      <c r="B2644" s="112">
        <v>2</v>
      </c>
      <c r="C2644" s="114">
        <v>0.00357394198291882</v>
      </c>
      <c r="D2644" s="112" t="s">
        <v>2056</v>
      </c>
      <c r="E2644" s="112" t="b">
        <v>0</v>
      </c>
      <c r="F2644" s="112" t="b">
        <v>0</v>
      </c>
      <c r="G2644" s="112" t="b">
        <v>0</v>
      </c>
    </row>
    <row r="2645" spans="1:7" ht="15">
      <c r="A2645" s="112" t="s">
        <v>2585</v>
      </c>
      <c r="B2645" s="112">
        <v>2</v>
      </c>
      <c r="C2645" s="114">
        <v>0.00357394198291882</v>
      </c>
      <c r="D2645" s="112" t="s">
        <v>2056</v>
      </c>
      <c r="E2645" s="112" t="b">
        <v>0</v>
      </c>
      <c r="F2645" s="112" t="b">
        <v>0</v>
      </c>
      <c r="G2645" s="112" t="b">
        <v>0</v>
      </c>
    </row>
    <row r="2646" spans="1:7" ht="15">
      <c r="A2646" s="112" t="s">
        <v>2734</v>
      </c>
      <c r="B2646" s="112">
        <v>2</v>
      </c>
      <c r="C2646" s="114">
        <v>0.00357394198291882</v>
      </c>
      <c r="D2646" s="112" t="s">
        <v>2056</v>
      </c>
      <c r="E2646" s="112" t="b">
        <v>0</v>
      </c>
      <c r="F2646" s="112" t="b">
        <v>0</v>
      </c>
      <c r="G2646" s="112" t="b">
        <v>0</v>
      </c>
    </row>
    <row r="2647" spans="1:7" ht="15">
      <c r="A2647" s="112" t="s">
        <v>2334</v>
      </c>
      <c r="B2647" s="112">
        <v>2</v>
      </c>
      <c r="C2647" s="114">
        <v>0.0028223065380649343</v>
      </c>
      <c r="D2647" s="112" t="s">
        <v>2056</v>
      </c>
      <c r="E2647" s="112" t="b">
        <v>0</v>
      </c>
      <c r="F2647" s="112" t="b">
        <v>0</v>
      </c>
      <c r="G2647" s="112" t="b">
        <v>0</v>
      </c>
    </row>
    <row r="2648" spans="1:7" ht="15">
      <c r="A2648" s="112" t="s">
        <v>2726</v>
      </c>
      <c r="B2648" s="112">
        <v>2</v>
      </c>
      <c r="C2648" s="114">
        <v>0.0028223065380649343</v>
      </c>
      <c r="D2648" s="112" t="s">
        <v>2056</v>
      </c>
      <c r="E2648" s="112" t="b">
        <v>0</v>
      </c>
      <c r="F2648" s="112" t="b">
        <v>0</v>
      </c>
      <c r="G2648" s="112" t="b">
        <v>0</v>
      </c>
    </row>
    <row r="2649" spans="1:7" ht="15">
      <c r="A2649" s="112" t="s">
        <v>2727</v>
      </c>
      <c r="B2649" s="112">
        <v>2</v>
      </c>
      <c r="C2649" s="114">
        <v>0.0028223065380649343</v>
      </c>
      <c r="D2649" s="112" t="s">
        <v>2056</v>
      </c>
      <c r="E2649" s="112" t="b">
        <v>0</v>
      </c>
      <c r="F2649" s="112" t="b">
        <v>0</v>
      </c>
      <c r="G2649" s="112" t="b">
        <v>0</v>
      </c>
    </row>
    <row r="2650" spans="1:7" ht="15">
      <c r="A2650" s="112" t="s">
        <v>2369</v>
      </c>
      <c r="B2650" s="112">
        <v>2</v>
      </c>
      <c r="C2650" s="114">
        <v>0.0028223065380649343</v>
      </c>
      <c r="D2650" s="112" t="s">
        <v>2056</v>
      </c>
      <c r="E2650" s="112" t="b">
        <v>0</v>
      </c>
      <c r="F2650" s="112" t="b">
        <v>0</v>
      </c>
      <c r="G2650" s="112" t="b">
        <v>0</v>
      </c>
    </row>
    <row r="2651" spans="1:7" ht="15">
      <c r="A2651" s="112" t="s">
        <v>2123</v>
      </c>
      <c r="B2651" s="112">
        <v>2</v>
      </c>
      <c r="C2651" s="114">
        <v>0.0028223065380649343</v>
      </c>
      <c r="D2651" s="112" t="s">
        <v>2056</v>
      </c>
      <c r="E2651" s="112" t="b">
        <v>0</v>
      </c>
      <c r="F2651" s="112" t="b">
        <v>0</v>
      </c>
      <c r="G2651" s="112" t="b">
        <v>0</v>
      </c>
    </row>
    <row r="2652" spans="1:7" ht="15">
      <c r="A2652" s="112" t="s">
        <v>2364</v>
      </c>
      <c r="B2652" s="112">
        <v>2</v>
      </c>
      <c r="C2652" s="114">
        <v>0.0028223065380649343</v>
      </c>
      <c r="D2652" s="112" t="s">
        <v>2056</v>
      </c>
      <c r="E2652" s="112" t="b">
        <v>0</v>
      </c>
      <c r="F2652" s="112" t="b">
        <v>0</v>
      </c>
      <c r="G2652" s="112" t="b">
        <v>0</v>
      </c>
    </row>
    <row r="2653" spans="1:7" ht="15">
      <c r="A2653" s="112" t="s">
        <v>2579</v>
      </c>
      <c r="B2653" s="112">
        <v>2</v>
      </c>
      <c r="C2653" s="114">
        <v>0.0028223065380649343</v>
      </c>
      <c r="D2653" s="112" t="s">
        <v>2056</v>
      </c>
      <c r="E2653" s="112" t="b">
        <v>0</v>
      </c>
      <c r="F2653" s="112" t="b">
        <v>1</v>
      </c>
      <c r="G2653" s="112" t="b">
        <v>0</v>
      </c>
    </row>
    <row r="2654" spans="1:7" ht="15">
      <c r="A2654" s="112" t="s">
        <v>2313</v>
      </c>
      <c r="B2654" s="112">
        <v>2</v>
      </c>
      <c r="C2654" s="114">
        <v>0.0028223065380649343</v>
      </c>
      <c r="D2654" s="112" t="s">
        <v>2056</v>
      </c>
      <c r="E2654" s="112" t="b">
        <v>0</v>
      </c>
      <c r="F2654" s="112" t="b">
        <v>0</v>
      </c>
      <c r="G2654" s="112" t="b">
        <v>0</v>
      </c>
    </row>
    <row r="2655" spans="1:7" ht="15">
      <c r="A2655" s="112" t="s">
        <v>2240</v>
      </c>
      <c r="B2655" s="112">
        <v>2</v>
      </c>
      <c r="C2655" s="114">
        <v>0.0028223065380649343</v>
      </c>
      <c r="D2655" s="112" t="s">
        <v>2056</v>
      </c>
      <c r="E2655" s="112" t="b">
        <v>0</v>
      </c>
      <c r="F2655" s="112" t="b">
        <v>0</v>
      </c>
      <c r="G2655" s="112" t="b">
        <v>0</v>
      </c>
    </row>
    <row r="2656" spans="1:7" ht="15">
      <c r="A2656" s="112" t="s">
        <v>2196</v>
      </c>
      <c r="B2656" s="112">
        <v>2</v>
      </c>
      <c r="C2656" s="114">
        <v>0.0028223065380649343</v>
      </c>
      <c r="D2656" s="112" t="s">
        <v>2056</v>
      </c>
      <c r="E2656" s="112" t="b">
        <v>0</v>
      </c>
      <c r="F2656" s="112" t="b">
        <v>0</v>
      </c>
      <c r="G2656" s="112" t="b">
        <v>0</v>
      </c>
    </row>
    <row r="2657" spans="1:7" ht="15">
      <c r="A2657" s="112" t="s">
        <v>2728</v>
      </c>
      <c r="B2657" s="112">
        <v>2</v>
      </c>
      <c r="C2657" s="114">
        <v>0.0028223065380649343</v>
      </c>
      <c r="D2657" s="112" t="s">
        <v>2056</v>
      </c>
      <c r="E2657" s="112" t="b">
        <v>1</v>
      </c>
      <c r="F2657" s="112" t="b">
        <v>0</v>
      </c>
      <c r="G2657" s="112" t="b">
        <v>0</v>
      </c>
    </row>
    <row r="2658" spans="1:7" ht="15">
      <c r="A2658" s="112" t="s">
        <v>2258</v>
      </c>
      <c r="B2658" s="112">
        <v>2</v>
      </c>
      <c r="C2658" s="114">
        <v>0.00357394198291882</v>
      </c>
      <c r="D2658" s="112" t="s">
        <v>2056</v>
      </c>
      <c r="E2658" s="112" t="b">
        <v>0</v>
      </c>
      <c r="F2658" s="112" t="b">
        <v>0</v>
      </c>
      <c r="G2658" s="112" t="b">
        <v>0</v>
      </c>
    </row>
    <row r="2659" spans="1:7" ht="15">
      <c r="A2659" s="112" t="s">
        <v>3037</v>
      </c>
      <c r="B2659" s="112">
        <v>2</v>
      </c>
      <c r="C2659" s="114">
        <v>0.00357394198291882</v>
      </c>
      <c r="D2659" s="112" t="s">
        <v>2056</v>
      </c>
      <c r="E2659" s="112" t="b">
        <v>0</v>
      </c>
      <c r="F2659" s="112" t="b">
        <v>0</v>
      </c>
      <c r="G2659" s="112" t="b">
        <v>0</v>
      </c>
    </row>
    <row r="2660" spans="1:7" ht="15">
      <c r="A2660" s="112" t="s">
        <v>2199</v>
      </c>
      <c r="B2660" s="112">
        <v>2</v>
      </c>
      <c r="C2660" s="114">
        <v>0.00357394198291882</v>
      </c>
      <c r="D2660" s="112" t="s">
        <v>2056</v>
      </c>
      <c r="E2660" s="112" t="b">
        <v>0</v>
      </c>
      <c r="F2660" s="112" t="b">
        <v>0</v>
      </c>
      <c r="G2660" s="112" t="b">
        <v>0</v>
      </c>
    </row>
    <row r="2661" spans="1:7" ht="15">
      <c r="A2661" s="112" t="s">
        <v>2230</v>
      </c>
      <c r="B2661" s="112">
        <v>2</v>
      </c>
      <c r="C2661" s="114">
        <v>0.00357394198291882</v>
      </c>
      <c r="D2661" s="112" t="s">
        <v>2056</v>
      </c>
      <c r="E2661" s="112" t="b">
        <v>0</v>
      </c>
      <c r="F2661" s="112" t="b">
        <v>0</v>
      </c>
      <c r="G2661" s="112" t="b">
        <v>0</v>
      </c>
    </row>
    <row r="2662" spans="1:7" ht="15">
      <c r="A2662" s="112" t="s">
        <v>2231</v>
      </c>
      <c r="B2662" s="112">
        <v>2</v>
      </c>
      <c r="C2662" s="114">
        <v>0.00357394198291882</v>
      </c>
      <c r="D2662" s="112" t="s">
        <v>2056</v>
      </c>
      <c r="E2662" s="112" t="b">
        <v>0</v>
      </c>
      <c r="F2662" s="112" t="b">
        <v>0</v>
      </c>
      <c r="G2662" s="112" t="b">
        <v>0</v>
      </c>
    </row>
    <row r="2663" spans="1:7" ht="15">
      <c r="A2663" s="112" t="s">
        <v>2322</v>
      </c>
      <c r="B2663" s="112">
        <v>2</v>
      </c>
      <c r="C2663" s="114">
        <v>0.00357394198291882</v>
      </c>
      <c r="D2663" s="112" t="s">
        <v>2056</v>
      </c>
      <c r="E2663" s="112" t="b">
        <v>0</v>
      </c>
      <c r="F2663" s="112" t="b">
        <v>0</v>
      </c>
      <c r="G2663" s="11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B27AA-9279-4C7C-B17D-7D1B729C8659}">
  <dimension ref="A1:L20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3318</v>
      </c>
      <c r="B1" s="13" t="s">
        <v>3319</v>
      </c>
      <c r="C1" s="13" t="s">
        <v>3309</v>
      </c>
      <c r="D1" s="13" t="s">
        <v>3313</v>
      </c>
      <c r="E1" s="13" t="s">
        <v>3320</v>
      </c>
      <c r="F1" s="13" t="s">
        <v>144</v>
      </c>
      <c r="G1" s="13" t="s">
        <v>3321</v>
      </c>
      <c r="H1" s="13" t="s">
        <v>3322</v>
      </c>
      <c r="I1" s="13" t="s">
        <v>3323</v>
      </c>
      <c r="J1" s="13" t="s">
        <v>3324</v>
      </c>
      <c r="K1" s="13" t="s">
        <v>3325</v>
      </c>
      <c r="L1" s="13" t="s">
        <v>3326</v>
      </c>
    </row>
    <row r="2" spans="1:12" ht="15">
      <c r="A2" s="112" t="s">
        <v>2078</v>
      </c>
      <c r="B2" s="112" t="s">
        <v>2079</v>
      </c>
      <c r="C2" s="112">
        <v>122</v>
      </c>
      <c r="D2" s="114">
        <v>0.008245963258787343</v>
      </c>
      <c r="E2" s="114">
        <v>1.2569478278529065</v>
      </c>
      <c r="F2" s="112" t="s">
        <v>3314</v>
      </c>
      <c r="G2" s="112" t="b">
        <v>0</v>
      </c>
      <c r="H2" s="112" t="b">
        <v>0</v>
      </c>
      <c r="I2" s="112" t="b">
        <v>0</v>
      </c>
      <c r="J2" s="112" t="b">
        <v>0</v>
      </c>
      <c r="K2" s="112" t="b">
        <v>0</v>
      </c>
      <c r="L2" s="112" t="b">
        <v>0</v>
      </c>
    </row>
    <row r="3" spans="1:12" ht="15">
      <c r="A3" s="112" t="s">
        <v>2081</v>
      </c>
      <c r="B3" s="112" t="s">
        <v>2079</v>
      </c>
      <c r="C3" s="112">
        <v>105</v>
      </c>
      <c r="D3" s="114">
        <v>0.007173905015167784</v>
      </c>
      <c r="E3" s="114">
        <v>1.455935931958951</v>
      </c>
      <c r="F3" s="112" t="s">
        <v>3314</v>
      </c>
      <c r="G3" s="112" t="b">
        <v>0</v>
      </c>
      <c r="H3" s="112" t="b">
        <v>0</v>
      </c>
      <c r="I3" s="112" t="b">
        <v>0</v>
      </c>
      <c r="J3" s="112" t="b">
        <v>0</v>
      </c>
      <c r="K3" s="112" t="b">
        <v>0</v>
      </c>
      <c r="L3" s="112" t="b">
        <v>0</v>
      </c>
    </row>
    <row r="4" spans="1:12" ht="15">
      <c r="A4" s="112" t="s">
        <v>2085</v>
      </c>
      <c r="B4" s="112" t="s">
        <v>2088</v>
      </c>
      <c r="C4" s="112">
        <v>96</v>
      </c>
      <c r="D4" s="114">
        <v>0.006855962021418402</v>
      </c>
      <c r="E4" s="114">
        <v>2.001046994504907</v>
      </c>
      <c r="F4" s="112" t="s">
        <v>3314</v>
      </c>
      <c r="G4" s="112" t="b">
        <v>0</v>
      </c>
      <c r="H4" s="112" t="b">
        <v>0</v>
      </c>
      <c r="I4" s="112" t="b">
        <v>0</v>
      </c>
      <c r="J4" s="112" t="b">
        <v>0</v>
      </c>
      <c r="K4" s="112" t="b">
        <v>0</v>
      </c>
      <c r="L4" s="112" t="b">
        <v>0</v>
      </c>
    </row>
    <row r="5" spans="1:12" ht="15">
      <c r="A5" s="112" t="s">
        <v>2077</v>
      </c>
      <c r="B5" s="112" t="s">
        <v>2077</v>
      </c>
      <c r="C5" s="112">
        <v>88</v>
      </c>
      <c r="D5" s="114">
        <v>0.006430170325115629</v>
      </c>
      <c r="E5" s="114">
        <v>0.8004131373446582</v>
      </c>
      <c r="F5" s="112" t="s">
        <v>3314</v>
      </c>
      <c r="G5" s="112" t="b">
        <v>0</v>
      </c>
      <c r="H5" s="112" t="b">
        <v>0</v>
      </c>
      <c r="I5" s="112" t="b">
        <v>0</v>
      </c>
      <c r="J5" s="112" t="b">
        <v>0</v>
      </c>
      <c r="K5" s="112" t="b">
        <v>0</v>
      </c>
      <c r="L5" s="112" t="b">
        <v>0</v>
      </c>
    </row>
    <row r="6" spans="1:12" ht="15">
      <c r="A6" s="112" t="s">
        <v>2079</v>
      </c>
      <c r="B6" s="112" t="s">
        <v>2081</v>
      </c>
      <c r="C6" s="112">
        <v>60</v>
      </c>
      <c r="D6" s="114">
        <v>0.0044882802179946795</v>
      </c>
      <c r="E6" s="114">
        <v>1.2265502242927366</v>
      </c>
      <c r="F6" s="112" t="s">
        <v>3314</v>
      </c>
      <c r="G6" s="112" t="b">
        <v>0</v>
      </c>
      <c r="H6" s="112" t="b">
        <v>0</v>
      </c>
      <c r="I6" s="112" t="b">
        <v>0</v>
      </c>
      <c r="J6" s="112" t="b">
        <v>0</v>
      </c>
      <c r="K6" s="112" t="b">
        <v>0</v>
      </c>
      <c r="L6" s="112" t="b">
        <v>0</v>
      </c>
    </row>
    <row r="7" spans="1:12" ht="15">
      <c r="A7" s="112" t="s">
        <v>2081</v>
      </c>
      <c r="B7" s="112" t="s">
        <v>2077</v>
      </c>
      <c r="C7" s="112">
        <v>49</v>
      </c>
      <c r="D7" s="114">
        <v>0.0035394453191284</v>
      </c>
      <c r="E7" s="114">
        <v>0.9223214063227961</v>
      </c>
      <c r="F7" s="112" t="s">
        <v>3314</v>
      </c>
      <c r="G7" s="112" t="b">
        <v>0</v>
      </c>
      <c r="H7" s="112" t="b">
        <v>0</v>
      </c>
      <c r="I7" s="112" t="b">
        <v>0</v>
      </c>
      <c r="J7" s="112" t="b">
        <v>0</v>
      </c>
      <c r="K7" s="112" t="b">
        <v>0</v>
      </c>
      <c r="L7" s="112" t="b">
        <v>0</v>
      </c>
    </row>
    <row r="8" spans="1:12" ht="15">
      <c r="A8" s="112" t="s">
        <v>2099</v>
      </c>
      <c r="B8" s="112" t="s">
        <v>2104</v>
      </c>
      <c r="C8" s="112">
        <v>48</v>
      </c>
      <c r="D8" s="114">
        <v>0.003279499435505272</v>
      </c>
      <c r="E8" s="114">
        <v>2.3079529303343196</v>
      </c>
      <c r="F8" s="112" t="s">
        <v>3314</v>
      </c>
      <c r="G8" s="112" t="b">
        <v>0</v>
      </c>
      <c r="H8" s="112" t="b">
        <v>0</v>
      </c>
      <c r="I8" s="112" t="b">
        <v>0</v>
      </c>
      <c r="J8" s="112" t="b">
        <v>0</v>
      </c>
      <c r="K8" s="112" t="b">
        <v>0</v>
      </c>
      <c r="L8" s="112" t="b">
        <v>0</v>
      </c>
    </row>
    <row r="9" spans="1:12" ht="15">
      <c r="A9" s="112" t="s">
        <v>2088</v>
      </c>
      <c r="B9" s="112" t="s">
        <v>2103</v>
      </c>
      <c r="C9" s="112">
        <v>46</v>
      </c>
      <c r="D9" s="114">
        <v>0.003285148468596318</v>
      </c>
      <c r="E9" s="114">
        <v>2.0262280898657252</v>
      </c>
      <c r="F9" s="112" t="s">
        <v>3314</v>
      </c>
      <c r="G9" s="112" t="b">
        <v>0</v>
      </c>
      <c r="H9" s="112" t="b">
        <v>0</v>
      </c>
      <c r="I9" s="112" t="b">
        <v>0</v>
      </c>
      <c r="J9" s="112" t="b">
        <v>0</v>
      </c>
      <c r="K9" s="112" t="b">
        <v>0</v>
      </c>
      <c r="L9" s="112" t="b">
        <v>0</v>
      </c>
    </row>
    <row r="10" spans="1:12" ht="15">
      <c r="A10" s="112" t="s">
        <v>2110</v>
      </c>
      <c r="B10" s="112" t="s">
        <v>2111</v>
      </c>
      <c r="C10" s="112">
        <v>45</v>
      </c>
      <c r="D10" s="114">
        <v>0.003213732197539876</v>
      </c>
      <c r="E10" s="114">
        <v>2.4218962826411565</v>
      </c>
      <c r="F10" s="112" t="s">
        <v>3314</v>
      </c>
      <c r="G10" s="112" t="b">
        <v>0</v>
      </c>
      <c r="H10" s="112" t="b">
        <v>0</v>
      </c>
      <c r="I10" s="112" t="b">
        <v>0</v>
      </c>
      <c r="J10" s="112" t="b">
        <v>0</v>
      </c>
      <c r="K10" s="112" t="b">
        <v>0</v>
      </c>
      <c r="L10" s="112" t="b">
        <v>0</v>
      </c>
    </row>
    <row r="11" spans="1:12" ht="15">
      <c r="A11" s="112" t="s">
        <v>2077</v>
      </c>
      <c r="B11" s="112" t="s">
        <v>2081</v>
      </c>
      <c r="C11" s="112">
        <v>44</v>
      </c>
      <c r="D11" s="114">
        <v>0.0032150851625578143</v>
      </c>
      <c r="E11" s="114">
        <v>0.8815288831694829</v>
      </c>
      <c r="F11" s="112" t="s">
        <v>3314</v>
      </c>
      <c r="G11" s="112" t="b">
        <v>0</v>
      </c>
      <c r="H11" s="112" t="b">
        <v>0</v>
      </c>
      <c r="I11" s="112" t="b">
        <v>0</v>
      </c>
      <c r="J11" s="112" t="b">
        <v>0</v>
      </c>
      <c r="K11" s="112" t="b">
        <v>0</v>
      </c>
      <c r="L11" s="112" t="b">
        <v>0</v>
      </c>
    </row>
    <row r="12" spans="1:12" ht="15">
      <c r="A12" s="112" t="s">
        <v>2104</v>
      </c>
      <c r="B12" s="112" t="s">
        <v>2100</v>
      </c>
      <c r="C12" s="112">
        <v>43</v>
      </c>
      <c r="D12" s="114">
        <v>0.0031060438514800247</v>
      </c>
      <c r="E12" s="114">
        <v>2.260180148538319</v>
      </c>
      <c r="F12" s="112" t="s">
        <v>3314</v>
      </c>
      <c r="G12" s="112" t="b">
        <v>0</v>
      </c>
      <c r="H12" s="112" t="b">
        <v>0</v>
      </c>
      <c r="I12" s="112" t="b">
        <v>0</v>
      </c>
      <c r="J12" s="112" t="b">
        <v>0</v>
      </c>
      <c r="K12" s="112" t="b">
        <v>0</v>
      </c>
      <c r="L12" s="112" t="b">
        <v>0</v>
      </c>
    </row>
    <row r="13" spans="1:12" ht="15">
      <c r="A13" s="112" t="s">
        <v>2077</v>
      </c>
      <c r="B13" s="112" t="s">
        <v>2110</v>
      </c>
      <c r="C13" s="112">
        <v>42</v>
      </c>
      <c r="D13" s="114">
        <v>0.003104926281406486</v>
      </c>
      <c r="E13" s="114">
        <v>1.433422265031715</v>
      </c>
      <c r="F13" s="112" t="s">
        <v>3314</v>
      </c>
      <c r="G13" s="112" t="b">
        <v>0</v>
      </c>
      <c r="H13" s="112" t="b">
        <v>0</v>
      </c>
      <c r="I13" s="112" t="b">
        <v>0</v>
      </c>
      <c r="J13" s="112" t="b">
        <v>0</v>
      </c>
      <c r="K13" s="112" t="b">
        <v>0</v>
      </c>
      <c r="L13" s="112" t="b">
        <v>0</v>
      </c>
    </row>
    <row r="14" spans="1:12" ht="15">
      <c r="A14" s="112" t="s">
        <v>2077</v>
      </c>
      <c r="B14" s="112" t="s">
        <v>2114</v>
      </c>
      <c r="C14" s="112">
        <v>42</v>
      </c>
      <c r="D14" s="114">
        <v>0.0031417961525962755</v>
      </c>
      <c r="E14" s="114">
        <v>1.433422265031715</v>
      </c>
      <c r="F14" s="112" t="s">
        <v>3314</v>
      </c>
      <c r="G14" s="112" t="b">
        <v>0</v>
      </c>
      <c r="H14" s="112" t="b">
        <v>0</v>
      </c>
      <c r="I14" s="112" t="b">
        <v>0</v>
      </c>
      <c r="J14" s="112" t="b">
        <v>0</v>
      </c>
      <c r="K14" s="112" t="b">
        <v>0</v>
      </c>
      <c r="L14" s="112" t="b">
        <v>0</v>
      </c>
    </row>
    <row r="15" spans="1:12" ht="15">
      <c r="A15" s="112" t="s">
        <v>2080</v>
      </c>
      <c r="B15" s="112" t="s">
        <v>2127</v>
      </c>
      <c r="C15" s="112">
        <v>41</v>
      </c>
      <c r="D15" s="114">
        <v>0.004006207965626077</v>
      </c>
      <c r="E15" s="114">
        <v>1.8079370680134863</v>
      </c>
      <c r="F15" s="112" t="s">
        <v>3314</v>
      </c>
      <c r="G15" s="112" t="b">
        <v>0</v>
      </c>
      <c r="H15" s="112" t="b">
        <v>0</v>
      </c>
      <c r="I15" s="112" t="b">
        <v>0</v>
      </c>
      <c r="J15" s="112" t="b">
        <v>0</v>
      </c>
      <c r="K15" s="112" t="b">
        <v>0</v>
      </c>
      <c r="L15" s="112" t="b">
        <v>0</v>
      </c>
    </row>
    <row r="16" spans="1:12" ht="15">
      <c r="A16" s="112" t="s">
        <v>2080</v>
      </c>
      <c r="B16" s="112" t="s">
        <v>2117</v>
      </c>
      <c r="C16" s="112">
        <v>41</v>
      </c>
      <c r="D16" s="114">
        <v>0.004152089878283633</v>
      </c>
      <c r="E16" s="114">
        <v>1.7872524691536353</v>
      </c>
      <c r="F16" s="112" t="s">
        <v>3314</v>
      </c>
      <c r="G16" s="112" t="b">
        <v>0</v>
      </c>
      <c r="H16" s="112" t="b">
        <v>0</v>
      </c>
      <c r="I16" s="112" t="b">
        <v>0</v>
      </c>
      <c r="J16" s="112" t="b">
        <v>0</v>
      </c>
      <c r="K16" s="112" t="b">
        <v>0</v>
      </c>
      <c r="L16" s="112" t="b">
        <v>0</v>
      </c>
    </row>
    <row r="17" spans="1:12" ht="15">
      <c r="A17" s="112" t="s">
        <v>2119</v>
      </c>
      <c r="B17" s="112" t="s">
        <v>2077</v>
      </c>
      <c r="C17" s="112">
        <v>41</v>
      </c>
      <c r="D17" s="114">
        <v>0.0030309994651825218</v>
      </c>
      <c r="E17" s="114">
        <v>1.4469691743419804</v>
      </c>
      <c r="F17" s="112" t="s">
        <v>3314</v>
      </c>
      <c r="G17" s="112" t="b">
        <v>0</v>
      </c>
      <c r="H17" s="112" t="b">
        <v>0</v>
      </c>
      <c r="I17" s="112" t="b">
        <v>0</v>
      </c>
      <c r="J17" s="112" t="b">
        <v>0</v>
      </c>
      <c r="K17" s="112" t="b">
        <v>0</v>
      </c>
      <c r="L17" s="112" t="b">
        <v>0</v>
      </c>
    </row>
    <row r="18" spans="1:12" ht="15">
      <c r="A18" s="112" t="s">
        <v>2093</v>
      </c>
      <c r="B18" s="112" t="s">
        <v>2077</v>
      </c>
      <c r="C18" s="112">
        <v>41</v>
      </c>
      <c r="D18" s="114">
        <v>0.0030669914822963646</v>
      </c>
      <c r="E18" s="114">
        <v>1.1561583438596854</v>
      </c>
      <c r="F18" s="112" t="s">
        <v>3314</v>
      </c>
      <c r="G18" s="112" t="b">
        <v>0</v>
      </c>
      <c r="H18" s="112" t="b">
        <v>0</v>
      </c>
      <c r="I18" s="112" t="b">
        <v>0</v>
      </c>
      <c r="J18" s="112" t="b">
        <v>0</v>
      </c>
      <c r="K18" s="112" t="b">
        <v>0</v>
      </c>
      <c r="L18" s="112" t="b">
        <v>0</v>
      </c>
    </row>
    <row r="19" spans="1:12" ht="15">
      <c r="A19" s="112" t="s">
        <v>2120</v>
      </c>
      <c r="B19" s="112" t="s">
        <v>2129</v>
      </c>
      <c r="C19" s="112">
        <v>41</v>
      </c>
      <c r="D19" s="114">
        <v>0.0030669914822963646</v>
      </c>
      <c r="E19" s="114">
        <v>2.4416403408369134</v>
      </c>
      <c r="F19" s="112" t="s">
        <v>3314</v>
      </c>
      <c r="G19" s="112" t="b">
        <v>0</v>
      </c>
      <c r="H19" s="112" t="b">
        <v>0</v>
      </c>
      <c r="I19" s="112" t="b">
        <v>0</v>
      </c>
      <c r="J19" s="112" t="b">
        <v>0</v>
      </c>
      <c r="K19" s="112" t="b">
        <v>0</v>
      </c>
      <c r="L19" s="112" t="b">
        <v>0</v>
      </c>
    </row>
    <row r="20" spans="1:12" ht="15">
      <c r="A20" s="112" t="s">
        <v>2102</v>
      </c>
      <c r="B20" s="112" t="s">
        <v>2115</v>
      </c>
      <c r="C20" s="112">
        <v>41</v>
      </c>
      <c r="D20" s="114">
        <v>0.0030309994651825218</v>
      </c>
      <c r="E20" s="114">
        <v>2.320164107049259</v>
      </c>
      <c r="F20" s="112" t="s">
        <v>3314</v>
      </c>
      <c r="G20" s="112" t="b">
        <v>0</v>
      </c>
      <c r="H20" s="112" t="b">
        <v>0</v>
      </c>
      <c r="I20" s="112" t="b">
        <v>0</v>
      </c>
      <c r="J20" s="112" t="b">
        <v>0</v>
      </c>
      <c r="K20" s="112" t="b">
        <v>0</v>
      </c>
      <c r="L20" s="112" t="b">
        <v>0</v>
      </c>
    </row>
    <row r="21" spans="1:12" ht="15">
      <c r="A21" s="112" t="s">
        <v>2116</v>
      </c>
      <c r="B21" s="112" t="s">
        <v>2125</v>
      </c>
      <c r="C21" s="112">
        <v>41</v>
      </c>
      <c r="D21" s="114">
        <v>0.0030309994651825218</v>
      </c>
      <c r="E21" s="114">
        <v>2.4211906862521477</v>
      </c>
      <c r="F21" s="112" t="s">
        <v>3314</v>
      </c>
      <c r="G21" s="112" t="b">
        <v>0</v>
      </c>
      <c r="H21" s="112" t="b">
        <v>0</v>
      </c>
      <c r="I21" s="112" t="b">
        <v>0</v>
      </c>
      <c r="J21" s="112" t="b">
        <v>0</v>
      </c>
      <c r="K21" s="112" t="b">
        <v>0</v>
      </c>
      <c r="L21" s="112" t="b">
        <v>0</v>
      </c>
    </row>
    <row r="22" spans="1:12" ht="15">
      <c r="A22" s="112" t="s">
        <v>2103</v>
      </c>
      <c r="B22" s="112" t="s">
        <v>2099</v>
      </c>
      <c r="C22" s="112">
        <v>40</v>
      </c>
      <c r="D22" s="114">
        <v>0.0029921868119964527</v>
      </c>
      <c r="E22" s="114">
        <v>2.2621954397736443</v>
      </c>
      <c r="F22" s="112" t="s">
        <v>3314</v>
      </c>
      <c r="G22" s="112" t="b">
        <v>0</v>
      </c>
      <c r="H22" s="112" t="b">
        <v>0</v>
      </c>
      <c r="I22" s="112" t="b">
        <v>0</v>
      </c>
      <c r="J22" s="112" t="b">
        <v>0</v>
      </c>
      <c r="K22" s="112" t="b">
        <v>0</v>
      </c>
      <c r="L22" s="112" t="b">
        <v>0</v>
      </c>
    </row>
    <row r="23" spans="1:12" ht="15">
      <c r="A23" s="112" t="s">
        <v>2111</v>
      </c>
      <c r="B23" s="112" t="s">
        <v>2077</v>
      </c>
      <c r="C23" s="112">
        <v>40</v>
      </c>
      <c r="D23" s="114">
        <v>0.0029921868119964527</v>
      </c>
      <c r="E23" s="114">
        <v>1.41650125075445</v>
      </c>
      <c r="F23" s="112" t="s">
        <v>3314</v>
      </c>
      <c r="G23" s="112" t="b">
        <v>0</v>
      </c>
      <c r="H23" s="112" t="b">
        <v>0</v>
      </c>
      <c r="I23" s="112" t="b">
        <v>0</v>
      </c>
      <c r="J23" s="112" t="b">
        <v>0</v>
      </c>
      <c r="K23" s="112" t="b">
        <v>0</v>
      </c>
      <c r="L23" s="112" t="b">
        <v>0</v>
      </c>
    </row>
    <row r="24" spans="1:12" ht="15">
      <c r="A24" s="112" t="s">
        <v>2077</v>
      </c>
      <c r="B24" s="112" t="s">
        <v>2105</v>
      </c>
      <c r="C24" s="112">
        <v>40</v>
      </c>
      <c r="D24" s="114">
        <v>0.0029921868119964527</v>
      </c>
      <c r="E24" s="114">
        <v>1.3578753036391844</v>
      </c>
      <c r="F24" s="112" t="s">
        <v>3314</v>
      </c>
      <c r="G24" s="112" t="b">
        <v>0</v>
      </c>
      <c r="H24" s="112" t="b">
        <v>0</v>
      </c>
      <c r="I24" s="112" t="b">
        <v>0</v>
      </c>
      <c r="J24" s="112" t="b">
        <v>0</v>
      </c>
      <c r="K24" s="112" t="b">
        <v>0</v>
      </c>
      <c r="L24" s="112" t="b">
        <v>0</v>
      </c>
    </row>
    <row r="25" spans="1:12" ht="15">
      <c r="A25" s="112" t="s">
        <v>2105</v>
      </c>
      <c r="B25" s="112" t="s">
        <v>2093</v>
      </c>
      <c r="C25" s="112">
        <v>40</v>
      </c>
      <c r="D25" s="114">
        <v>0.0029921868119964527</v>
      </c>
      <c r="E25" s="114">
        <v>2.0575537820016563</v>
      </c>
      <c r="F25" s="112" t="s">
        <v>3314</v>
      </c>
      <c r="G25" s="112" t="b">
        <v>0</v>
      </c>
      <c r="H25" s="112" t="b">
        <v>0</v>
      </c>
      <c r="I25" s="112" t="b">
        <v>0</v>
      </c>
      <c r="J25" s="112" t="b">
        <v>0</v>
      </c>
      <c r="K25" s="112" t="b">
        <v>0</v>
      </c>
      <c r="L25" s="112" t="b">
        <v>0</v>
      </c>
    </row>
    <row r="26" spans="1:12" ht="15">
      <c r="A26" s="112" t="s">
        <v>2077</v>
      </c>
      <c r="B26" s="112" t="s">
        <v>2093</v>
      </c>
      <c r="C26" s="112">
        <v>40</v>
      </c>
      <c r="D26" s="114">
        <v>0.0029921868119964527</v>
      </c>
      <c r="E26" s="114">
        <v>1.1360265540228278</v>
      </c>
      <c r="F26" s="112" t="s">
        <v>3314</v>
      </c>
      <c r="G26" s="112" t="b">
        <v>0</v>
      </c>
      <c r="H26" s="112" t="b">
        <v>0</v>
      </c>
      <c r="I26" s="112" t="b">
        <v>0</v>
      </c>
      <c r="J26" s="112" t="b">
        <v>0</v>
      </c>
      <c r="K26" s="112" t="b">
        <v>0</v>
      </c>
      <c r="L26" s="112" t="b">
        <v>0</v>
      </c>
    </row>
    <row r="27" spans="1:12" ht="15">
      <c r="A27" s="112" t="s">
        <v>2093</v>
      </c>
      <c r="B27" s="112" t="s">
        <v>2128</v>
      </c>
      <c r="C27" s="112">
        <v>40</v>
      </c>
      <c r="D27" s="114">
        <v>0.0029921868119964527</v>
      </c>
      <c r="E27" s="114">
        <v>2.1401056449628455</v>
      </c>
      <c r="F27" s="112" t="s">
        <v>3314</v>
      </c>
      <c r="G27" s="112" t="b">
        <v>0</v>
      </c>
      <c r="H27" s="112" t="b">
        <v>0</v>
      </c>
      <c r="I27" s="112" t="b">
        <v>0</v>
      </c>
      <c r="J27" s="112" t="b">
        <v>0</v>
      </c>
      <c r="K27" s="112" t="b">
        <v>0</v>
      </c>
      <c r="L27" s="112" t="b">
        <v>0</v>
      </c>
    </row>
    <row r="28" spans="1:12" ht="15">
      <c r="A28" s="112" t="s">
        <v>2128</v>
      </c>
      <c r="B28" s="112" t="s">
        <v>2124</v>
      </c>
      <c r="C28" s="112">
        <v>40</v>
      </c>
      <c r="D28" s="114">
        <v>0.0029921868119964527</v>
      </c>
      <c r="E28" s="114">
        <v>2.4411356406268263</v>
      </c>
      <c r="F28" s="112" t="s">
        <v>3314</v>
      </c>
      <c r="G28" s="112" t="b">
        <v>0</v>
      </c>
      <c r="H28" s="112" t="b">
        <v>0</v>
      </c>
      <c r="I28" s="112" t="b">
        <v>0</v>
      </c>
      <c r="J28" s="112" t="b">
        <v>0</v>
      </c>
      <c r="K28" s="112" t="b">
        <v>0</v>
      </c>
      <c r="L28" s="112" t="b">
        <v>0</v>
      </c>
    </row>
    <row r="29" spans="1:12" ht="15">
      <c r="A29" s="112" t="s">
        <v>2124</v>
      </c>
      <c r="B29" s="112" t="s">
        <v>2120</v>
      </c>
      <c r="C29" s="112">
        <v>40</v>
      </c>
      <c r="D29" s="114">
        <v>0.0029921868119964527</v>
      </c>
      <c r="E29" s="114">
        <v>2.4204510417669756</v>
      </c>
      <c r="F29" s="112" t="s">
        <v>3314</v>
      </c>
      <c r="G29" s="112" t="b">
        <v>0</v>
      </c>
      <c r="H29" s="112" t="b">
        <v>0</v>
      </c>
      <c r="I29" s="112" t="b">
        <v>0</v>
      </c>
      <c r="J29" s="112" t="b">
        <v>0</v>
      </c>
      <c r="K29" s="112" t="b">
        <v>0</v>
      </c>
      <c r="L29" s="112" t="b">
        <v>0</v>
      </c>
    </row>
    <row r="30" spans="1:12" ht="15">
      <c r="A30" s="112" t="s">
        <v>2129</v>
      </c>
      <c r="B30" s="112" t="s">
        <v>2121</v>
      </c>
      <c r="C30" s="112">
        <v>40</v>
      </c>
      <c r="D30" s="114">
        <v>0.0029921868119964527</v>
      </c>
      <c r="E30" s="114">
        <v>2.4309164754451404</v>
      </c>
      <c r="F30" s="112" t="s">
        <v>3314</v>
      </c>
      <c r="G30" s="112" t="b">
        <v>0</v>
      </c>
      <c r="H30" s="112" t="b">
        <v>0</v>
      </c>
      <c r="I30" s="112" t="b">
        <v>0</v>
      </c>
      <c r="J30" s="112" t="b">
        <v>0</v>
      </c>
      <c r="K30" s="112" t="b">
        <v>0</v>
      </c>
      <c r="L30" s="112" t="b">
        <v>0</v>
      </c>
    </row>
    <row r="31" spans="1:12" ht="15">
      <c r="A31" s="112" t="s">
        <v>2121</v>
      </c>
      <c r="B31" s="112" t="s">
        <v>2102</v>
      </c>
      <c r="C31" s="112">
        <v>40</v>
      </c>
      <c r="D31" s="114">
        <v>0.0029921868119964527</v>
      </c>
      <c r="E31" s="114">
        <v>2.3194244625640867</v>
      </c>
      <c r="F31" s="112" t="s">
        <v>3314</v>
      </c>
      <c r="G31" s="112" t="b">
        <v>0</v>
      </c>
      <c r="H31" s="112" t="b">
        <v>0</v>
      </c>
      <c r="I31" s="112" t="b">
        <v>0</v>
      </c>
      <c r="J31" s="112" t="b">
        <v>0</v>
      </c>
      <c r="K31" s="112" t="b">
        <v>0</v>
      </c>
      <c r="L31" s="112" t="b">
        <v>0</v>
      </c>
    </row>
    <row r="32" spans="1:12" ht="15">
      <c r="A32" s="112" t="s">
        <v>2115</v>
      </c>
      <c r="B32" s="112" t="s">
        <v>2077</v>
      </c>
      <c r="C32" s="112">
        <v>40</v>
      </c>
      <c r="D32" s="114">
        <v>0.0029921868119964527</v>
      </c>
      <c r="E32" s="114">
        <v>1.4362453089502074</v>
      </c>
      <c r="F32" s="112" t="s">
        <v>3314</v>
      </c>
      <c r="G32" s="112" t="b">
        <v>0</v>
      </c>
      <c r="H32" s="112" t="b">
        <v>0</v>
      </c>
      <c r="I32" s="112" t="b">
        <v>0</v>
      </c>
      <c r="J32" s="112" t="b">
        <v>0</v>
      </c>
      <c r="K32" s="112" t="b">
        <v>0</v>
      </c>
      <c r="L32" s="112" t="b">
        <v>0</v>
      </c>
    </row>
    <row r="33" spans="1:12" ht="15">
      <c r="A33" s="112" t="s">
        <v>2114</v>
      </c>
      <c r="B33" s="112" t="s">
        <v>2116</v>
      </c>
      <c r="C33" s="112">
        <v>40</v>
      </c>
      <c r="D33" s="114">
        <v>0.0029921868119964527</v>
      </c>
      <c r="E33" s="114">
        <v>2.380503597482931</v>
      </c>
      <c r="F33" s="112" t="s">
        <v>3314</v>
      </c>
      <c r="G33" s="112" t="b">
        <v>0</v>
      </c>
      <c r="H33" s="112" t="b">
        <v>0</v>
      </c>
      <c r="I33" s="112" t="b">
        <v>0</v>
      </c>
      <c r="J33" s="112" t="b">
        <v>0</v>
      </c>
      <c r="K33" s="112" t="b">
        <v>0</v>
      </c>
      <c r="L33" s="112" t="b">
        <v>0</v>
      </c>
    </row>
    <row r="34" spans="1:12" ht="15">
      <c r="A34" s="112" t="s">
        <v>2100</v>
      </c>
      <c r="B34" s="112" t="s">
        <v>2084</v>
      </c>
      <c r="C34" s="112">
        <v>39</v>
      </c>
      <c r="D34" s="114">
        <v>0.0029524852841128044</v>
      </c>
      <c r="E34" s="114">
        <v>1.8474198129452826</v>
      </c>
      <c r="F34" s="112" t="s">
        <v>3314</v>
      </c>
      <c r="G34" s="112" t="b">
        <v>0</v>
      </c>
      <c r="H34" s="112" t="b">
        <v>0</v>
      </c>
      <c r="I34" s="112" t="b">
        <v>0</v>
      </c>
      <c r="J34" s="112" t="b">
        <v>0</v>
      </c>
      <c r="K34" s="112" t="b">
        <v>1</v>
      </c>
      <c r="L34" s="112" t="b">
        <v>0</v>
      </c>
    </row>
    <row r="35" spans="1:12" ht="15">
      <c r="A35" s="112" t="s">
        <v>2131</v>
      </c>
      <c r="B35" s="112" t="s">
        <v>2095</v>
      </c>
      <c r="C35" s="112">
        <v>35</v>
      </c>
      <c r="D35" s="114">
        <v>0.0027843158953543812</v>
      </c>
      <c r="E35" s="114">
        <v>2.230010756402243</v>
      </c>
      <c r="F35" s="112" t="s">
        <v>3314</v>
      </c>
      <c r="G35" s="112" t="b">
        <v>0</v>
      </c>
      <c r="H35" s="112" t="b">
        <v>0</v>
      </c>
      <c r="I35" s="112" t="b">
        <v>0</v>
      </c>
      <c r="J35" s="112" t="b">
        <v>0</v>
      </c>
      <c r="K35" s="112" t="b">
        <v>0</v>
      </c>
      <c r="L35" s="112" t="b">
        <v>0</v>
      </c>
    </row>
    <row r="36" spans="1:12" ht="15">
      <c r="A36" s="112" t="s">
        <v>2080</v>
      </c>
      <c r="B36" s="112" t="s">
        <v>2083</v>
      </c>
      <c r="C36" s="112">
        <v>35</v>
      </c>
      <c r="D36" s="114">
        <v>0.0035444669692665156</v>
      </c>
      <c r="E36" s="114">
        <v>1.2585834272015268</v>
      </c>
      <c r="F36" s="112" t="s">
        <v>3314</v>
      </c>
      <c r="G36" s="112" t="b">
        <v>0</v>
      </c>
      <c r="H36" s="112" t="b">
        <v>0</v>
      </c>
      <c r="I36" s="112" t="b">
        <v>0</v>
      </c>
      <c r="J36" s="112" t="b">
        <v>0</v>
      </c>
      <c r="K36" s="112" t="b">
        <v>0</v>
      </c>
      <c r="L36" s="112" t="b">
        <v>0</v>
      </c>
    </row>
    <row r="37" spans="1:12" ht="15">
      <c r="A37" s="112" t="s">
        <v>2088</v>
      </c>
      <c r="B37" s="112" t="s">
        <v>2085</v>
      </c>
      <c r="C37" s="112">
        <v>35</v>
      </c>
      <c r="D37" s="114">
        <v>0.0028203849405230713</v>
      </c>
      <c r="E37" s="114">
        <v>1.7484803827775257</v>
      </c>
      <c r="F37" s="112" t="s">
        <v>3314</v>
      </c>
      <c r="G37" s="112" t="b">
        <v>0</v>
      </c>
      <c r="H37" s="112" t="b">
        <v>0</v>
      </c>
      <c r="I37" s="112" t="b">
        <v>0</v>
      </c>
      <c r="J37" s="112" t="b">
        <v>0</v>
      </c>
      <c r="K37" s="112" t="b">
        <v>0</v>
      </c>
      <c r="L37" s="112" t="b">
        <v>0</v>
      </c>
    </row>
    <row r="38" spans="1:12" ht="15">
      <c r="A38" s="112" t="s">
        <v>2079</v>
      </c>
      <c r="B38" s="112" t="s">
        <v>2095</v>
      </c>
      <c r="C38" s="112">
        <v>33</v>
      </c>
      <c r="D38" s="114">
        <v>0.0029739453470406362</v>
      </c>
      <c r="E38" s="114">
        <v>1.3471241554985867</v>
      </c>
      <c r="F38" s="112" t="s">
        <v>3314</v>
      </c>
      <c r="G38" s="112" t="b">
        <v>0</v>
      </c>
      <c r="H38" s="112" t="b">
        <v>0</v>
      </c>
      <c r="I38" s="112" t="b">
        <v>0</v>
      </c>
      <c r="J38" s="112" t="b">
        <v>0</v>
      </c>
      <c r="K38" s="112" t="b">
        <v>0</v>
      </c>
      <c r="L38" s="112" t="b">
        <v>0</v>
      </c>
    </row>
    <row r="39" spans="1:12" ht="15">
      <c r="A39" s="112" t="s">
        <v>2134</v>
      </c>
      <c r="B39" s="112" t="s">
        <v>2108</v>
      </c>
      <c r="C39" s="112">
        <v>33</v>
      </c>
      <c r="D39" s="114">
        <v>0.002694243355150223</v>
      </c>
      <c r="E39" s="114">
        <v>2.4030109384807825</v>
      </c>
      <c r="F39" s="112" t="s">
        <v>3314</v>
      </c>
      <c r="G39" s="112" t="b">
        <v>0</v>
      </c>
      <c r="H39" s="112" t="b">
        <v>0</v>
      </c>
      <c r="I39" s="112" t="b">
        <v>0</v>
      </c>
      <c r="J39" s="112" t="b">
        <v>0</v>
      </c>
      <c r="K39" s="112" t="b">
        <v>0</v>
      </c>
      <c r="L39" s="112" t="b">
        <v>0</v>
      </c>
    </row>
    <row r="40" spans="1:12" ht="15">
      <c r="A40" s="112" t="s">
        <v>2079</v>
      </c>
      <c r="B40" s="112" t="s">
        <v>2078</v>
      </c>
      <c r="C40" s="112">
        <v>32</v>
      </c>
      <c r="D40" s="114">
        <v>0.0028408908436219826</v>
      </c>
      <c r="E40" s="114">
        <v>0.7046419698786067</v>
      </c>
      <c r="F40" s="112" t="s">
        <v>3314</v>
      </c>
      <c r="G40" s="112" t="b">
        <v>0</v>
      </c>
      <c r="H40" s="112" t="b">
        <v>0</v>
      </c>
      <c r="I40" s="112" t="b">
        <v>0</v>
      </c>
      <c r="J40" s="112" t="b">
        <v>0</v>
      </c>
      <c r="K40" s="112" t="b">
        <v>0</v>
      </c>
      <c r="L40" s="112" t="b">
        <v>0</v>
      </c>
    </row>
    <row r="41" spans="1:12" ht="15">
      <c r="A41" s="112" t="s">
        <v>2078</v>
      </c>
      <c r="B41" s="112" t="s">
        <v>2078</v>
      </c>
      <c r="C41" s="112">
        <v>30</v>
      </c>
      <c r="D41" s="114">
        <v>0.003095779318782841</v>
      </c>
      <c r="E41" s="114">
        <v>0.5783267044415034</v>
      </c>
      <c r="F41" s="112" t="s">
        <v>3314</v>
      </c>
      <c r="G41" s="112" t="b">
        <v>0</v>
      </c>
      <c r="H41" s="112" t="b">
        <v>0</v>
      </c>
      <c r="I41" s="112" t="b">
        <v>0</v>
      </c>
      <c r="J41" s="112" t="b">
        <v>0</v>
      </c>
      <c r="K41" s="112" t="b">
        <v>0</v>
      </c>
      <c r="L41" s="112" t="b">
        <v>0</v>
      </c>
    </row>
    <row r="42" spans="1:12" ht="15">
      <c r="A42" s="112" t="s">
        <v>2109</v>
      </c>
      <c r="B42" s="112" t="s">
        <v>2112</v>
      </c>
      <c r="C42" s="112">
        <v>30</v>
      </c>
      <c r="D42" s="114">
        <v>0.005006759796149353</v>
      </c>
      <c r="E42" s="114">
        <v>2.2555648608746313</v>
      </c>
      <c r="F42" s="112" t="s">
        <v>3314</v>
      </c>
      <c r="G42" s="112" t="b">
        <v>0</v>
      </c>
      <c r="H42" s="112" t="b">
        <v>0</v>
      </c>
      <c r="I42" s="112" t="b">
        <v>0</v>
      </c>
      <c r="J42" s="112" t="b">
        <v>0</v>
      </c>
      <c r="K42" s="112" t="b">
        <v>0</v>
      </c>
      <c r="L42" s="112" t="b">
        <v>0</v>
      </c>
    </row>
    <row r="43" spans="1:12" ht="15">
      <c r="A43" s="112" t="s">
        <v>2080</v>
      </c>
      <c r="B43" s="112" t="s">
        <v>2139</v>
      </c>
      <c r="C43" s="112">
        <v>28</v>
      </c>
      <c r="D43" s="114">
        <v>0.0028893940308639854</v>
      </c>
      <c r="E43" s="114">
        <v>1.7637334055214329</v>
      </c>
      <c r="F43" s="112" t="s">
        <v>3314</v>
      </c>
      <c r="G43" s="112" t="b">
        <v>0</v>
      </c>
      <c r="H43" s="112" t="b">
        <v>0</v>
      </c>
      <c r="I43" s="112" t="b">
        <v>0</v>
      </c>
      <c r="J43" s="112" t="b">
        <v>0</v>
      </c>
      <c r="K43" s="112" t="b">
        <v>0</v>
      </c>
      <c r="L43" s="112" t="b">
        <v>0</v>
      </c>
    </row>
    <row r="44" spans="1:12" ht="15">
      <c r="A44" s="112" t="s">
        <v>2082</v>
      </c>
      <c r="B44" s="112" t="s">
        <v>2134</v>
      </c>
      <c r="C44" s="112">
        <v>27</v>
      </c>
      <c r="D44" s="114">
        <v>0.002397001649306048</v>
      </c>
      <c r="E44" s="114">
        <v>1.8742177838907739</v>
      </c>
      <c r="F44" s="112" t="s">
        <v>3314</v>
      </c>
      <c r="G44" s="112" t="b">
        <v>0</v>
      </c>
      <c r="H44" s="112" t="b">
        <v>0</v>
      </c>
      <c r="I44" s="112" t="b">
        <v>0</v>
      </c>
      <c r="J44" s="112" t="b">
        <v>0</v>
      </c>
      <c r="K44" s="112" t="b">
        <v>0</v>
      </c>
      <c r="L44" s="112" t="b">
        <v>0</v>
      </c>
    </row>
    <row r="45" spans="1:12" ht="15">
      <c r="A45" s="112" t="s">
        <v>2141</v>
      </c>
      <c r="B45" s="112" t="s">
        <v>2082</v>
      </c>
      <c r="C45" s="112">
        <v>25</v>
      </c>
      <c r="D45" s="114">
        <v>0.002287847566796909</v>
      </c>
      <c r="E45" s="114">
        <v>1.9102802620720187</v>
      </c>
      <c r="F45" s="112" t="s">
        <v>3314</v>
      </c>
      <c r="G45" s="112" t="b">
        <v>0</v>
      </c>
      <c r="H45" s="112" t="b">
        <v>0</v>
      </c>
      <c r="I45" s="112" t="b">
        <v>0</v>
      </c>
      <c r="J45" s="112" t="b">
        <v>0</v>
      </c>
      <c r="K45" s="112" t="b">
        <v>0</v>
      </c>
      <c r="L45" s="112" t="b">
        <v>0</v>
      </c>
    </row>
    <row r="46" spans="1:12" ht="15">
      <c r="A46" s="112" t="s">
        <v>2080</v>
      </c>
      <c r="B46" s="112" t="s">
        <v>2094</v>
      </c>
      <c r="C46" s="112">
        <v>24</v>
      </c>
      <c r="D46" s="114">
        <v>0.0024304916360684678</v>
      </c>
      <c r="E46" s="114">
        <v>1.3430502697108355</v>
      </c>
      <c r="F46" s="112" t="s">
        <v>3314</v>
      </c>
      <c r="G46" s="112" t="b">
        <v>0</v>
      </c>
      <c r="H46" s="112" t="b">
        <v>0</v>
      </c>
      <c r="I46" s="112" t="b">
        <v>0</v>
      </c>
      <c r="J46" s="112" t="b">
        <v>0</v>
      </c>
      <c r="K46" s="112" t="b">
        <v>0</v>
      </c>
      <c r="L46" s="112" t="b">
        <v>0</v>
      </c>
    </row>
    <row r="47" spans="1:12" ht="15">
      <c r="A47" s="112" t="s">
        <v>2113</v>
      </c>
      <c r="B47" s="112" t="s">
        <v>2092</v>
      </c>
      <c r="C47" s="112">
        <v>24</v>
      </c>
      <c r="D47" s="114">
        <v>0.0022311642475443478</v>
      </c>
      <c r="E47" s="114">
        <v>1.8726885986384696</v>
      </c>
      <c r="F47" s="112" t="s">
        <v>3314</v>
      </c>
      <c r="G47" s="112" t="b">
        <v>0</v>
      </c>
      <c r="H47" s="112" t="b">
        <v>0</v>
      </c>
      <c r="I47" s="112" t="b">
        <v>0</v>
      </c>
      <c r="J47" s="112" t="b">
        <v>0</v>
      </c>
      <c r="K47" s="112" t="b">
        <v>0</v>
      </c>
      <c r="L47" s="112" t="b">
        <v>0</v>
      </c>
    </row>
    <row r="48" spans="1:12" ht="15">
      <c r="A48" s="112" t="s">
        <v>2107</v>
      </c>
      <c r="B48" s="112" t="s">
        <v>2107</v>
      </c>
      <c r="C48" s="112">
        <v>23</v>
      </c>
      <c r="D48" s="114">
        <v>0.00417005636092805</v>
      </c>
      <c r="E48" s="114">
        <v>2.0743541576829183</v>
      </c>
      <c r="F48" s="112" t="s">
        <v>3314</v>
      </c>
      <c r="G48" s="112" t="b">
        <v>0</v>
      </c>
      <c r="H48" s="112" t="b">
        <v>0</v>
      </c>
      <c r="I48" s="112" t="b">
        <v>0</v>
      </c>
      <c r="J48" s="112" t="b">
        <v>0</v>
      </c>
      <c r="K48" s="112" t="b">
        <v>0</v>
      </c>
      <c r="L48" s="112" t="b">
        <v>0</v>
      </c>
    </row>
    <row r="49" spans="1:12" ht="15">
      <c r="A49" s="112" t="s">
        <v>2147</v>
      </c>
      <c r="B49" s="112" t="s">
        <v>2092</v>
      </c>
      <c r="C49" s="112">
        <v>22</v>
      </c>
      <c r="D49" s="114">
        <v>0.0021132879488841194</v>
      </c>
      <c r="E49" s="114">
        <v>2.0731392035535956</v>
      </c>
      <c r="F49" s="112" t="s">
        <v>3314</v>
      </c>
      <c r="G49" s="112" t="b">
        <v>0</v>
      </c>
      <c r="H49" s="112" t="b">
        <v>0</v>
      </c>
      <c r="I49" s="112" t="b">
        <v>0</v>
      </c>
      <c r="J49" s="112" t="b">
        <v>0</v>
      </c>
      <c r="K49" s="112" t="b">
        <v>0</v>
      </c>
      <c r="L49" s="112" t="b">
        <v>0</v>
      </c>
    </row>
    <row r="50" spans="1:12" ht="15">
      <c r="A50" s="112" t="s">
        <v>2079</v>
      </c>
      <c r="B50" s="112" t="s">
        <v>2131</v>
      </c>
      <c r="C50" s="112">
        <v>20</v>
      </c>
      <c r="D50" s="114">
        <v>0.0019889388474913193</v>
      </c>
      <c r="E50" s="114">
        <v>1.4306702069486614</v>
      </c>
      <c r="F50" s="112" t="s">
        <v>3314</v>
      </c>
      <c r="G50" s="112" t="b">
        <v>0</v>
      </c>
      <c r="H50" s="112" t="b">
        <v>0</v>
      </c>
      <c r="I50" s="112" t="b">
        <v>0</v>
      </c>
      <c r="J50" s="112" t="b">
        <v>0</v>
      </c>
      <c r="K50" s="112" t="b">
        <v>0</v>
      </c>
      <c r="L50" s="112" t="b">
        <v>0</v>
      </c>
    </row>
    <row r="51" spans="1:12" ht="15">
      <c r="A51" s="112" t="s">
        <v>2084</v>
      </c>
      <c r="B51" s="112" t="s">
        <v>2098</v>
      </c>
      <c r="C51" s="112">
        <v>20</v>
      </c>
      <c r="D51" s="114">
        <v>0.0019889388474913193</v>
      </c>
      <c r="E51" s="114">
        <v>1.564563786209888</v>
      </c>
      <c r="F51" s="112" t="s">
        <v>3314</v>
      </c>
      <c r="G51" s="112" t="b">
        <v>0</v>
      </c>
      <c r="H51" s="112" t="b">
        <v>1</v>
      </c>
      <c r="I51" s="112" t="b">
        <v>0</v>
      </c>
      <c r="J51" s="112" t="b">
        <v>1</v>
      </c>
      <c r="K51" s="112" t="b">
        <v>0</v>
      </c>
      <c r="L51" s="112" t="b">
        <v>0</v>
      </c>
    </row>
    <row r="52" spans="1:12" ht="15">
      <c r="A52" s="112" t="s">
        <v>2098</v>
      </c>
      <c r="B52" s="112" t="s">
        <v>2122</v>
      </c>
      <c r="C52" s="112">
        <v>20</v>
      </c>
      <c r="D52" s="114">
        <v>0.0019889388474913193</v>
      </c>
      <c r="E52" s="114">
        <v>2.028613632081792</v>
      </c>
      <c r="F52" s="112" t="s">
        <v>3314</v>
      </c>
      <c r="G52" s="112" t="b">
        <v>1</v>
      </c>
      <c r="H52" s="112" t="b">
        <v>0</v>
      </c>
      <c r="I52" s="112" t="b">
        <v>0</v>
      </c>
      <c r="J52" s="112" t="b">
        <v>0</v>
      </c>
      <c r="K52" s="112" t="b">
        <v>0</v>
      </c>
      <c r="L52" s="112" t="b">
        <v>0</v>
      </c>
    </row>
    <row r="53" spans="1:12" ht="15">
      <c r="A53" s="112" t="s">
        <v>2122</v>
      </c>
      <c r="B53" s="112" t="s">
        <v>2155</v>
      </c>
      <c r="C53" s="112">
        <v>20</v>
      </c>
      <c r="D53" s="114">
        <v>0.0019889388474913193</v>
      </c>
      <c r="E53" s="114">
        <v>2.3726782599709746</v>
      </c>
      <c r="F53" s="112" t="s">
        <v>3314</v>
      </c>
      <c r="G53" s="112" t="b">
        <v>0</v>
      </c>
      <c r="H53" s="112" t="b">
        <v>0</v>
      </c>
      <c r="I53" s="112" t="b">
        <v>0</v>
      </c>
      <c r="J53" s="112" t="b">
        <v>0</v>
      </c>
      <c r="K53" s="112" t="b">
        <v>0</v>
      </c>
      <c r="L53" s="112" t="b">
        <v>0</v>
      </c>
    </row>
    <row r="54" spans="1:12" ht="15">
      <c r="A54" s="112" t="s">
        <v>2155</v>
      </c>
      <c r="B54" s="112" t="s">
        <v>2084</v>
      </c>
      <c r="C54" s="112">
        <v>20</v>
      </c>
      <c r="D54" s="114">
        <v>0.0019889388474913193</v>
      </c>
      <c r="E54" s="114">
        <v>1.909567719694127</v>
      </c>
      <c r="F54" s="112" t="s">
        <v>3314</v>
      </c>
      <c r="G54" s="112" t="b">
        <v>0</v>
      </c>
      <c r="H54" s="112" t="b">
        <v>0</v>
      </c>
      <c r="I54" s="112" t="b">
        <v>0</v>
      </c>
      <c r="J54" s="112" t="b">
        <v>0</v>
      </c>
      <c r="K54" s="112" t="b">
        <v>1</v>
      </c>
      <c r="L54" s="112" t="b">
        <v>0</v>
      </c>
    </row>
    <row r="55" spans="1:12" ht="15">
      <c r="A55" s="112" t="s">
        <v>2084</v>
      </c>
      <c r="B55" s="112" t="s">
        <v>2158</v>
      </c>
      <c r="C55" s="112">
        <v>20</v>
      </c>
      <c r="D55" s="114">
        <v>0.0019889388474913193</v>
      </c>
      <c r="E55" s="114">
        <v>1.9352297100152636</v>
      </c>
      <c r="F55" s="112" t="s">
        <v>3314</v>
      </c>
      <c r="G55" s="112" t="b">
        <v>0</v>
      </c>
      <c r="H55" s="112" t="b">
        <v>1</v>
      </c>
      <c r="I55" s="112" t="b">
        <v>0</v>
      </c>
      <c r="J55" s="112" t="b">
        <v>1</v>
      </c>
      <c r="K55" s="112" t="b">
        <v>0</v>
      </c>
      <c r="L55" s="112" t="b">
        <v>0</v>
      </c>
    </row>
    <row r="56" spans="1:12" ht="15">
      <c r="A56" s="112" t="s">
        <v>2158</v>
      </c>
      <c r="B56" s="112" t="s">
        <v>2161</v>
      </c>
      <c r="C56" s="112">
        <v>20</v>
      </c>
      <c r="D56" s="114">
        <v>0.0019889388474913193</v>
      </c>
      <c r="E56" s="114">
        <v>2.671988275240682</v>
      </c>
      <c r="F56" s="112" t="s">
        <v>3314</v>
      </c>
      <c r="G56" s="112" t="b">
        <v>1</v>
      </c>
      <c r="H56" s="112" t="b">
        <v>0</v>
      </c>
      <c r="I56" s="112" t="b">
        <v>0</v>
      </c>
      <c r="J56" s="112" t="b">
        <v>0</v>
      </c>
      <c r="K56" s="112" t="b">
        <v>0</v>
      </c>
      <c r="L56" s="112" t="b">
        <v>0</v>
      </c>
    </row>
    <row r="57" spans="1:12" ht="15">
      <c r="A57" s="112" t="s">
        <v>2161</v>
      </c>
      <c r="B57" s="112" t="s">
        <v>2118</v>
      </c>
      <c r="C57" s="112">
        <v>20</v>
      </c>
      <c r="D57" s="114">
        <v>0.0019889388474913193</v>
      </c>
      <c r="E57" s="114">
        <v>2.4002476556786885</v>
      </c>
      <c r="F57" s="112" t="s">
        <v>3314</v>
      </c>
      <c r="G57" s="112" t="b">
        <v>0</v>
      </c>
      <c r="H57" s="112" t="b">
        <v>0</v>
      </c>
      <c r="I57" s="112" t="b">
        <v>0</v>
      </c>
      <c r="J57" s="112" t="b">
        <v>0</v>
      </c>
      <c r="K57" s="112" t="b">
        <v>0</v>
      </c>
      <c r="L57" s="112" t="b">
        <v>0</v>
      </c>
    </row>
    <row r="58" spans="1:12" ht="15">
      <c r="A58" s="112" t="s">
        <v>2118</v>
      </c>
      <c r="B58" s="112" t="s">
        <v>2113</v>
      </c>
      <c r="C58" s="112">
        <v>20</v>
      </c>
      <c r="D58" s="114">
        <v>0.0019889388474913193</v>
      </c>
      <c r="E58" s="114">
        <v>2.089457822725551</v>
      </c>
      <c r="F58" s="112" t="s">
        <v>3314</v>
      </c>
      <c r="G58" s="112" t="b">
        <v>0</v>
      </c>
      <c r="H58" s="112" t="b">
        <v>0</v>
      </c>
      <c r="I58" s="112" t="b">
        <v>0</v>
      </c>
      <c r="J58" s="112" t="b">
        <v>0</v>
      </c>
      <c r="K58" s="112" t="b">
        <v>0</v>
      </c>
      <c r="L58" s="112" t="b">
        <v>0</v>
      </c>
    </row>
    <row r="59" spans="1:12" ht="15">
      <c r="A59" s="112" t="s">
        <v>2092</v>
      </c>
      <c r="B59" s="112" t="s">
        <v>2147</v>
      </c>
      <c r="C59" s="112">
        <v>20</v>
      </c>
      <c r="D59" s="114">
        <v>0.0019889388474913193</v>
      </c>
      <c r="E59" s="114">
        <v>2.0317465183953707</v>
      </c>
      <c r="F59" s="112" t="s">
        <v>3314</v>
      </c>
      <c r="G59" s="112" t="b">
        <v>0</v>
      </c>
      <c r="H59" s="112" t="b">
        <v>0</v>
      </c>
      <c r="I59" s="112" t="b">
        <v>0</v>
      </c>
      <c r="J59" s="112" t="b">
        <v>0</v>
      </c>
      <c r="K59" s="112" t="b">
        <v>0</v>
      </c>
      <c r="L59" s="112" t="b">
        <v>0</v>
      </c>
    </row>
    <row r="60" spans="1:12" ht="15">
      <c r="A60" s="112" t="s">
        <v>2092</v>
      </c>
      <c r="B60" s="112" t="s">
        <v>2164</v>
      </c>
      <c r="C60" s="112">
        <v>20</v>
      </c>
      <c r="D60" s="114">
        <v>0.0019889388474913193</v>
      </c>
      <c r="E60" s="114">
        <v>2.1245005716322694</v>
      </c>
      <c r="F60" s="112" t="s">
        <v>3314</v>
      </c>
      <c r="G60" s="112" t="b">
        <v>0</v>
      </c>
      <c r="H60" s="112" t="b">
        <v>0</v>
      </c>
      <c r="I60" s="112" t="b">
        <v>0</v>
      </c>
      <c r="J60" s="112" t="b">
        <v>0</v>
      </c>
      <c r="K60" s="112" t="b">
        <v>0</v>
      </c>
      <c r="L60" s="112" t="b">
        <v>0</v>
      </c>
    </row>
    <row r="61" spans="1:12" ht="15">
      <c r="A61" s="112" t="s">
        <v>2164</v>
      </c>
      <c r="B61" s="112" t="s">
        <v>2113</v>
      </c>
      <c r="C61" s="112">
        <v>20</v>
      </c>
      <c r="D61" s="114">
        <v>0.0019889388474913193</v>
      </c>
      <c r="E61" s="114">
        <v>2.4007069835712183</v>
      </c>
      <c r="F61" s="112" t="s">
        <v>3314</v>
      </c>
      <c r="G61" s="112" t="b">
        <v>0</v>
      </c>
      <c r="H61" s="112" t="b">
        <v>0</v>
      </c>
      <c r="I61" s="112" t="b">
        <v>0</v>
      </c>
      <c r="J61" s="112" t="b">
        <v>0</v>
      </c>
      <c r="K61" s="112" t="b">
        <v>0</v>
      </c>
      <c r="L61" s="112" t="b">
        <v>0</v>
      </c>
    </row>
    <row r="62" spans="1:12" ht="15">
      <c r="A62" s="112" t="s">
        <v>2113</v>
      </c>
      <c r="B62" s="112" t="s">
        <v>2123</v>
      </c>
      <c r="C62" s="112">
        <v>20</v>
      </c>
      <c r="D62" s="114">
        <v>0.0019889388474913193</v>
      </c>
      <c r="E62" s="114">
        <v>2.099676987907237</v>
      </c>
      <c r="F62" s="112" t="s">
        <v>3314</v>
      </c>
      <c r="G62" s="112" t="b">
        <v>0</v>
      </c>
      <c r="H62" s="112" t="b">
        <v>0</v>
      </c>
      <c r="I62" s="112" t="b">
        <v>0</v>
      </c>
      <c r="J62" s="112" t="b">
        <v>0</v>
      </c>
      <c r="K62" s="112" t="b">
        <v>0</v>
      </c>
      <c r="L62" s="112" t="b">
        <v>0</v>
      </c>
    </row>
    <row r="63" spans="1:12" ht="15">
      <c r="A63" s="112" t="s">
        <v>2162</v>
      </c>
      <c r="B63" s="112" t="s">
        <v>2078</v>
      </c>
      <c r="C63" s="112">
        <v>19</v>
      </c>
      <c r="D63" s="114">
        <v>0.001960660235229133</v>
      </c>
      <c r="E63" s="114">
        <v>1.5574268385591545</v>
      </c>
      <c r="F63" s="112" t="s">
        <v>3314</v>
      </c>
      <c r="G63" s="112" t="b">
        <v>0</v>
      </c>
      <c r="H63" s="112" t="b">
        <v>0</v>
      </c>
      <c r="I63" s="112" t="b">
        <v>0</v>
      </c>
      <c r="J63" s="112" t="b">
        <v>0</v>
      </c>
      <c r="K63" s="112" t="b">
        <v>0</v>
      </c>
      <c r="L63" s="112" t="b">
        <v>0</v>
      </c>
    </row>
    <row r="64" spans="1:12" ht="15">
      <c r="A64" s="112" t="s">
        <v>2138</v>
      </c>
      <c r="B64" s="112" t="s">
        <v>2133</v>
      </c>
      <c r="C64" s="112">
        <v>19</v>
      </c>
      <c r="D64" s="114">
        <v>0.002702744701476152</v>
      </c>
      <c r="E64" s="114">
        <v>2.3172335020071677</v>
      </c>
      <c r="F64" s="112" t="s">
        <v>3314</v>
      </c>
      <c r="G64" s="112" t="b">
        <v>0</v>
      </c>
      <c r="H64" s="112" t="b">
        <v>0</v>
      </c>
      <c r="I64" s="112" t="b">
        <v>0</v>
      </c>
      <c r="J64" s="112" t="b">
        <v>0</v>
      </c>
      <c r="K64" s="112" t="b">
        <v>0</v>
      </c>
      <c r="L64" s="112" t="b">
        <v>0</v>
      </c>
    </row>
    <row r="65" spans="1:12" ht="15">
      <c r="A65" s="112" t="s">
        <v>2084</v>
      </c>
      <c r="B65" s="112" t="s">
        <v>2122</v>
      </c>
      <c r="C65" s="112">
        <v>19</v>
      </c>
      <c r="D65" s="114">
        <v>0.001924139211887537</v>
      </c>
      <c r="E65" s="114">
        <v>1.6514318609238037</v>
      </c>
      <c r="F65" s="112" t="s">
        <v>3314</v>
      </c>
      <c r="G65" s="112" t="b">
        <v>0</v>
      </c>
      <c r="H65" s="112" t="b">
        <v>1</v>
      </c>
      <c r="I65" s="112" t="b">
        <v>0</v>
      </c>
      <c r="J65" s="112" t="b">
        <v>0</v>
      </c>
      <c r="K65" s="112" t="b">
        <v>0</v>
      </c>
      <c r="L65" s="112" t="b">
        <v>0</v>
      </c>
    </row>
    <row r="66" spans="1:12" ht="15">
      <c r="A66" s="112" t="s">
        <v>2122</v>
      </c>
      <c r="B66" s="112" t="s">
        <v>2092</v>
      </c>
      <c r="C66" s="112">
        <v>19</v>
      </c>
      <c r="D66" s="114">
        <v>0.001924139211887537</v>
      </c>
      <c r="E66" s="114">
        <v>1.801194181257136</v>
      </c>
      <c r="F66" s="112" t="s">
        <v>3314</v>
      </c>
      <c r="G66" s="112" t="b">
        <v>0</v>
      </c>
      <c r="H66" s="112" t="b">
        <v>0</v>
      </c>
      <c r="I66" s="112" t="b">
        <v>0</v>
      </c>
      <c r="J66" s="112" t="b">
        <v>0</v>
      </c>
      <c r="K66" s="112" t="b">
        <v>0</v>
      </c>
      <c r="L66" s="112" t="b">
        <v>0</v>
      </c>
    </row>
    <row r="67" spans="1:12" ht="15">
      <c r="A67" s="112" t="s">
        <v>2118</v>
      </c>
      <c r="B67" s="112" t="s">
        <v>2123</v>
      </c>
      <c r="C67" s="112">
        <v>19</v>
      </c>
      <c r="D67" s="114">
        <v>0.001924139211887537</v>
      </c>
      <c r="E67" s="114">
        <v>2.097144651391842</v>
      </c>
      <c r="F67" s="112" t="s">
        <v>3314</v>
      </c>
      <c r="G67" s="112" t="b">
        <v>0</v>
      </c>
      <c r="H67" s="112" t="b">
        <v>0</v>
      </c>
      <c r="I67" s="112" t="b">
        <v>0</v>
      </c>
      <c r="J67" s="112" t="b">
        <v>0</v>
      </c>
      <c r="K67" s="112" t="b">
        <v>0</v>
      </c>
      <c r="L67" s="112" t="b">
        <v>0</v>
      </c>
    </row>
    <row r="68" spans="1:12" ht="15">
      <c r="A68" s="112" t="s">
        <v>2108</v>
      </c>
      <c r="B68" s="112" t="s">
        <v>2145</v>
      </c>
      <c r="C68" s="112">
        <v>19</v>
      </c>
      <c r="D68" s="114">
        <v>0.001924139211887537</v>
      </c>
      <c r="E68" s="114">
        <v>2.2597408015287677</v>
      </c>
      <c r="F68" s="112" t="s">
        <v>3314</v>
      </c>
      <c r="G68" s="112" t="b">
        <v>0</v>
      </c>
      <c r="H68" s="112" t="b">
        <v>0</v>
      </c>
      <c r="I68" s="112" t="b">
        <v>0</v>
      </c>
      <c r="J68" s="112" t="b">
        <v>0</v>
      </c>
      <c r="K68" s="112" t="b">
        <v>0</v>
      </c>
      <c r="L68" s="112" t="b">
        <v>0</v>
      </c>
    </row>
    <row r="69" spans="1:12" ht="15">
      <c r="A69" s="112" t="s">
        <v>2079</v>
      </c>
      <c r="B69" s="112" t="s">
        <v>2079</v>
      </c>
      <c r="C69" s="112">
        <v>18</v>
      </c>
      <c r="D69" s="114">
        <v>0.0018574675912697049</v>
      </c>
      <c r="E69" s="114">
        <v>0.5241470441183239</v>
      </c>
      <c r="F69" s="112" t="s">
        <v>3314</v>
      </c>
      <c r="G69" s="112" t="b">
        <v>0</v>
      </c>
      <c r="H69" s="112" t="b">
        <v>0</v>
      </c>
      <c r="I69" s="112" t="b">
        <v>0</v>
      </c>
      <c r="J69" s="112" t="b">
        <v>0</v>
      </c>
      <c r="K69" s="112" t="b">
        <v>0</v>
      </c>
      <c r="L69" s="112" t="b">
        <v>0</v>
      </c>
    </row>
    <row r="70" spans="1:12" ht="15">
      <c r="A70" s="112" t="s">
        <v>2092</v>
      </c>
      <c r="B70" s="112" t="s">
        <v>2118</v>
      </c>
      <c r="C70" s="112">
        <v>18</v>
      </c>
      <c r="D70" s="114">
        <v>0.0018574675912697049</v>
      </c>
      <c r="E70" s="114">
        <v>1.767493920225927</v>
      </c>
      <c r="F70" s="112" t="s">
        <v>3314</v>
      </c>
      <c r="G70" s="112" t="b">
        <v>0</v>
      </c>
      <c r="H70" s="112" t="b">
        <v>0</v>
      </c>
      <c r="I70" s="112" t="b">
        <v>0</v>
      </c>
      <c r="J70" s="112" t="b">
        <v>0</v>
      </c>
      <c r="K70" s="112" t="b">
        <v>0</v>
      </c>
      <c r="L70" s="112" t="b">
        <v>0</v>
      </c>
    </row>
    <row r="71" spans="1:12" ht="15">
      <c r="A71" s="112" t="s">
        <v>2095</v>
      </c>
      <c r="B71" s="112" t="s">
        <v>2078</v>
      </c>
      <c r="C71" s="112">
        <v>17</v>
      </c>
      <c r="D71" s="114">
        <v>0.0018644649590006518</v>
      </c>
      <c r="E71" s="114">
        <v>0.9924923629812634</v>
      </c>
      <c r="F71" s="112" t="s">
        <v>3314</v>
      </c>
      <c r="G71" s="112" t="b">
        <v>0</v>
      </c>
      <c r="H71" s="112" t="b">
        <v>0</v>
      </c>
      <c r="I71" s="112" t="b">
        <v>0</v>
      </c>
      <c r="J71" s="112" t="b">
        <v>0</v>
      </c>
      <c r="K71" s="112" t="b">
        <v>0</v>
      </c>
      <c r="L71" s="112" t="b">
        <v>0</v>
      </c>
    </row>
    <row r="72" spans="1:12" ht="15">
      <c r="A72" s="112" t="s">
        <v>2125</v>
      </c>
      <c r="B72" s="112" t="s">
        <v>2077</v>
      </c>
      <c r="C72" s="112">
        <v>17</v>
      </c>
      <c r="D72" s="114">
        <v>0.0017888198820946205</v>
      </c>
      <c r="E72" s="114">
        <v>1.2357046966811494</v>
      </c>
      <c r="F72" s="112" t="s">
        <v>3314</v>
      </c>
      <c r="G72" s="112" t="b">
        <v>0</v>
      </c>
      <c r="H72" s="112" t="b">
        <v>0</v>
      </c>
      <c r="I72" s="112" t="b">
        <v>0</v>
      </c>
      <c r="J72" s="112" t="b">
        <v>0</v>
      </c>
      <c r="K72" s="112" t="b">
        <v>0</v>
      </c>
      <c r="L72" s="112" t="b">
        <v>0</v>
      </c>
    </row>
    <row r="73" spans="1:12" ht="15">
      <c r="A73" s="112" t="s">
        <v>2169</v>
      </c>
      <c r="B73" s="112" t="s">
        <v>2170</v>
      </c>
      <c r="C73" s="112">
        <v>17</v>
      </c>
      <c r="D73" s="114">
        <v>0.002663296945851603</v>
      </c>
      <c r="E73" s="114">
        <v>2.7034977264668116</v>
      </c>
      <c r="F73" s="112" t="s">
        <v>3314</v>
      </c>
      <c r="G73" s="112" t="b">
        <v>0</v>
      </c>
      <c r="H73" s="112" t="b">
        <v>0</v>
      </c>
      <c r="I73" s="112" t="b">
        <v>0</v>
      </c>
      <c r="J73" s="112" t="b">
        <v>0</v>
      </c>
      <c r="K73" s="112" t="b">
        <v>0</v>
      </c>
      <c r="L73" s="112" t="b">
        <v>0</v>
      </c>
    </row>
    <row r="74" spans="1:12" ht="15">
      <c r="A74" s="112" t="s">
        <v>2145</v>
      </c>
      <c r="B74" s="112" t="s">
        <v>2186</v>
      </c>
      <c r="C74" s="112">
        <v>17</v>
      </c>
      <c r="D74" s="114">
        <v>0.0017888198820946205</v>
      </c>
      <c r="E74" s="114">
        <v>2.6437450322575127</v>
      </c>
      <c r="F74" s="112" t="s">
        <v>3314</v>
      </c>
      <c r="G74" s="112" t="b">
        <v>0</v>
      </c>
      <c r="H74" s="112" t="b">
        <v>0</v>
      </c>
      <c r="I74" s="112" t="b">
        <v>0</v>
      </c>
      <c r="J74" s="112" t="b">
        <v>0</v>
      </c>
      <c r="K74" s="112" t="b">
        <v>0</v>
      </c>
      <c r="L74" s="112" t="b">
        <v>0</v>
      </c>
    </row>
    <row r="75" spans="1:12" ht="15">
      <c r="A75" s="112" t="s">
        <v>2078</v>
      </c>
      <c r="B75" s="112" t="s">
        <v>2150</v>
      </c>
      <c r="C75" s="112">
        <v>16</v>
      </c>
      <c r="D75" s="114">
        <v>0.00198542743118753</v>
      </c>
      <c r="E75" s="114">
        <v>1.3816016877819834</v>
      </c>
      <c r="F75" s="112" t="s">
        <v>3314</v>
      </c>
      <c r="G75" s="112" t="b">
        <v>0</v>
      </c>
      <c r="H75" s="112" t="b">
        <v>0</v>
      </c>
      <c r="I75" s="112" t="b">
        <v>0</v>
      </c>
      <c r="J75" s="112" t="b">
        <v>0</v>
      </c>
      <c r="K75" s="112" t="b">
        <v>0</v>
      </c>
      <c r="L75" s="112" t="b">
        <v>0</v>
      </c>
    </row>
    <row r="76" spans="1:12" ht="15">
      <c r="A76" s="112" t="s">
        <v>2144</v>
      </c>
      <c r="B76" s="112" t="s">
        <v>2179</v>
      </c>
      <c r="C76" s="112">
        <v>16</v>
      </c>
      <c r="D76" s="114">
        <v>0.002188311465222557</v>
      </c>
      <c r="E76" s="114">
        <v>2.6016218263519315</v>
      </c>
      <c r="F76" s="112" t="s">
        <v>3314</v>
      </c>
      <c r="G76" s="112" t="b">
        <v>0</v>
      </c>
      <c r="H76" s="112" t="b">
        <v>0</v>
      </c>
      <c r="I76" s="112" t="b">
        <v>0</v>
      </c>
      <c r="J76" s="112" t="b">
        <v>0</v>
      </c>
      <c r="K76" s="112" t="b">
        <v>1</v>
      </c>
      <c r="L76" s="112" t="b">
        <v>0</v>
      </c>
    </row>
    <row r="77" spans="1:12" ht="15">
      <c r="A77" s="112" t="s">
        <v>2151</v>
      </c>
      <c r="B77" s="112" t="s">
        <v>2078</v>
      </c>
      <c r="C77" s="112">
        <v>15</v>
      </c>
      <c r="D77" s="114">
        <v>0.0019175237405112404</v>
      </c>
      <c r="E77" s="114">
        <v>1.39677254968432</v>
      </c>
      <c r="F77" s="112" t="s">
        <v>3314</v>
      </c>
      <c r="G77" s="112" t="b">
        <v>0</v>
      </c>
      <c r="H77" s="112" t="b">
        <v>0</v>
      </c>
      <c r="I77" s="112" t="b">
        <v>0</v>
      </c>
      <c r="J77" s="112" t="b">
        <v>0</v>
      </c>
      <c r="K77" s="112" t="b">
        <v>0</v>
      </c>
      <c r="L77" s="112" t="b">
        <v>0</v>
      </c>
    </row>
    <row r="78" spans="1:12" ht="15">
      <c r="A78" s="112" t="s">
        <v>2087</v>
      </c>
      <c r="B78" s="112" t="s">
        <v>2166</v>
      </c>
      <c r="C78" s="112">
        <v>15</v>
      </c>
      <c r="D78" s="114">
        <v>0.002051541998646147</v>
      </c>
      <c r="E78" s="114">
        <v>1.9167463043212505</v>
      </c>
      <c r="F78" s="112" t="s">
        <v>3314</v>
      </c>
      <c r="G78" s="112" t="b">
        <v>0</v>
      </c>
      <c r="H78" s="112" t="b">
        <v>0</v>
      </c>
      <c r="I78" s="112" t="b">
        <v>0</v>
      </c>
      <c r="J78" s="112" t="b">
        <v>0</v>
      </c>
      <c r="K78" s="112" t="b">
        <v>0</v>
      </c>
      <c r="L78" s="112" t="b">
        <v>0</v>
      </c>
    </row>
    <row r="79" spans="1:12" ht="15">
      <c r="A79" s="112" t="s">
        <v>2094</v>
      </c>
      <c r="B79" s="112" t="s">
        <v>2080</v>
      </c>
      <c r="C79" s="112">
        <v>15</v>
      </c>
      <c r="D79" s="114">
        <v>0.0018105122280862647</v>
      </c>
      <c r="E79" s="114">
        <v>1.1593924584705062</v>
      </c>
      <c r="F79" s="112" t="s">
        <v>3314</v>
      </c>
      <c r="G79" s="112" t="b">
        <v>0</v>
      </c>
      <c r="H79" s="112" t="b">
        <v>0</v>
      </c>
      <c r="I79" s="112" t="b">
        <v>0</v>
      </c>
      <c r="J79" s="112" t="b">
        <v>0</v>
      </c>
      <c r="K79" s="112" t="b">
        <v>0</v>
      </c>
      <c r="L79" s="112" t="b">
        <v>0</v>
      </c>
    </row>
    <row r="80" spans="1:12" ht="15">
      <c r="A80" s="112" t="s">
        <v>2083</v>
      </c>
      <c r="B80" s="112" t="s">
        <v>2080</v>
      </c>
      <c r="C80" s="112">
        <v>14</v>
      </c>
      <c r="D80" s="114">
        <v>0.0016066655926381625</v>
      </c>
      <c r="E80" s="114">
        <v>0.8768838628561815</v>
      </c>
      <c r="F80" s="112" t="s">
        <v>3314</v>
      </c>
      <c r="G80" s="112" t="b">
        <v>0</v>
      </c>
      <c r="H80" s="112" t="b">
        <v>0</v>
      </c>
      <c r="I80" s="112" t="b">
        <v>0</v>
      </c>
      <c r="J80" s="112" t="b">
        <v>0</v>
      </c>
      <c r="K80" s="112" t="b">
        <v>0</v>
      </c>
      <c r="L80" s="112" t="b">
        <v>0</v>
      </c>
    </row>
    <row r="81" spans="1:12" ht="15">
      <c r="A81" s="112" t="s">
        <v>2091</v>
      </c>
      <c r="B81" s="112" t="s">
        <v>2091</v>
      </c>
      <c r="C81" s="112">
        <v>14</v>
      </c>
      <c r="D81" s="114">
        <v>0.0018483115581267434</v>
      </c>
      <c r="E81" s="114">
        <v>1.3831436936491397</v>
      </c>
      <c r="F81" s="112" t="s">
        <v>3314</v>
      </c>
      <c r="G81" s="112" t="b">
        <v>0</v>
      </c>
      <c r="H81" s="112" t="b">
        <v>0</v>
      </c>
      <c r="I81" s="112" t="b">
        <v>0</v>
      </c>
      <c r="J81" s="112" t="b">
        <v>0</v>
      </c>
      <c r="K81" s="112" t="b">
        <v>0</v>
      </c>
      <c r="L81" s="112" t="b">
        <v>0</v>
      </c>
    </row>
    <row r="82" spans="1:12" ht="15">
      <c r="A82" s="112" t="s">
        <v>2089</v>
      </c>
      <c r="B82" s="112" t="s">
        <v>2089</v>
      </c>
      <c r="C82" s="112">
        <v>14</v>
      </c>
      <c r="D82" s="114">
        <v>0.0019147725320697376</v>
      </c>
      <c r="E82" s="114">
        <v>1.2799242067340761</v>
      </c>
      <c r="F82" s="112" t="s">
        <v>3314</v>
      </c>
      <c r="G82" s="112" t="b">
        <v>0</v>
      </c>
      <c r="H82" s="112" t="b">
        <v>0</v>
      </c>
      <c r="I82" s="112" t="b">
        <v>0</v>
      </c>
      <c r="J82" s="112" t="b">
        <v>0</v>
      </c>
      <c r="K82" s="112" t="b">
        <v>0</v>
      </c>
      <c r="L82" s="112" t="b">
        <v>0</v>
      </c>
    </row>
    <row r="83" spans="1:12" ht="15">
      <c r="A83" s="112" t="s">
        <v>2187</v>
      </c>
      <c r="B83" s="112" t="s">
        <v>2082</v>
      </c>
      <c r="C83" s="112">
        <v>14</v>
      </c>
      <c r="D83" s="114">
        <v>0.002082240811334254</v>
      </c>
      <c r="E83" s="114">
        <v>1.8904173655989014</v>
      </c>
      <c r="F83" s="112" t="s">
        <v>3314</v>
      </c>
      <c r="G83" s="112" t="b">
        <v>0</v>
      </c>
      <c r="H83" s="112" t="b">
        <v>0</v>
      </c>
      <c r="I83" s="112" t="b">
        <v>0</v>
      </c>
      <c r="J83" s="112" t="b">
        <v>0</v>
      </c>
      <c r="K83" s="112" t="b">
        <v>0</v>
      </c>
      <c r="L83" s="112" t="b">
        <v>0</v>
      </c>
    </row>
    <row r="84" spans="1:12" ht="15">
      <c r="A84" s="112" t="s">
        <v>2090</v>
      </c>
      <c r="B84" s="112" t="s">
        <v>2126</v>
      </c>
      <c r="C84" s="112">
        <v>13</v>
      </c>
      <c r="D84" s="114">
        <v>0.001613159787839868</v>
      </c>
      <c r="E84" s="114">
        <v>1.6468493662893084</v>
      </c>
      <c r="F84" s="112" t="s">
        <v>3314</v>
      </c>
      <c r="G84" s="112" t="b">
        <v>0</v>
      </c>
      <c r="H84" s="112" t="b">
        <v>0</v>
      </c>
      <c r="I84" s="112" t="b">
        <v>0</v>
      </c>
      <c r="J84" s="112" t="b">
        <v>0</v>
      </c>
      <c r="K84" s="112" t="b">
        <v>0</v>
      </c>
      <c r="L84" s="112" t="b">
        <v>0</v>
      </c>
    </row>
    <row r="85" spans="1:12" ht="15">
      <c r="A85" s="112" t="s">
        <v>2077</v>
      </c>
      <c r="B85" s="112" t="s">
        <v>2080</v>
      </c>
      <c r="C85" s="112">
        <v>13</v>
      </c>
      <c r="D85" s="114">
        <v>0.0018492463746942092</v>
      </c>
      <c r="E85" s="114">
        <v>0.33677959243339517</v>
      </c>
      <c r="F85" s="112" t="s">
        <v>3314</v>
      </c>
      <c r="G85" s="112" t="b">
        <v>0</v>
      </c>
      <c r="H85" s="112" t="b">
        <v>0</v>
      </c>
      <c r="I85" s="112" t="b">
        <v>0</v>
      </c>
      <c r="J85" s="112" t="b">
        <v>0</v>
      </c>
      <c r="K85" s="112" t="b">
        <v>0</v>
      </c>
      <c r="L85" s="112" t="b">
        <v>0</v>
      </c>
    </row>
    <row r="86" spans="1:12" ht="15">
      <c r="A86" s="112" t="s">
        <v>2083</v>
      </c>
      <c r="B86" s="112" t="s">
        <v>2195</v>
      </c>
      <c r="C86" s="112">
        <v>12</v>
      </c>
      <c r="D86" s="114">
        <v>0.0014112893886680297</v>
      </c>
      <c r="E86" s="114">
        <v>1.8743950624524868</v>
      </c>
      <c r="F86" s="112" t="s">
        <v>3314</v>
      </c>
      <c r="G86" s="112" t="b">
        <v>0</v>
      </c>
      <c r="H86" s="112" t="b">
        <v>0</v>
      </c>
      <c r="I86" s="112" t="b">
        <v>0</v>
      </c>
      <c r="J86" s="112" t="b">
        <v>0</v>
      </c>
      <c r="K86" s="112" t="b">
        <v>0</v>
      </c>
      <c r="L86" s="112" t="b">
        <v>0</v>
      </c>
    </row>
    <row r="87" spans="1:12" ht="15">
      <c r="A87" s="112" t="s">
        <v>2195</v>
      </c>
      <c r="B87" s="112" t="s">
        <v>2224</v>
      </c>
      <c r="C87" s="112">
        <v>12</v>
      </c>
      <c r="D87" s="114">
        <v>0.0014112893886680297</v>
      </c>
      <c r="E87" s="114">
        <v>2.9289807607382623</v>
      </c>
      <c r="F87" s="112" t="s">
        <v>3314</v>
      </c>
      <c r="G87" s="112" t="b">
        <v>0</v>
      </c>
      <c r="H87" s="112" t="b">
        <v>0</v>
      </c>
      <c r="I87" s="112" t="b">
        <v>0</v>
      </c>
      <c r="J87" s="112" t="b">
        <v>0</v>
      </c>
      <c r="K87" s="112" t="b">
        <v>0</v>
      </c>
      <c r="L87" s="112" t="b">
        <v>0</v>
      </c>
    </row>
    <row r="88" spans="1:12" ht="15">
      <c r="A88" s="112" t="s">
        <v>2083</v>
      </c>
      <c r="B88" s="112" t="s">
        <v>2225</v>
      </c>
      <c r="C88" s="112">
        <v>12</v>
      </c>
      <c r="D88" s="114">
        <v>0.0014112893886680297</v>
      </c>
      <c r="E88" s="114">
        <v>1.9713050754605432</v>
      </c>
      <c r="F88" s="112" t="s">
        <v>3314</v>
      </c>
      <c r="G88" s="112" t="b">
        <v>0</v>
      </c>
      <c r="H88" s="112" t="b">
        <v>0</v>
      </c>
      <c r="I88" s="112" t="b">
        <v>0</v>
      </c>
      <c r="J88" s="112" t="b">
        <v>0</v>
      </c>
      <c r="K88" s="112" t="b">
        <v>0</v>
      </c>
      <c r="L88" s="112" t="b">
        <v>0</v>
      </c>
    </row>
    <row r="89" spans="1:12" ht="15">
      <c r="A89" s="112" t="s">
        <v>2205</v>
      </c>
      <c r="B89" s="112" t="s">
        <v>2135</v>
      </c>
      <c r="C89" s="112">
        <v>12</v>
      </c>
      <c r="D89" s="114">
        <v>0.0014890705733906471</v>
      </c>
      <c r="E89" s="114">
        <v>2.5030120284659807</v>
      </c>
      <c r="F89" s="112" t="s">
        <v>3314</v>
      </c>
      <c r="G89" s="112" t="b">
        <v>0</v>
      </c>
      <c r="H89" s="112" t="b">
        <v>0</v>
      </c>
      <c r="I89" s="112" t="b">
        <v>0</v>
      </c>
      <c r="J89" s="112" t="b">
        <v>0</v>
      </c>
      <c r="K89" s="112" t="b">
        <v>0</v>
      </c>
      <c r="L89" s="112" t="b">
        <v>0</v>
      </c>
    </row>
    <row r="90" spans="1:12" ht="15">
      <c r="A90" s="112" t="s">
        <v>2087</v>
      </c>
      <c r="B90" s="112" t="s">
        <v>2097</v>
      </c>
      <c r="C90" s="112">
        <v>12</v>
      </c>
      <c r="D90" s="114">
        <v>0.0018799743147187786</v>
      </c>
      <c r="E90" s="114">
        <v>1.3726782599709748</v>
      </c>
      <c r="F90" s="112" t="s">
        <v>3314</v>
      </c>
      <c r="G90" s="112" t="b">
        <v>0</v>
      </c>
      <c r="H90" s="112" t="b">
        <v>0</v>
      </c>
      <c r="I90" s="112" t="b">
        <v>0</v>
      </c>
      <c r="J90" s="112" t="b">
        <v>0</v>
      </c>
      <c r="K90" s="112" t="b">
        <v>0</v>
      </c>
      <c r="L90" s="112" t="b">
        <v>0</v>
      </c>
    </row>
    <row r="91" spans="1:12" ht="15">
      <c r="A91" s="112" t="s">
        <v>2157</v>
      </c>
      <c r="B91" s="112" t="s">
        <v>2152</v>
      </c>
      <c r="C91" s="112">
        <v>12</v>
      </c>
      <c r="D91" s="114">
        <v>0.0018799743147187786</v>
      </c>
      <c r="E91" s="114">
        <v>2.3946221977744946</v>
      </c>
      <c r="F91" s="112" t="s">
        <v>3314</v>
      </c>
      <c r="G91" s="112" t="b">
        <v>0</v>
      </c>
      <c r="H91" s="112" t="b">
        <v>0</v>
      </c>
      <c r="I91" s="112" t="b">
        <v>0</v>
      </c>
      <c r="J91" s="112" t="b">
        <v>0</v>
      </c>
      <c r="K91" s="112" t="b">
        <v>0</v>
      </c>
      <c r="L91" s="112" t="b">
        <v>0</v>
      </c>
    </row>
    <row r="92" spans="1:12" ht="15">
      <c r="A92" s="112" t="s">
        <v>2211</v>
      </c>
      <c r="B92" s="112" t="s">
        <v>2167</v>
      </c>
      <c r="C92" s="112">
        <v>12</v>
      </c>
      <c r="D92" s="114">
        <v>0.0024713888445104903</v>
      </c>
      <c r="E92" s="114">
        <v>2.739316694493307</v>
      </c>
      <c r="F92" s="112" t="s">
        <v>3314</v>
      </c>
      <c r="G92" s="112" t="b">
        <v>0</v>
      </c>
      <c r="H92" s="112" t="b">
        <v>0</v>
      </c>
      <c r="I92" s="112" t="b">
        <v>0</v>
      </c>
      <c r="J92" s="112" t="b">
        <v>0</v>
      </c>
      <c r="K92" s="112" t="b">
        <v>0</v>
      </c>
      <c r="L92" s="112" t="b">
        <v>0</v>
      </c>
    </row>
    <row r="93" spans="1:12" ht="15">
      <c r="A93" s="112" t="s">
        <v>2112</v>
      </c>
      <c r="B93" s="112" t="s">
        <v>2109</v>
      </c>
      <c r="C93" s="112">
        <v>12</v>
      </c>
      <c r="D93" s="114">
        <v>0.002002703918459741</v>
      </c>
      <c r="E93" s="114">
        <v>1.8480795342963634</v>
      </c>
      <c r="F93" s="112" t="s">
        <v>3314</v>
      </c>
      <c r="G93" s="112" t="b">
        <v>0</v>
      </c>
      <c r="H93" s="112" t="b">
        <v>0</v>
      </c>
      <c r="I93" s="112" t="b">
        <v>0</v>
      </c>
      <c r="J93" s="112" t="b">
        <v>0</v>
      </c>
      <c r="K93" s="112" t="b">
        <v>0</v>
      </c>
      <c r="L93" s="112" t="b">
        <v>0</v>
      </c>
    </row>
    <row r="94" spans="1:12" ht="15">
      <c r="A94" s="112" t="s">
        <v>2216</v>
      </c>
      <c r="B94" s="112" t="s">
        <v>2109</v>
      </c>
      <c r="C94" s="112">
        <v>12</v>
      </c>
      <c r="D94" s="114">
        <v>0.002002703918459741</v>
      </c>
      <c r="E94" s="114">
        <v>2.3775888584757143</v>
      </c>
      <c r="F94" s="112" t="s">
        <v>3314</v>
      </c>
      <c r="G94" s="112" t="b">
        <v>0</v>
      </c>
      <c r="H94" s="112" t="b">
        <v>1</v>
      </c>
      <c r="I94" s="112" t="b">
        <v>0</v>
      </c>
      <c r="J94" s="112" t="b">
        <v>0</v>
      </c>
      <c r="K94" s="112" t="b">
        <v>0</v>
      </c>
      <c r="L94" s="112" t="b">
        <v>0</v>
      </c>
    </row>
    <row r="95" spans="1:12" ht="15">
      <c r="A95" s="112" t="s">
        <v>2096</v>
      </c>
      <c r="B95" s="112" t="s">
        <v>2163</v>
      </c>
      <c r="C95" s="112">
        <v>12</v>
      </c>
      <c r="D95" s="114">
        <v>0.0015340189924089923</v>
      </c>
      <c r="E95" s="114">
        <v>1.9932216569929504</v>
      </c>
      <c r="F95" s="112" t="s">
        <v>3314</v>
      </c>
      <c r="G95" s="112" t="b">
        <v>0</v>
      </c>
      <c r="H95" s="112" t="b">
        <v>0</v>
      </c>
      <c r="I95" s="112" t="b">
        <v>0</v>
      </c>
      <c r="J95" s="112" t="b">
        <v>0</v>
      </c>
      <c r="K95" s="112" t="b">
        <v>1</v>
      </c>
      <c r="L95" s="112" t="b">
        <v>0</v>
      </c>
    </row>
    <row r="96" spans="1:12" ht="15">
      <c r="A96" s="112" t="s">
        <v>2233</v>
      </c>
      <c r="B96" s="112" t="s">
        <v>2142</v>
      </c>
      <c r="C96" s="112">
        <v>12</v>
      </c>
      <c r="D96" s="114">
        <v>0.0015842670498229228</v>
      </c>
      <c r="E96" s="114">
        <v>2.612710798517544</v>
      </c>
      <c r="F96" s="112" t="s">
        <v>3314</v>
      </c>
      <c r="G96" s="112" t="b">
        <v>0</v>
      </c>
      <c r="H96" s="112" t="b">
        <v>0</v>
      </c>
      <c r="I96" s="112" t="b">
        <v>0</v>
      </c>
      <c r="J96" s="112" t="b">
        <v>0</v>
      </c>
      <c r="K96" s="112" t="b">
        <v>0</v>
      </c>
      <c r="L96" s="112" t="b">
        <v>0</v>
      </c>
    </row>
    <row r="97" spans="1:12" ht="15">
      <c r="A97" s="112" t="s">
        <v>2085</v>
      </c>
      <c r="B97" s="112" t="s">
        <v>2085</v>
      </c>
      <c r="C97" s="112">
        <v>12</v>
      </c>
      <c r="D97" s="114">
        <v>0.0014112893886680297</v>
      </c>
      <c r="E97" s="114">
        <v>1.218530938718813</v>
      </c>
      <c r="F97" s="112" t="s">
        <v>3314</v>
      </c>
      <c r="G97" s="112" t="b">
        <v>0</v>
      </c>
      <c r="H97" s="112" t="b">
        <v>0</v>
      </c>
      <c r="I97" s="112" t="b">
        <v>0</v>
      </c>
      <c r="J97" s="112" t="b">
        <v>0</v>
      </c>
      <c r="K97" s="112" t="b">
        <v>0</v>
      </c>
      <c r="L97" s="112" t="b">
        <v>0</v>
      </c>
    </row>
    <row r="98" spans="1:12" ht="15">
      <c r="A98" s="112" t="s">
        <v>2087</v>
      </c>
      <c r="B98" s="112" t="s">
        <v>2154</v>
      </c>
      <c r="C98" s="112">
        <v>11</v>
      </c>
      <c r="D98" s="114">
        <v>0.0014522447956710125</v>
      </c>
      <c r="E98" s="114">
        <v>1.7028664843761694</v>
      </c>
      <c r="F98" s="112" t="s">
        <v>3314</v>
      </c>
      <c r="G98" s="112" t="b">
        <v>0</v>
      </c>
      <c r="H98" s="112" t="b">
        <v>0</v>
      </c>
      <c r="I98" s="112" t="b">
        <v>0</v>
      </c>
      <c r="J98" s="112" t="b">
        <v>0</v>
      </c>
      <c r="K98" s="112" t="b">
        <v>0</v>
      </c>
      <c r="L98" s="112" t="b">
        <v>0</v>
      </c>
    </row>
    <row r="99" spans="1:12" ht="15">
      <c r="A99" s="112" t="s">
        <v>2108</v>
      </c>
      <c r="B99" s="112" t="s">
        <v>2197</v>
      </c>
      <c r="C99" s="112">
        <v>11</v>
      </c>
      <c r="D99" s="114">
        <v>0.002265439774134616</v>
      </c>
      <c r="E99" s="114">
        <v>2.2776523908374697</v>
      </c>
      <c r="F99" s="112" t="s">
        <v>3314</v>
      </c>
      <c r="G99" s="112" t="b">
        <v>0</v>
      </c>
      <c r="H99" s="112" t="b">
        <v>0</v>
      </c>
      <c r="I99" s="112" t="b">
        <v>0</v>
      </c>
      <c r="J99" s="112" t="b">
        <v>0</v>
      </c>
      <c r="K99" s="112" t="b">
        <v>0</v>
      </c>
      <c r="L99" s="112" t="b">
        <v>0</v>
      </c>
    </row>
    <row r="100" spans="1:12" ht="15">
      <c r="A100" s="112" t="s">
        <v>2139</v>
      </c>
      <c r="B100" s="112" t="s">
        <v>2080</v>
      </c>
      <c r="C100" s="112">
        <v>11</v>
      </c>
      <c r="D100" s="114">
        <v>0.001504464132340508</v>
      </c>
      <c r="E100" s="114">
        <v>1.3988309785724629</v>
      </c>
      <c r="F100" s="112" t="s">
        <v>3314</v>
      </c>
      <c r="G100" s="112" t="b">
        <v>0</v>
      </c>
      <c r="H100" s="112" t="b">
        <v>0</v>
      </c>
      <c r="I100" s="112" t="b">
        <v>0</v>
      </c>
      <c r="J100" s="112" t="b">
        <v>0</v>
      </c>
      <c r="K100" s="112" t="b">
        <v>0</v>
      </c>
      <c r="L100" s="112" t="b">
        <v>0</v>
      </c>
    </row>
    <row r="101" spans="1:12" ht="15">
      <c r="A101" s="112" t="s">
        <v>2127</v>
      </c>
      <c r="B101" s="112" t="s">
        <v>2080</v>
      </c>
      <c r="C101" s="112">
        <v>11</v>
      </c>
      <c r="D101" s="114">
        <v>0.001504464132340508</v>
      </c>
      <c r="E101" s="114">
        <v>1.273892241964163</v>
      </c>
      <c r="F101" s="112" t="s">
        <v>3314</v>
      </c>
      <c r="G101" s="112" t="b">
        <v>0</v>
      </c>
      <c r="H101" s="112" t="b">
        <v>0</v>
      </c>
      <c r="I101" s="112" t="b">
        <v>0</v>
      </c>
      <c r="J101" s="112" t="b">
        <v>0</v>
      </c>
      <c r="K101" s="112" t="b">
        <v>0</v>
      </c>
      <c r="L101" s="112" t="b">
        <v>0</v>
      </c>
    </row>
    <row r="102" spans="1:12" ht="15">
      <c r="A102" s="112" t="s">
        <v>2117</v>
      </c>
      <c r="B102" s="112" t="s">
        <v>2080</v>
      </c>
      <c r="C102" s="112">
        <v>11</v>
      </c>
      <c r="D102" s="114">
        <v>0.001504464132340508</v>
      </c>
      <c r="E102" s="114">
        <v>1.26316837657239</v>
      </c>
      <c r="F102" s="112" t="s">
        <v>3314</v>
      </c>
      <c r="G102" s="112" t="b">
        <v>0</v>
      </c>
      <c r="H102" s="112" t="b">
        <v>0</v>
      </c>
      <c r="I102" s="112" t="b">
        <v>0</v>
      </c>
      <c r="J102" s="112" t="b">
        <v>0</v>
      </c>
      <c r="K102" s="112" t="b">
        <v>0</v>
      </c>
      <c r="L102" s="112" t="b">
        <v>0</v>
      </c>
    </row>
    <row r="103" spans="1:12" ht="15">
      <c r="A103" s="112" t="s">
        <v>2083</v>
      </c>
      <c r="B103" s="112" t="s">
        <v>2083</v>
      </c>
      <c r="C103" s="112">
        <v>11</v>
      </c>
      <c r="D103" s="114">
        <v>0.0014061840763749096</v>
      </c>
      <c r="E103" s="114">
        <v>0.9192760754565331</v>
      </c>
      <c r="F103" s="112" t="s">
        <v>3314</v>
      </c>
      <c r="G103" s="112" t="b">
        <v>0</v>
      </c>
      <c r="H103" s="112" t="b">
        <v>0</v>
      </c>
      <c r="I103" s="112" t="b">
        <v>0</v>
      </c>
      <c r="J103" s="112" t="b">
        <v>0</v>
      </c>
      <c r="K103" s="112" t="b">
        <v>0</v>
      </c>
      <c r="L103" s="112" t="b">
        <v>0</v>
      </c>
    </row>
    <row r="104" spans="1:12" ht="15">
      <c r="A104" s="112" t="s">
        <v>2082</v>
      </c>
      <c r="B104" s="112" t="s">
        <v>2148</v>
      </c>
      <c r="C104" s="112">
        <v>11</v>
      </c>
      <c r="D104" s="114">
        <v>0.0013277089672632607</v>
      </c>
      <c r="E104" s="114">
        <v>1.7589477618316436</v>
      </c>
      <c r="F104" s="112" t="s">
        <v>3314</v>
      </c>
      <c r="G104" s="112" t="b">
        <v>0</v>
      </c>
      <c r="H104" s="112" t="b">
        <v>0</v>
      </c>
      <c r="I104" s="112" t="b">
        <v>0</v>
      </c>
      <c r="J104" s="112" t="b">
        <v>0</v>
      </c>
      <c r="K104" s="112" t="b">
        <v>0</v>
      </c>
      <c r="L104" s="112" t="b">
        <v>0</v>
      </c>
    </row>
    <row r="105" spans="1:12" ht="15">
      <c r="A105" s="112" t="s">
        <v>2135</v>
      </c>
      <c r="B105" s="112" t="s">
        <v>2078</v>
      </c>
      <c r="C105" s="112">
        <v>10</v>
      </c>
      <c r="D105" s="114">
        <v>0.0014224972113032377</v>
      </c>
      <c r="E105" s="114">
        <v>1.095742554020339</v>
      </c>
      <c r="F105" s="112" t="s">
        <v>3314</v>
      </c>
      <c r="G105" s="112" t="b">
        <v>0</v>
      </c>
      <c r="H105" s="112" t="b">
        <v>0</v>
      </c>
      <c r="I105" s="112" t="b">
        <v>0</v>
      </c>
      <c r="J105" s="112" t="b">
        <v>0</v>
      </c>
      <c r="K105" s="112" t="b">
        <v>0</v>
      </c>
      <c r="L105" s="112" t="b">
        <v>0</v>
      </c>
    </row>
    <row r="106" spans="1:12" ht="15">
      <c r="A106" s="112" t="s">
        <v>2165</v>
      </c>
      <c r="B106" s="112" t="s">
        <v>2135</v>
      </c>
      <c r="C106" s="112">
        <v>10</v>
      </c>
      <c r="D106" s="114">
        <v>0.0014224972113032377</v>
      </c>
      <c r="E106" s="114">
        <v>2.268928822432613</v>
      </c>
      <c r="F106" s="112" t="s">
        <v>3314</v>
      </c>
      <c r="G106" s="112" t="b">
        <v>0</v>
      </c>
      <c r="H106" s="112" t="b">
        <v>0</v>
      </c>
      <c r="I106" s="112" t="b">
        <v>0</v>
      </c>
      <c r="J106" s="112" t="b">
        <v>0</v>
      </c>
      <c r="K106" s="112" t="b">
        <v>0</v>
      </c>
      <c r="L106" s="112" t="b">
        <v>0</v>
      </c>
    </row>
    <row r="107" spans="1:12" ht="15">
      <c r="A107" s="112" t="s">
        <v>2090</v>
      </c>
      <c r="B107" s="112" t="s">
        <v>2080</v>
      </c>
      <c r="C107" s="112">
        <v>10</v>
      </c>
      <c r="D107" s="114">
        <v>0.001278349160340827</v>
      </c>
      <c r="E107" s="114">
        <v>0.9051406224196076</v>
      </c>
      <c r="F107" s="112" t="s">
        <v>3314</v>
      </c>
      <c r="G107" s="112" t="b">
        <v>0</v>
      </c>
      <c r="H107" s="112" t="b">
        <v>0</v>
      </c>
      <c r="I107" s="112" t="b">
        <v>0</v>
      </c>
      <c r="J107" s="112" t="b">
        <v>0</v>
      </c>
      <c r="K107" s="112" t="b">
        <v>0</v>
      </c>
      <c r="L107" s="112" t="b">
        <v>0</v>
      </c>
    </row>
    <row r="108" spans="1:12" ht="15">
      <c r="A108" s="112" t="s">
        <v>2229</v>
      </c>
      <c r="B108" s="112" t="s">
        <v>2208</v>
      </c>
      <c r="C108" s="112">
        <v>10</v>
      </c>
      <c r="D108" s="114">
        <v>0.0018130679830121953</v>
      </c>
      <c r="E108" s="114">
        <v>2.849799514690637</v>
      </c>
      <c r="F108" s="112" t="s">
        <v>3314</v>
      </c>
      <c r="G108" s="112" t="b">
        <v>0</v>
      </c>
      <c r="H108" s="112" t="b">
        <v>0</v>
      </c>
      <c r="I108" s="112" t="b">
        <v>0</v>
      </c>
      <c r="J108" s="112" t="b">
        <v>0</v>
      </c>
      <c r="K108" s="112" t="b">
        <v>0</v>
      </c>
      <c r="L108" s="112" t="b">
        <v>0</v>
      </c>
    </row>
    <row r="109" spans="1:12" ht="15">
      <c r="A109" s="112" t="s">
        <v>2091</v>
      </c>
      <c r="B109" s="112" t="s">
        <v>2146</v>
      </c>
      <c r="C109" s="112">
        <v>10</v>
      </c>
      <c r="D109" s="114">
        <v>0.001278349160340827</v>
      </c>
      <c r="E109" s="114">
        <v>1.7358561623838005</v>
      </c>
      <c r="F109" s="112" t="s">
        <v>3314</v>
      </c>
      <c r="G109" s="112" t="b">
        <v>0</v>
      </c>
      <c r="H109" s="112" t="b">
        <v>0</v>
      </c>
      <c r="I109" s="112" t="b">
        <v>0</v>
      </c>
      <c r="J109" s="112" t="b">
        <v>0</v>
      </c>
      <c r="K109" s="112" t="b">
        <v>1</v>
      </c>
      <c r="L109" s="112" t="b">
        <v>0</v>
      </c>
    </row>
    <row r="110" spans="1:12" ht="15">
      <c r="A110" s="112" t="s">
        <v>2086</v>
      </c>
      <c r="B110" s="112" t="s">
        <v>2223</v>
      </c>
      <c r="C110" s="112">
        <v>9</v>
      </c>
      <c r="D110" s="114">
        <v>0.0011505142443067444</v>
      </c>
      <c r="E110" s="114">
        <v>1.9167463043212505</v>
      </c>
      <c r="F110" s="112" t="s">
        <v>3314</v>
      </c>
      <c r="G110" s="112" t="b">
        <v>0</v>
      </c>
      <c r="H110" s="112" t="b">
        <v>0</v>
      </c>
      <c r="I110" s="112" t="b">
        <v>0</v>
      </c>
      <c r="J110" s="112" t="b">
        <v>0</v>
      </c>
      <c r="K110" s="112" t="b">
        <v>0</v>
      </c>
      <c r="L110" s="112" t="b">
        <v>0</v>
      </c>
    </row>
    <row r="111" spans="1:12" ht="15">
      <c r="A111" s="112" t="s">
        <v>2078</v>
      </c>
      <c r="B111" s="112" t="s">
        <v>2189</v>
      </c>
      <c r="C111" s="112">
        <v>9</v>
      </c>
      <c r="D111" s="114">
        <v>0.001188200287367192</v>
      </c>
      <c r="E111" s="114">
        <v>1.3255442405814963</v>
      </c>
      <c r="F111" s="112" t="s">
        <v>3314</v>
      </c>
      <c r="G111" s="112" t="b">
        <v>0</v>
      </c>
      <c r="H111" s="112" t="b">
        <v>0</v>
      </c>
      <c r="I111" s="112" t="b">
        <v>0</v>
      </c>
      <c r="J111" s="112" t="b">
        <v>0</v>
      </c>
      <c r="K111" s="112" t="b">
        <v>0</v>
      </c>
      <c r="L111" s="112" t="b">
        <v>0</v>
      </c>
    </row>
    <row r="112" spans="1:12" ht="15">
      <c r="A112" s="112" t="s">
        <v>2168</v>
      </c>
      <c r="B112" s="112" t="s">
        <v>2089</v>
      </c>
      <c r="C112" s="112">
        <v>9</v>
      </c>
      <c r="D112" s="114">
        <v>0.001502027938844806</v>
      </c>
      <c r="E112" s="114">
        <v>1.7460500771522753</v>
      </c>
      <c r="F112" s="112" t="s">
        <v>3314</v>
      </c>
      <c r="G112" s="112" t="b">
        <v>0</v>
      </c>
      <c r="H112" s="112" t="b">
        <v>1</v>
      </c>
      <c r="I112" s="112" t="b">
        <v>0</v>
      </c>
      <c r="J112" s="112" t="b">
        <v>0</v>
      </c>
      <c r="K112" s="112" t="b">
        <v>0</v>
      </c>
      <c r="L112" s="112" t="b">
        <v>0</v>
      </c>
    </row>
    <row r="113" spans="1:12" ht="15">
      <c r="A113" s="112" t="s">
        <v>2294</v>
      </c>
      <c r="B113" s="112" t="s">
        <v>2295</v>
      </c>
      <c r="C113" s="112">
        <v>9</v>
      </c>
      <c r="D113" s="114">
        <v>0.0012309251991876884</v>
      </c>
      <c r="E113" s="114">
        <v>3.1208662869771753</v>
      </c>
      <c r="F113" s="112" t="s">
        <v>3314</v>
      </c>
      <c r="G113" s="112" t="b">
        <v>0</v>
      </c>
      <c r="H113" s="112" t="b">
        <v>0</v>
      </c>
      <c r="I113" s="112" t="b">
        <v>0</v>
      </c>
      <c r="J113" s="112" t="b">
        <v>0</v>
      </c>
      <c r="K113" s="112" t="b">
        <v>0</v>
      </c>
      <c r="L113" s="112" t="b">
        <v>0</v>
      </c>
    </row>
    <row r="114" spans="1:12" ht="15">
      <c r="A114" s="112" t="s">
        <v>2088</v>
      </c>
      <c r="B114" s="112" t="s">
        <v>2169</v>
      </c>
      <c r="C114" s="112">
        <v>9</v>
      </c>
      <c r="D114" s="114">
        <v>0.001631761184710976</v>
      </c>
      <c r="E114" s="114">
        <v>1.7784436061549689</v>
      </c>
      <c r="F114" s="112" t="s">
        <v>3314</v>
      </c>
      <c r="G114" s="112" t="b">
        <v>0</v>
      </c>
      <c r="H114" s="112" t="b">
        <v>0</v>
      </c>
      <c r="I114" s="112" t="b">
        <v>0</v>
      </c>
      <c r="J114" s="112" t="b">
        <v>0</v>
      </c>
      <c r="K114" s="112" t="b">
        <v>0</v>
      </c>
      <c r="L114" s="112" t="b">
        <v>0</v>
      </c>
    </row>
    <row r="115" spans="1:12" ht="15">
      <c r="A115" s="112" t="s">
        <v>2148</v>
      </c>
      <c r="B115" s="112" t="s">
        <v>2187</v>
      </c>
      <c r="C115" s="112">
        <v>9</v>
      </c>
      <c r="D115" s="114">
        <v>0.0013385833787148773</v>
      </c>
      <c r="E115" s="114">
        <v>2.383929036506733</v>
      </c>
      <c r="F115" s="112" t="s">
        <v>3314</v>
      </c>
      <c r="G115" s="112" t="b">
        <v>0</v>
      </c>
      <c r="H115" s="112" t="b">
        <v>0</v>
      </c>
      <c r="I115" s="112" t="b">
        <v>0</v>
      </c>
      <c r="J115" s="112" t="b">
        <v>0</v>
      </c>
      <c r="K115" s="112" t="b">
        <v>0</v>
      </c>
      <c r="L115" s="112" t="b">
        <v>0</v>
      </c>
    </row>
    <row r="116" spans="1:12" ht="15">
      <c r="A116" s="112" t="s">
        <v>2082</v>
      </c>
      <c r="B116" s="112" t="s">
        <v>2305</v>
      </c>
      <c r="C116" s="112">
        <v>9</v>
      </c>
      <c r="D116" s="114">
        <v>0.0018535416333828679</v>
      </c>
      <c r="E116" s="114">
        <v>1.9480039980516926</v>
      </c>
      <c r="F116" s="112" t="s">
        <v>3314</v>
      </c>
      <c r="G116" s="112" t="b">
        <v>0</v>
      </c>
      <c r="H116" s="112" t="b">
        <v>0</v>
      </c>
      <c r="I116" s="112" t="b">
        <v>0</v>
      </c>
      <c r="J116" s="112" t="b">
        <v>1</v>
      </c>
      <c r="K116" s="112" t="b">
        <v>0</v>
      </c>
      <c r="L116" s="112" t="b">
        <v>0</v>
      </c>
    </row>
    <row r="117" spans="1:12" ht="15">
      <c r="A117" s="112" t="s">
        <v>2252</v>
      </c>
      <c r="B117" s="112" t="s">
        <v>2253</v>
      </c>
      <c r="C117" s="112">
        <v>8</v>
      </c>
      <c r="D117" s="114">
        <v>0.0010941557326112786</v>
      </c>
      <c r="E117" s="114">
        <v>2.978198783408444</v>
      </c>
      <c r="F117" s="112" t="s">
        <v>3314</v>
      </c>
      <c r="G117" s="112" t="b">
        <v>0</v>
      </c>
      <c r="H117" s="112" t="b">
        <v>0</v>
      </c>
      <c r="I117" s="112" t="b">
        <v>0</v>
      </c>
      <c r="J117" s="112" t="b">
        <v>0</v>
      </c>
      <c r="K117" s="112" t="b">
        <v>0</v>
      </c>
      <c r="L117" s="112" t="b">
        <v>0</v>
      </c>
    </row>
    <row r="118" spans="1:12" ht="15">
      <c r="A118" s="112" t="s">
        <v>2257</v>
      </c>
      <c r="B118" s="112" t="s">
        <v>2239</v>
      </c>
      <c r="C118" s="112">
        <v>8</v>
      </c>
      <c r="D118" s="114">
        <v>0.0011379977690425904</v>
      </c>
      <c r="E118" s="114">
        <v>2.9368060982502184</v>
      </c>
      <c r="F118" s="112" t="s">
        <v>3314</v>
      </c>
      <c r="G118" s="112" t="b">
        <v>0</v>
      </c>
      <c r="H118" s="112" t="b">
        <v>0</v>
      </c>
      <c r="I118" s="112" t="b">
        <v>0</v>
      </c>
      <c r="J118" s="112" t="b">
        <v>0</v>
      </c>
      <c r="K118" s="112" t="b">
        <v>0</v>
      </c>
      <c r="L118" s="112" t="b">
        <v>0</v>
      </c>
    </row>
    <row r="119" spans="1:12" ht="15">
      <c r="A119" s="112" t="s">
        <v>2152</v>
      </c>
      <c r="B119" s="112" t="s">
        <v>2078</v>
      </c>
      <c r="C119" s="112">
        <v>8</v>
      </c>
      <c r="D119" s="114">
        <v>0.001056178033215282</v>
      </c>
      <c r="E119" s="114">
        <v>1.1237712776205824</v>
      </c>
      <c r="F119" s="112" t="s">
        <v>3314</v>
      </c>
      <c r="G119" s="112" t="b">
        <v>0</v>
      </c>
      <c r="H119" s="112" t="b">
        <v>0</v>
      </c>
      <c r="I119" s="112" t="b">
        <v>0</v>
      </c>
      <c r="J119" s="112" t="b">
        <v>0</v>
      </c>
      <c r="K119" s="112" t="b">
        <v>0</v>
      </c>
      <c r="L119" s="112" t="b">
        <v>0</v>
      </c>
    </row>
    <row r="120" spans="1:12" ht="15">
      <c r="A120" s="112" t="s">
        <v>2281</v>
      </c>
      <c r="B120" s="112" t="s">
        <v>2144</v>
      </c>
      <c r="C120" s="112">
        <v>8</v>
      </c>
      <c r="D120" s="114">
        <v>0.0012533162098125191</v>
      </c>
      <c r="E120" s="114">
        <v>2.5767982426268996</v>
      </c>
      <c r="F120" s="112" t="s">
        <v>3314</v>
      </c>
      <c r="G120" s="112" t="b">
        <v>0</v>
      </c>
      <c r="H120" s="112" t="b">
        <v>1</v>
      </c>
      <c r="I120" s="112" t="b">
        <v>0</v>
      </c>
      <c r="J120" s="112" t="b">
        <v>0</v>
      </c>
      <c r="K120" s="112" t="b">
        <v>0</v>
      </c>
      <c r="L120" s="112" t="b">
        <v>0</v>
      </c>
    </row>
    <row r="121" spans="1:12" ht="15">
      <c r="A121" s="112" t="s">
        <v>2172</v>
      </c>
      <c r="B121" s="112" t="s">
        <v>2284</v>
      </c>
      <c r="C121" s="112">
        <v>8</v>
      </c>
      <c r="D121" s="114">
        <v>0.0016475925630069937</v>
      </c>
      <c r="E121" s="114">
        <v>2.7686837688658126</v>
      </c>
      <c r="F121" s="112" t="s">
        <v>3314</v>
      </c>
      <c r="G121" s="112" t="b">
        <v>0</v>
      </c>
      <c r="H121" s="112" t="b">
        <v>0</v>
      </c>
      <c r="I121" s="112" t="b">
        <v>0</v>
      </c>
      <c r="J121" s="112" t="b">
        <v>0</v>
      </c>
      <c r="K121" s="112" t="b">
        <v>0</v>
      </c>
      <c r="L121" s="112" t="b">
        <v>0</v>
      </c>
    </row>
    <row r="122" spans="1:12" ht="15">
      <c r="A122" s="112" t="s">
        <v>2213</v>
      </c>
      <c r="B122" s="112" t="s">
        <v>2089</v>
      </c>
      <c r="C122" s="112">
        <v>8</v>
      </c>
      <c r="D122" s="114">
        <v>0.0012533162098125191</v>
      </c>
      <c r="E122" s="114">
        <v>1.8819841980620386</v>
      </c>
      <c r="F122" s="112" t="s">
        <v>3314</v>
      </c>
      <c r="G122" s="112" t="b">
        <v>0</v>
      </c>
      <c r="H122" s="112" t="b">
        <v>1</v>
      </c>
      <c r="I122" s="112" t="b">
        <v>0</v>
      </c>
      <c r="J122" s="112" t="b">
        <v>0</v>
      </c>
      <c r="K122" s="112" t="b">
        <v>0</v>
      </c>
      <c r="L122" s="112" t="b">
        <v>0</v>
      </c>
    </row>
    <row r="123" spans="1:12" ht="15">
      <c r="A123" s="112" t="s">
        <v>2080</v>
      </c>
      <c r="B123" s="112" t="s">
        <v>2321</v>
      </c>
      <c r="C123" s="112">
        <v>8</v>
      </c>
      <c r="D123" s="114">
        <v>0.0012533162098125191</v>
      </c>
      <c r="E123" s="114">
        <v>1.8079370680134863</v>
      </c>
      <c r="F123" s="112" t="s">
        <v>3314</v>
      </c>
      <c r="G123" s="112" t="b">
        <v>0</v>
      </c>
      <c r="H123" s="112" t="b">
        <v>0</v>
      </c>
      <c r="I123" s="112" t="b">
        <v>0</v>
      </c>
      <c r="J123" s="112" t="b">
        <v>0</v>
      </c>
      <c r="K123" s="112" t="b">
        <v>0</v>
      </c>
      <c r="L123" s="112" t="b">
        <v>0</v>
      </c>
    </row>
    <row r="124" spans="1:12" ht="15">
      <c r="A124" s="112" t="s">
        <v>2107</v>
      </c>
      <c r="B124" s="112" t="s">
        <v>2091</v>
      </c>
      <c r="C124" s="112">
        <v>8</v>
      </c>
      <c r="D124" s="114">
        <v>0.0014504543864097565</v>
      </c>
      <c r="E124" s="114">
        <v>1.3831436936491397</v>
      </c>
      <c r="F124" s="112" t="s">
        <v>3314</v>
      </c>
      <c r="G124" s="112" t="b">
        <v>0</v>
      </c>
      <c r="H124" s="112" t="b">
        <v>0</v>
      </c>
      <c r="I124" s="112" t="b">
        <v>0</v>
      </c>
      <c r="J124" s="112" t="b">
        <v>0</v>
      </c>
      <c r="K124" s="112" t="b">
        <v>0</v>
      </c>
      <c r="L124" s="112" t="b">
        <v>0</v>
      </c>
    </row>
    <row r="125" spans="1:12" ht="15">
      <c r="A125" s="112" t="s">
        <v>2291</v>
      </c>
      <c r="B125" s="112" t="s">
        <v>2292</v>
      </c>
      <c r="C125" s="112">
        <v>8</v>
      </c>
      <c r="D125" s="114">
        <v>0.001189851892191002</v>
      </c>
      <c r="E125" s="114">
        <v>3.069713764529794</v>
      </c>
      <c r="F125" s="112" t="s">
        <v>3314</v>
      </c>
      <c r="G125" s="112" t="b">
        <v>0</v>
      </c>
      <c r="H125" s="112" t="b">
        <v>0</v>
      </c>
      <c r="I125" s="112" t="b">
        <v>0</v>
      </c>
      <c r="J125" s="112" t="b">
        <v>0</v>
      </c>
      <c r="K125" s="112" t="b">
        <v>0</v>
      </c>
      <c r="L125" s="112" t="b">
        <v>0</v>
      </c>
    </row>
    <row r="126" spans="1:12" ht="15">
      <c r="A126" s="112" t="s">
        <v>2077</v>
      </c>
      <c r="B126" s="112" t="s">
        <v>2232</v>
      </c>
      <c r="C126" s="112">
        <v>8</v>
      </c>
      <c r="D126" s="114">
        <v>0.0013351359456398276</v>
      </c>
      <c r="E126" s="114">
        <v>1.287294229353477</v>
      </c>
      <c r="F126" s="112" t="s">
        <v>3314</v>
      </c>
      <c r="G126" s="112" t="b">
        <v>0</v>
      </c>
      <c r="H126" s="112" t="b">
        <v>0</v>
      </c>
      <c r="I126" s="112" t="b">
        <v>0</v>
      </c>
      <c r="J126" s="112" t="b">
        <v>0</v>
      </c>
      <c r="K126" s="112" t="b">
        <v>0</v>
      </c>
      <c r="L126" s="112" t="b">
        <v>0</v>
      </c>
    </row>
    <row r="127" spans="1:12" ht="15">
      <c r="A127" s="112" t="s">
        <v>2123</v>
      </c>
      <c r="B127" s="112" t="s">
        <v>2153</v>
      </c>
      <c r="C127" s="112">
        <v>8</v>
      </c>
      <c r="D127" s="114">
        <v>0.001056178033215282</v>
      </c>
      <c r="E127" s="114">
        <v>1.9570094843385055</v>
      </c>
      <c r="F127" s="112" t="s">
        <v>3314</v>
      </c>
      <c r="G127" s="112" t="b">
        <v>0</v>
      </c>
      <c r="H127" s="112" t="b">
        <v>0</v>
      </c>
      <c r="I127" s="112" t="b">
        <v>0</v>
      </c>
      <c r="J127" s="112" t="b">
        <v>0</v>
      </c>
      <c r="K127" s="112" t="b">
        <v>0</v>
      </c>
      <c r="L127" s="112" t="b">
        <v>0</v>
      </c>
    </row>
    <row r="128" spans="1:12" ht="15">
      <c r="A128" s="112" t="s">
        <v>2137</v>
      </c>
      <c r="B128" s="112" t="s">
        <v>2087</v>
      </c>
      <c r="C128" s="112">
        <v>8</v>
      </c>
      <c r="D128" s="114">
        <v>0.001189851892191002</v>
      </c>
      <c r="E128" s="114">
        <v>1.4518595060185997</v>
      </c>
      <c r="F128" s="112" t="s">
        <v>3314</v>
      </c>
      <c r="G128" s="112" t="b">
        <v>0</v>
      </c>
      <c r="H128" s="112" t="b">
        <v>0</v>
      </c>
      <c r="I128" s="112" t="b">
        <v>0</v>
      </c>
      <c r="J128" s="112" t="b">
        <v>0</v>
      </c>
      <c r="K128" s="112" t="b">
        <v>0</v>
      </c>
      <c r="L128" s="112" t="b">
        <v>0</v>
      </c>
    </row>
    <row r="129" spans="1:12" ht="15">
      <c r="A129" s="112" t="s">
        <v>2087</v>
      </c>
      <c r="B129" s="112" t="s">
        <v>2335</v>
      </c>
      <c r="C129" s="112">
        <v>8</v>
      </c>
      <c r="D129" s="114">
        <v>0.001189851892191002</v>
      </c>
      <c r="E129" s="114">
        <v>2.04168504092955</v>
      </c>
      <c r="F129" s="112" t="s">
        <v>3314</v>
      </c>
      <c r="G129" s="112" t="b">
        <v>0</v>
      </c>
      <c r="H129" s="112" t="b">
        <v>0</v>
      </c>
      <c r="I129" s="112" t="b">
        <v>0</v>
      </c>
      <c r="J129" s="112" t="b">
        <v>0</v>
      </c>
      <c r="K129" s="112" t="b">
        <v>0</v>
      </c>
      <c r="L129" s="112" t="b">
        <v>0</v>
      </c>
    </row>
    <row r="130" spans="1:12" ht="15">
      <c r="A130" s="112" t="s">
        <v>2082</v>
      </c>
      <c r="B130" s="112" t="s">
        <v>2187</v>
      </c>
      <c r="C130" s="112">
        <v>8</v>
      </c>
      <c r="D130" s="114">
        <v>0.001056178033215282</v>
      </c>
      <c r="E130" s="114">
        <v>1.620645063665362</v>
      </c>
      <c r="F130" s="112" t="s">
        <v>3314</v>
      </c>
      <c r="G130" s="112" t="b">
        <v>0</v>
      </c>
      <c r="H130" s="112" t="b">
        <v>0</v>
      </c>
      <c r="I130" s="112" t="b">
        <v>0</v>
      </c>
      <c r="J130" s="112" t="b">
        <v>0</v>
      </c>
      <c r="K130" s="112" t="b">
        <v>0</v>
      </c>
      <c r="L130" s="112" t="b">
        <v>0</v>
      </c>
    </row>
    <row r="131" spans="1:12" ht="15">
      <c r="A131" s="112" t="s">
        <v>2090</v>
      </c>
      <c r="B131" s="112" t="s">
        <v>2090</v>
      </c>
      <c r="C131" s="112">
        <v>7</v>
      </c>
      <c r="D131" s="114">
        <v>0.0009957480479122667</v>
      </c>
      <c r="E131" s="114">
        <v>1.0562894594728964</v>
      </c>
      <c r="F131" s="112" t="s">
        <v>3314</v>
      </c>
      <c r="G131" s="112" t="b">
        <v>0</v>
      </c>
      <c r="H131" s="112" t="b">
        <v>0</v>
      </c>
      <c r="I131" s="112" t="b">
        <v>0</v>
      </c>
      <c r="J131" s="112" t="b">
        <v>0</v>
      </c>
      <c r="K131" s="112" t="b">
        <v>0</v>
      </c>
      <c r="L131" s="112" t="b">
        <v>0</v>
      </c>
    </row>
    <row r="132" spans="1:12" ht="15">
      <c r="A132" s="112" t="s">
        <v>2126</v>
      </c>
      <c r="B132" s="112" t="s">
        <v>2090</v>
      </c>
      <c r="C132" s="112">
        <v>7</v>
      </c>
      <c r="D132" s="114">
        <v>0.0009573862660348688</v>
      </c>
      <c r="E132" s="114">
        <v>1.3836483938592268</v>
      </c>
      <c r="F132" s="112" t="s">
        <v>3314</v>
      </c>
      <c r="G132" s="112" t="b">
        <v>0</v>
      </c>
      <c r="H132" s="112" t="b">
        <v>0</v>
      </c>
      <c r="I132" s="112" t="b">
        <v>0</v>
      </c>
      <c r="J132" s="112" t="b">
        <v>0</v>
      </c>
      <c r="K132" s="112" t="b">
        <v>0</v>
      </c>
      <c r="L132" s="112" t="b">
        <v>0</v>
      </c>
    </row>
    <row r="133" spans="1:12" ht="15">
      <c r="A133" s="112" t="s">
        <v>2176</v>
      </c>
      <c r="B133" s="112" t="s">
        <v>2106</v>
      </c>
      <c r="C133" s="112">
        <v>7</v>
      </c>
      <c r="D133" s="114">
        <v>0.0009957480479122667</v>
      </c>
      <c r="E133" s="114">
        <v>1.990787910716464</v>
      </c>
      <c r="F133" s="112" t="s">
        <v>3314</v>
      </c>
      <c r="G133" s="112" t="b">
        <v>0</v>
      </c>
      <c r="H133" s="112" t="b">
        <v>0</v>
      </c>
      <c r="I133" s="112" t="b">
        <v>0</v>
      </c>
      <c r="J133" s="112" t="b">
        <v>0</v>
      </c>
      <c r="K133" s="112" t="b">
        <v>0</v>
      </c>
      <c r="L133" s="112" t="b">
        <v>0</v>
      </c>
    </row>
    <row r="134" spans="1:12" ht="15">
      <c r="A134" s="112" t="s">
        <v>2095</v>
      </c>
      <c r="B134" s="112" t="s">
        <v>2081</v>
      </c>
      <c r="C134" s="112">
        <v>7</v>
      </c>
      <c r="D134" s="114">
        <v>0.0009573862660348688</v>
      </c>
      <c r="E134" s="114">
        <v>0.8560484639676388</v>
      </c>
      <c r="F134" s="112" t="s">
        <v>3314</v>
      </c>
      <c r="G134" s="112" t="b">
        <v>0</v>
      </c>
      <c r="H134" s="112" t="b">
        <v>0</v>
      </c>
      <c r="I134" s="112" t="b">
        <v>0</v>
      </c>
      <c r="J134" s="112" t="b">
        <v>0</v>
      </c>
      <c r="K134" s="112" t="b">
        <v>0</v>
      </c>
      <c r="L134" s="112" t="b">
        <v>0</v>
      </c>
    </row>
    <row r="135" spans="1:12" ht="15">
      <c r="A135" s="112" t="s">
        <v>2095</v>
      </c>
      <c r="B135" s="112" t="s">
        <v>2131</v>
      </c>
      <c r="C135" s="112">
        <v>7</v>
      </c>
      <c r="D135" s="114">
        <v>0.0009573862660348688</v>
      </c>
      <c r="E135" s="114">
        <v>1.537289701343226</v>
      </c>
      <c r="F135" s="112" t="s">
        <v>3314</v>
      </c>
      <c r="G135" s="112" t="b">
        <v>0</v>
      </c>
      <c r="H135" s="112" t="b">
        <v>0</v>
      </c>
      <c r="I135" s="112" t="b">
        <v>0</v>
      </c>
      <c r="J135" s="112" t="b">
        <v>0</v>
      </c>
      <c r="K135" s="112" t="b">
        <v>0</v>
      </c>
      <c r="L135" s="112" t="b">
        <v>0</v>
      </c>
    </row>
    <row r="136" spans="1:12" ht="15">
      <c r="A136" s="112" t="s">
        <v>2149</v>
      </c>
      <c r="B136" s="112" t="s">
        <v>2078</v>
      </c>
      <c r="C136" s="112">
        <v>7</v>
      </c>
      <c r="D136" s="114">
        <v>0.001041120405667127</v>
      </c>
      <c r="E136" s="114">
        <v>1.0657793306428955</v>
      </c>
      <c r="F136" s="112" t="s">
        <v>3314</v>
      </c>
      <c r="G136" s="112" t="b">
        <v>0</v>
      </c>
      <c r="H136" s="112" t="b">
        <v>0</v>
      </c>
      <c r="I136" s="112" t="b">
        <v>0</v>
      </c>
      <c r="J136" s="112" t="b">
        <v>0</v>
      </c>
      <c r="K136" s="112" t="b">
        <v>0</v>
      </c>
      <c r="L136" s="112" t="b">
        <v>0</v>
      </c>
    </row>
    <row r="137" spans="1:12" ht="15">
      <c r="A137" s="112" t="s">
        <v>2086</v>
      </c>
      <c r="B137" s="112" t="s">
        <v>2149</v>
      </c>
      <c r="C137" s="112">
        <v>7</v>
      </c>
      <c r="D137" s="114">
        <v>0.0010966516835859543</v>
      </c>
      <c r="E137" s="114">
        <v>1.5065718392322012</v>
      </c>
      <c r="F137" s="112" t="s">
        <v>3314</v>
      </c>
      <c r="G137" s="112" t="b">
        <v>0</v>
      </c>
      <c r="H137" s="112" t="b">
        <v>0</v>
      </c>
      <c r="I137" s="112" t="b">
        <v>0</v>
      </c>
      <c r="J137" s="112" t="b">
        <v>0</v>
      </c>
      <c r="K137" s="112" t="b">
        <v>0</v>
      </c>
      <c r="L137" s="112" t="b">
        <v>0</v>
      </c>
    </row>
    <row r="138" spans="1:12" ht="15">
      <c r="A138" s="112" t="s">
        <v>2086</v>
      </c>
      <c r="B138" s="112" t="s">
        <v>2206</v>
      </c>
      <c r="C138" s="112">
        <v>7</v>
      </c>
      <c r="D138" s="114">
        <v>0.0010966516835859543</v>
      </c>
      <c r="E138" s="114">
        <v>1.7406550452655691</v>
      </c>
      <c r="F138" s="112" t="s">
        <v>3314</v>
      </c>
      <c r="G138" s="112" t="b">
        <v>0</v>
      </c>
      <c r="H138" s="112" t="b">
        <v>0</v>
      </c>
      <c r="I138" s="112" t="b">
        <v>0</v>
      </c>
      <c r="J138" s="112" t="b">
        <v>1</v>
      </c>
      <c r="K138" s="112" t="b">
        <v>0</v>
      </c>
      <c r="L138" s="112" t="b">
        <v>0</v>
      </c>
    </row>
    <row r="139" spans="1:12" ht="15">
      <c r="A139" s="112" t="s">
        <v>2237</v>
      </c>
      <c r="B139" s="112" t="s">
        <v>2154</v>
      </c>
      <c r="C139" s="112">
        <v>7</v>
      </c>
      <c r="D139" s="114">
        <v>0.001168243952434849</v>
      </c>
      <c r="E139" s="114">
        <v>2.4986029095609257</v>
      </c>
      <c r="F139" s="112" t="s">
        <v>3314</v>
      </c>
      <c r="G139" s="112" t="b">
        <v>0</v>
      </c>
      <c r="H139" s="112" t="b">
        <v>0</v>
      </c>
      <c r="I139" s="112" t="b">
        <v>0</v>
      </c>
      <c r="J139" s="112" t="b">
        <v>0</v>
      </c>
      <c r="K139" s="112" t="b">
        <v>0</v>
      </c>
      <c r="L139" s="112" t="b">
        <v>0</v>
      </c>
    </row>
    <row r="140" spans="1:12" ht="15">
      <c r="A140" s="112" t="s">
        <v>2097</v>
      </c>
      <c r="B140" s="112" t="s">
        <v>2105</v>
      </c>
      <c r="C140" s="112">
        <v>7</v>
      </c>
      <c r="D140" s="114">
        <v>0.001041120405667127</v>
      </c>
      <c r="E140" s="114">
        <v>1.46444863332662</v>
      </c>
      <c r="F140" s="112" t="s">
        <v>3314</v>
      </c>
      <c r="G140" s="112" t="b">
        <v>0</v>
      </c>
      <c r="H140" s="112" t="b">
        <v>0</v>
      </c>
      <c r="I140" s="112" t="b">
        <v>0</v>
      </c>
      <c r="J140" s="112" t="b">
        <v>0</v>
      </c>
      <c r="K140" s="112" t="b">
        <v>0</v>
      </c>
      <c r="L140" s="112" t="b">
        <v>0</v>
      </c>
    </row>
    <row r="141" spans="1:12" ht="15">
      <c r="A141" s="112" t="s">
        <v>2078</v>
      </c>
      <c r="B141" s="112" t="s">
        <v>2097</v>
      </c>
      <c r="C141" s="112">
        <v>7</v>
      </c>
      <c r="D141" s="114">
        <v>0.0010966516835859543</v>
      </c>
      <c r="E141" s="114">
        <v>0.6723317268061526</v>
      </c>
      <c r="F141" s="112" t="s">
        <v>3314</v>
      </c>
      <c r="G141" s="112" t="b">
        <v>0</v>
      </c>
      <c r="H141" s="112" t="b">
        <v>0</v>
      </c>
      <c r="I141" s="112" t="b">
        <v>0</v>
      </c>
      <c r="J141" s="112" t="b">
        <v>0</v>
      </c>
      <c r="K141" s="112" t="b">
        <v>0</v>
      </c>
      <c r="L141" s="112" t="b">
        <v>0</v>
      </c>
    </row>
    <row r="142" spans="1:12" ht="15">
      <c r="A142" s="112" t="s">
        <v>2260</v>
      </c>
      <c r="B142" s="112" t="s">
        <v>2283</v>
      </c>
      <c r="C142" s="112">
        <v>7</v>
      </c>
      <c r="D142" s="114">
        <v>0.0014416434926311195</v>
      </c>
      <c r="E142" s="114">
        <v>2.965964326991432</v>
      </c>
      <c r="F142" s="112" t="s">
        <v>3314</v>
      </c>
      <c r="G142" s="112" t="b">
        <v>0</v>
      </c>
      <c r="H142" s="112" t="b">
        <v>0</v>
      </c>
      <c r="I142" s="112" t="b">
        <v>0</v>
      </c>
      <c r="J142" s="112" t="b">
        <v>0</v>
      </c>
      <c r="K142" s="112" t="b">
        <v>0</v>
      </c>
      <c r="L142" s="112" t="b">
        <v>0</v>
      </c>
    </row>
    <row r="143" spans="1:12" ht="15">
      <c r="A143" s="112" t="s">
        <v>2150</v>
      </c>
      <c r="B143" s="112" t="s">
        <v>2078</v>
      </c>
      <c r="C143" s="112">
        <v>7</v>
      </c>
      <c r="D143" s="114">
        <v>0.0009957480479122667</v>
      </c>
      <c r="E143" s="114">
        <v>1.0657793306428955</v>
      </c>
      <c r="F143" s="112" t="s">
        <v>3314</v>
      </c>
      <c r="G143" s="112" t="b">
        <v>0</v>
      </c>
      <c r="H143" s="112" t="b">
        <v>0</v>
      </c>
      <c r="I143" s="112" t="b">
        <v>0</v>
      </c>
      <c r="J143" s="112" t="b">
        <v>0</v>
      </c>
      <c r="K143" s="112" t="b">
        <v>0</v>
      </c>
      <c r="L143" s="112" t="b">
        <v>0</v>
      </c>
    </row>
    <row r="144" spans="1:12" ht="15">
      <c r="A144" s="112" t="s">
        <v>2152</v>
      </c>
      <c r="B144" s="112" t="s">
        <v>2087</v>
      </c>
      <c r="C144" s="112">
        <v>7</v>
      </c>
      <c r="D144" s="114">
        <v>0.0010966516835859543</v>
      </c>
      <c r="E144" s="114">
        <v>1.5188062956492128</v>
      </c>
      <c r="F144" s="112" t="s">
        <v>3314</v>
      </c>
      <c r="G144" s="112" t="b">
        <v>0</v>
      </c>
      <c r="H144" s="112" t="b">
        <v>0</v>
      </c>
      <c r="I144" s="112" t="b">
        <v>0</v>
      </c>
      <c r="J144" s="112" t="b">
        <v>0</v>
      </c>
      <c r="K144" s="112" t="b">
        <v>0</v>
      </c>
      <c r="L144" s="112" t="b">
        <v>0</v>
      </c>
    </row>
    <row r="145" spans="1:12" ht="15">
      <c r="A145" s="112" t="s">
        <v>2132</v>
      </c>
      <c r="B145" s="112" t="s">
        <v>2319</v>
      </c>
      <c r="C145" s="112">
        <v>7</v>
      </c>
      <c r="D145" s="114">
        <v>0.0014416434926311195</v>
      </c>
      <c r="E145" s="114">
        <v>2.4856379323965583</v>
      </c>
      <c r="F145" s="112" t="s">
        <v>3314</v>
      </c>
      <c r="G145" s="112" t="b">
        <v>0</v>
      </c>
      <c r="H145" s="112" t="b">
        <v>0</v>
      </c>
      <c r="I145" s="112" t="b">
        <v>0</v>
      </c>
      <c r="J145" s="112" t="b">
        <v>0</v>
      </c>
      <c r="K145" s="112" t="b">
        <v>0</v>
      </c>
      <c r="L145" s="112" t="b">
        <v>0</v>
      </c>
    </row>
    <row r="146" spans="1:12" ht="15">
      <c r="A146" s="112" t="s">
        <v>2091</v>
      </c>
      <c r="B146" s="112" t="s">
        <v>2107</v>
      </c>
      <c r="C146" s="112">
        <v>7</v>
      </c>
      <c r="D146" s="114">
        <v>0.001269147588108537</v>
      </c>
      <c r="E146" s="114">
        <v>1.314686312993288</v>
      </c>
      <c r="F146" s="112" t="s">
        <v>3314</v>
      </c>
      <c r="G146" s="112" t="b">
        <v>0</v>
      </c>
      <c r="H146" s="112" t="b">
        <v>0</v>
      </c>
      <c r="I146" s="112" t="b">
        <v>0</v>
      </c>
      <c r="J146" s="112" t="b">
        <v>0</v>
      </c>
      <c r="K146" s="112" t="b">
        <v>0</v>
      </c>
      <c r="L146" s="112" t="b">
        <v>0</v>
      </c>
    </row>
    <row r="147" spans="1:12" ht="15">
      <c r="A147" s="112" t="s">
        <v>2101</v>
      </c>
      <c r="B147" s="112" t="s">
        <v>2097</v>
      </c>
      <c r="C147" s="112">
        <v>7</v>
      </c>
      <c r="D147" s="114">
        <v>0.001269147588108537</v>
      </c>
      <c r="E147" s="114">
        <v>1.4560154657897573</v>
      </c>
      <c r="F147" s="112" t="s">
        <v>3314</v>
      </c>
      <c r="G147" s="112" t="b">
        <v>0</v>
      </c>
      <c r="H147" s="112" t="b">
        <v>0</v>
      </c>
      <c r="I147" s="112" t="b">
        <v>0</v>
      </c>
      <c r="J147" s="112" t="b">
        <v>0</v>
      </c>
      <c r="K147" s="112" t="b">
        <v>0</v>
      </c>
      <c r="L147" s="112" t="b">
        <v>0</v>
      </c>
    </row>
    <row r="148" spans="1:12" ht="15">
      <c r="A148" s="112" t="s">
        <v>2086</v>
      </c>
      <c r="B148" s="112" t="s">
        <v>2263</v>
      </c>
      <c r="C148" s="112">
        <v>7</v>
      </c>
      <c r="D148" s="114">
        <v>0.0009573862660348688</v>
      </c>
      <c r="E148" s="114">
        <v>1.886783080943807</v>
      </c>
      <c r="F148" s="112" t="s">
        <v>3314</v>
      </c>
      <c r="G148" s="112" t="b">
        <v>0</v>
      </c>
      <c r="H148" s="112" t="b">
        <v>0</v>
      </c>
      <c r="I148" s="112" t="b">
        <v>0</v>
      </c>
      <c r="J148" s="112" t="b">
        <v>0</v>
      </c>
      <c r="K148" s="112" t="b">
        <v>0</v>
      </c>
      <c r="L148" s="112" t="b">
        <v>0</v>
      </c>
    </row>
    <row r="149" spans="1:12" ht="15">
      <c r="A149" s="112" t="s">
        <v>2290</v>
      </c>
      <c r="B149" s="112" t="s">
        <v>2089</v>
      </c>
      <c r="C149" s="112">
        <v>7</v>
      </c>
      <c r="D149" s="114">
        <v>0.0009957480479122667</v>
      </c>
      <c r="E149" s="114">
        <v>1.9836930939518636</v>
      </c>
      <c r="F149" s="112" t="s">
        <v>3314</v>
      </c>
      <c r="G149" s="112" t="b">
        <v>0</v>
      </c>
      <c r="H149" s="112" t="b">
        <v>1</v>
      </c>
      <c r="I149" s="112" t="b">
        <v>0</v>
      </c>
      <c r="J149" s="112" t="b">
        <v>0</v>
      </c>
      <c r="K149" s="112" t="b">
        <v>0</v>
      </c>
      <c r="L149" s="112" t="b">
        <v>0</v>
      </c>
    </row>
    <row r="150" spans="1:12" ht="15">
      <c r="A150" s="112" t="s">
        <v>2138</v>
      </c>
      <c r="B150" s="112" t="s">
        <v>2323</v>
      </c>
      <c r="C150" s="112">
        <v>7</v>
      </c>
      <c r="D150" s="114">
        <v>0.001041120405667127</v>
      </c>
      <c r="E150" s="114">
        <v>2.5119668711189074</v>
      </c>
      <c r="F150" s="112" t="s">
        <v>3314</v>
      </c>
      <c r="G150" s="112" t="b">
        <v>0</v>
      </c>
      <c r="H150" s="112" t="b">
        <v>0</v>
      </c>
      <c r="I150" s="112" t="b">
        <v>0</v>
      </c>
      <c r="J150" s="112" t="b">
        <v>0</v>
      </c>
      <c r="K150" s="112" t="b">
        <v>0</v>
      </c>
      <c r="L150" s="112" t="b">
        <v>0</v>
      </c>
    </row>
    <row r="151" spans="1:12" ht="15">
      <c r="A151" s="112" t="s">
        <v>2200</v>
      </c>
      <c r="B151" s="112" t="s">
        <v>2200</v>
      </c>
      <c r="C151" s="112">
        <v>7</v>
      </c>
      <c r="D151" s="114">
        <v>0.0014416434926311195</v>
      </c>
      <c r="E151" s="114">
        <v>2.5680243183193947</v>
      </c>
      <c r="F151" s="112" t="s">
        <v>3314</v>
      </c>
      <c r="G151" s="112" t="b">
        <v>0</v>
      </c>
      <c r="H151" s="112" t="b">
        <v>0</v>
      </c>
      <c r="I151" s="112" t="b">
        <v>0</v>
      </c>
      <c r="J151" s="112" t="b">
        <v>0</v>
      </c>
      <c r="K151" s="112" t="b">
        <v>0</v>
      </c>
      <c r="L151" s="112" t="b">
        <v>0</v>
      </c>
    </row>
    <row r="152" spans="1:12" ht="15">
      <c r="A152" s="112" t="s">
        <v>2334</v>
      </c>
      <c r="B152" s="112" t="s">
        <v>2184</v>
      </c>
      <c r="C152" s="112">
        <v>7</v>
      </c>
      <c r="D152" s="114">
        <v>0.0009573862660348688</v>
      </c>
      <c r="E152" s="114">
        <v>2.7866679280605395</v>
      </c>
      <c r="F152" s="112" t="s">
        <v>3314</v>
      </c>
      <c r="G152" s="112" t="b">
        <v>0</v>
      </c>
      <c r="H152" s="112" t="b">
        <v>0</v>
      </c>
      <c r="I152" s="112" t="b">
        <v>0</v>
      </c>
      <c r="J152" s="112" t="b">
        <v>0</v>
      </c>
      <c r="K152" s="112" t="b">
        <v>0</v>
      </c>
      <c r="L152" s="112" t="b">
        <v>0</v>
      </c>
    </row>
    <row r="153" spans="1:12" ht="15">
      <c r="A153" s="112" t="s">
        <v>2078</v>
      </c>
      <c r="B153" s="112" t="s">
        <v>2081</v>
      </c>
      <c r="C153" s="112">
        <v>6</v>
      </c>
      <c r="D153" s="114">
        <v>0.0008534983267819426</v>
      </c>
      <c r="E153" s="114">
        <v>0.12826368245587705</v>
      </c>
      <c r="F153" s="112" t="s">
        <v>3314</v>
      </c>
      <c r="G153" s="112" t="b">
        <v>0</v>
      </c>
      <c r="H153" s="112" t="b">
        <v>0</v>
      </c>
      <c r="I153" s="112" t="b">
        <v>0</v>
      </c>
      <c r="J153" s="112" t="b">
        <v>0</v>
      </c>
      <c r="K153" s="112" t="b">
        <v>0</v>
      </c>
      <c r="L153" s="112" t="b">
        <v>0</v>
      </c>
    </row>
    <row r="154" spans="1:12" ht="15">
      <c r="A154" s="112" t="s">
        <v>2090</v>
      </c>
      <c r="B154" s="112" t="s">
        <v>2342</v>
      </c>
      <c r="C154" s="112">
        <v>6</v>
      </c>
      <c r="D154" s="114">
        <v>0.0008923889191432516</v>
      </c>
      <c r="E154" s="114">
        <v>2.078743081071594</v>
      </c>
      <c r="F154" s="112" t="s">
        <v>3314</v>
      </c>
      <c r="G154" s="112" t="b">
        <v>0</v>
      </c>
      <c r="H154" s="112" t="b">
        <v>0</v>
      </c>
      <c r="I154" s="112" t="b">
        <v>0</v>
      </c>
      <c r="J154" s="112" t="b">
        <v>1</v>
      </c>
      <c r="K154" s="112" t="b">
        <v>0</v>
      </c>
      <c r="L154" s="112" t="b">
        <v>0</v>
      </c>
    </row>
    <row r="155" spans="1:12" ht="15">
      <c r="A155" s="112" t="s">
        <v>2079</v>
      </c>
      <c r="B155" s="112" t="s">
        <v>2343</v>
      </c>
      <c r="C155" s="112">
        <v>6</v>
      </c>
      <c r="D155" s="114">
        <v>0.0008534983267819426</v>
      </c>
      <c r="E155" s="114">
        <v>1.6067614660043428</v>
      </c>
      <c r="F155" s="112" t="s">
        <v>3314</v>
      </c>
      <c r="G155" s="112" t="b">
        <v>0</v>
      </c>
      <c r="H155" s="112" t="b">
        <v>0</v>
      </c>
      <c r="I155" s="112" t="b">
        <v>0</v>
      </c>
      <c r="J155" s="112" t="b">
        <v>0</v>
      </c>
      <c r="K155" s="112" t="b">
        <v>0</v>
      </c>
      <c r="L155" s="112" t="b">
        <v>0</v>
      </c>
    </row>
    <row r="156" spans="1:12" ht="15">
      <c r="A156" s="112" t="s">
        <v>2084</v>
      </c>
      <c r="B156" s="112" t="s">
        <v>2135</v>
      </c>
      <c r="C156" s="112">
        <v>6</v>
      </c>
      <c r="D156" s="114">
        <v>0.0008534983267819426</v>
      </c>
      <c r="E156" s="114">
        <v>1.268928822432613</v>
      </c>
      <c r="F156" s="112" t="s">
        <v>3314</v>
      </c>
      <c r="G156" s="112" t="b">
        <v>0</v>
      </c>
      <c r="H156" s="112" t="b">
        <v>1</v>
      </c>
      <c r="I156" s="112" t="b">
        <v>0</v>
      </c>
      <c r="J156" s="112" t="b">
        <v>0</v>
      </c>
      <c r="K156" s="112" t="b">
        <v>0</v>
      </c>
      <c r="L156" s="112" t="b">
        <v>0</v>
      </c>
    </row>
    <row r="157" spans="1:12" ht="15">
      <c r="A157" s="112" t="s">
        <v>2078</v>
      </c>
      <c r="B157" s="112" t="s">
        <v>2162</v>
      </c>
      <c r="C157" s="112">
        <v>6</v>
      </c>
      <c r="D157" s="114">
        <v>0.0008534983267819426</v>
      </c>
      <c r="E157" s="114">
        <v>1.0313536694478207</v>
      </c>
      <c r="F157" s="112" t="s">
        <v>3314</v>
      </c>
      <c r="G157" s="112" t="b">
        <v>0</v>
      </c>
      <c r="H157" s="112" t="b">
        <v>0</v>
      </c>
      <c r="I157" s="112" t="b">
        <v>0</v>
      </c>
      <c r="J157" s="112" t="b">
        <v>0</v>
      </c>
      <c r="K157" s="112" t="b">
        <v>0</v>
      </c>
      <c r="L157" s="112" t="b">
        <v>0</v>
      </c>
    </row>
    <row r="158" spans="1:12" ht="15">
      <c r="A158" s="112" t="s">
        <v>2236</v>
      </c>
      <c r="B158" s="112" t="s">
        <v>2307</v>
      </c>
      <c r="C158" s="112">
        <v>6</v>
      </c>
      <c r="D158" s="114">
        <v>0.0008534983267819426</v>
      </c>
      <c r="E158" s="114">
        <v>2.908777374649975</v>
      </c>
      <c r="F158" s="112" t="s">
        <v>3314</v>
      </c>
      <c r="G158" s="112" t="b">
        <v>0</v>
      </c>
      <c r="H158" s="112" t="b">
        <v>0</v>
      </c>
      <c r="I158" s="112" t="b">
        <v>0</v>
      </c>
      <c r="J158" s="112" t="b">
        <v>0</v>
      </c>
      <c r="K158" s="112" t="b">
        <v>0</v>
      </c>
      <c r="L158" s="112" t="b">
        <v>0</v>
      </c>
    </row>
    <row r="159" spans="1:12" ht="15">
      <c r="A159" s="112" t="s">
        <v>2207</v>
      </c>
      <c r="B159" s="112" t="s">
        <v>2140</v>
      </c>
      <c r="C159" s="112">
        <v>6</v>
      </c>
      <c r="D159" s="114">
        <v>0.0010878407898073173</v>
      </c>
      <c r="E159" s="114">
        <v>2.230010756402243</v>
      </c>
      <c r="F159" s="112" t="s">
        <v>3314</v>
      </c>
      <c r="G159" s="112" t="b">
        <v>0</v>
      </c>
      <c r="H159" s="112" t="b">
        <v>0</v>
      </c>
      <c r="I159" s="112" t="b">
        <v>0</v>
      </c>
      <c r="J159" s="112" t="b">
        <v>0</v>
      </c>
      <c r="K159" s="112" t="b">
        <v>0</v>
      </c>
      <c r="L159" s="112" t="b">
        <v>0</v>
      </c>
    </row>
    <row r="160" spans="1:12" ht="15">
      <c r="A160" s="112" t="s">
        <v>2095</v>
      </c>
      <c r="B160" s="112" t="s">
        <v>2162</v>
      </c>
      <c r="C160" s="112">
        <v>6</v>
      </c>
      <c r="D160" s="114">
        <v>0.0008534983267819426</v>
      </c>
      <c r="E160" s="114">
        <v>1.6921916613289691</v>
      </c>
      <c r="F160" s="112" t="s">
        <v>3314</v>
      </c>
      <c r="G160" s="112" t="b">
        <v>0</v>
      </c>
      <c r="H160" s="112" t="b">
        <v>0</v>
      </c>
      <c r="I160" s="112" t="b">
        <v>0</v>
      </c>
      <c r="J160" s="112" t="b">
        <v>0</v>
      </c>
      <c r="K160" s="112" t="b">
        <v>0</v>
      </c>
      <c r="L160" s="112" t="b">
        <v>0</v>
      </c>
    </row>
    <row r="161" spans="1:12" ht="15">
      <c r="A161" s="112" t="s">
        <v>2106</v>
      </c>
      <c r="B161" s="112" t="s">
        <v>2078</v>
      </c>
      <c r="C161" s="112">
        <v>6</v>
      </c>
      <c r="D161" s="114">
        <v>0.0008923889191432516</v>
      </c>
      <c r="E161" s="114">
        <v>0.706945924788171</v>
      </c>
      <c r="F161" s="112" t="s">
        <v>3314</v>
      </c>
      <c r="G161" s="112" t="b">
        <v>0</v>
      </c>
      <c r="H161" s="112" t="b">
        <v>0</v>
      </c>
      <c r="I161" s="112" t="b">
        <v>0</v>
      </c>
      <c r="J161" s="112" t="b">
        <v>0</v>
      </c>
      <c r="K161" s="112" t="b">
        <v>0</v>
      </c>
      <c r="L161" s="112" t="b">
        <v>0</v>
      </c>
    </row>
    <row r="162" spans="1:12" ht="15">
      <c r="A162" s="112" t="s">
        <v>2087</v>
      </c>
      <c r="B162" s="112" t="s">
        <v>2255</v>
      </c>
      <c r="C162" s="112">
        <v>6</v>
      </c>
      <c r="D162" s="114">
        <v>0.0010878407898073173</v>
      </c>
      <c r="E162" s="114">
        <v>1.819836291313194</v>
      </c>
      <c r="F162" s="112" t="s">
        <v>3314</v>
      </c>
      <c r="G162" s="112" t="b">
        <v>0</v>
      </c>
      <c r="H162" s="112" t="b">
        <v>0</v>
      </c>
      <c r="I162" s="112" t="b">
        <v>0</v>
      </c>
      <c r="J162" s="112" t="b">
        <v>0</v>
      </c>
      <c r="K162" s="112" t="b">
        <v>0</v>
      </c>
      <c r="L162" s="112" t="b">
        <v>0</v>
      </c>
    </row>
    <row r="163" spans="1:12" ht="15">
      <c r="A163" s="112" t="s">
        <v>2312</v>
      </c>
      <c r="B163" s="112" t="s">
        <v>2347</v>
      </c>
      <c r="C163" s="112">
        <v>6</v>
      </c>
      <c r="D163" s="114">
        <v>0.0010013519592298706</v>
      </c>
      <c r="E163" s="114">
        <v>3.105072019793943</v>
      </c>
      <c r="F163" s="112" t="s">
        <v>3314</v>
      </c>
      <c r="G163" s="112" t="b">
        <v>0</v>
      </c>
      <c r="H163" s="112" t="b">
        <v>0</v>
      </c>
      <c r="I163" s="112" t="b">
        <v>0</v>
      </c>
      <c r="J163" s="112" t="b">
        <v>0</v>
      </c>
      <c r="K163" s="112" t="b">
        <v>0</v>
      </c>
      <c r="L163" s="112" t="b">
        <v>0</v>
      </c>
    </row>
    <row r="164" spans="1:12" ht="15">
      <c r="A164" s="112" t="s">
        <v>2079</v>
      </c>
      <c r="B164" s="112" t="s">
        <v>2087</v>
      </c>
      <c r="C164" s="112">
        <v>6</v>
      </c>
      <c r="D164" s="114">
        <v>0.0008923889191432516</v>
      </c>
      <c r="E164" s="114">
        <v>0.4306702069486615</v>
      </c>
      <c r="F164" s="112" t="s">
        <v>3314</v>
      </c>
      <c r="G164" s="112" t="b">
        <v>0</v>
      </c>
      <c r="H164" s="112" t="b">
        <v>0</v>
      </c>
      <c r="I164" s="112" t="b">
        <v>0</v>
      </c>
      <c r="J164" s="112" t="b">
        <v>0</v>
      </c>
      <c r="K164" s="112" t="b">
        <v>0</v>
      </c>
      <c r="L164" s="112" t="b">
        <v>0</v>
      </c>
    </row>
    <row r="165" spans="1:12" ht="15">
      <c r="A165" s="112" t="s">
        <v>2097</v>
      </c>
      <c r="B165" s="112" t="s">
        <v>2078</v>
      </c>
      <c r="C165" s="112">
        <v>6</v>
      </c>
      <c r="D165" s="114">
        <v>0.0009399871573593893</v>
      </c>
      <c r="E165" s="114">
        <v>0.630855755717688</v>
      </c>
      <c r="F165" s="112" t="s">
        <v>3314</v>
      </c>
      <c r="G165" s="112" t="b">
        <v>0</v>
      </c>
      <c r="H165" s="112" t="b">
        <v>0</v>
      </c>
      <c r="I165" s="112" t="b">
        <v>0</v>
      </c>
      <c r="J165" s="112" t="b">
        <v>0</v>
      </c>
      <c r="K165" s="112" t="b">
        <v>0</v>
      </c>
      <c r="L165" s="112" t="b">
        <v>0</v>
      </c>
    </row>
    <row r="166" spans="1:12" ht="15">
      <c r="A166" s="112" t="s">
        <v>2150</v>
      </c>
      <c r="B166" s="112" t="s">
        <v>2087</v>
      </c>
      <c r="C166" s="112">
        <v>6</v>
      </c>
      <c r="D166" s="114">
        <v>0.0008923889191432516</v>
      </c>
      <c r="E166" s="114">
        <v>1.4518595060185997</v>
      </c>
      <c r="F166" s="112" t="s">
        <v>3314</v>
      </c>
      <c r="G166" s="112" t="b">
        <v>0</v>
      </c>
      <c r="H166" s="112" t="b">
        <v>0</v>
      </c>
      <c r="I166" s="112" t="b">
        <v>0</v>
      </c>
      <c r="J166" s="112" t="b">
        <v>0</v>
      </c>
      <c r="K166" s="112" t="b">
        <v>0</v>
      </c>
      <c r="L166" s="112" t="b">
        <v>0</v>
      </c>
    </row>
    <row r="167" spans="1:12" ht="15">
      <c r="A167" s="112" t="s">
        <v>2166</v>
      </c>
      <c r="B167" s="112" t="s">
        <v>2152</v>
      </c>
      <c r="C167" s="112">
        <v>6</v>
      </c>
      <c r="D167" s="114">
        <v>0.0008534983267819426</v>
      </c>
      <c r="E167" s="114">
        <v>2.1542900424641247</v>
      </c>
      <c r="F167" s="112" t="s">
        <v>3314</v>
      </c>
      <c r="G167" s="112" t="b">
        <v>0</v>
      </c>
      <c r="H167" s="112" t="b">
        <v>0</v>
      </c>
      <c r="I167" s="112" t="b">
        <v>0</v>
      </c>
      <c r="J167" s="112" t="b">
        <v>0</v>
      </c>
      <c r="K167" s="112" t="b">
        <v>0</v>
      </c>
      <c r="L167" s="112" t="b">
        <v>0</v>
      </c>
    </row>
    <row r="168" spans="1:12" ht="15">
      <c r="A168" s="112" t="s">
        <v>2078</v>
      </c>
      <c r="B168" s="112" t="s">
        <v>2314</v>
      </c>
      <c r="C168" s="112">
        <v>6</v>
      </c>
      <c r="D168" s="114">
        <v>0.0008923889191432516</v>
      </c>
      <c r="E168" s="114">
        <v>1.4504829771897962</v>
      </c>
      <c r="F168" s="112" t="s">
        <v>3314</v>
      </c>
      <c r="G168" s="112" t="b">
        <v>0</v>
      </c>
      <c r="H168" s="112" t="b">
        <v>0</v>
      </c>
      <c r="I168" s="112" t="b">
        <v>0</v>
      </c>
      <c r="J168" s="112" t="b">
        <v>0</v>
      </c>
      <c r="K168" s="112" t="b">
        <v>0</v>
      </c>
      <c r="L168" s="112" t="b">
        <v>0</v>
      </c>
    </row>
    <row r="169" spans="1:12" ht="15">
      <c r="A169" s="112" t="s">
        <v>2259</v>
      </c>
      <c r="B169" s="112" t="s">
        <v>2282</v>
      </c>
      <c r="C169" s="112">
        <v>6</v>
      </c>
      <c r="D169" s="114">
        <v>0.0010013519592298706</v>
      </c>
      <c r="E169" s="114">
        <v>2.8990175373608187</v>
      </c>
      <c r="F169" s="112" t="s">
        <v>3314</v>
      </c>
      <c r="G169" s="112" t="b">
        <v>0</v>
      </c>
      <c r="H169" s="112" t="b">
        <v>0</v>
      </c>
      <c r="I169" s="112" t="b">
        <v>0</v>
      </c>
      <c r="J169" s="112" t="b">
        <v>0</v>
      </c>
      <c r="K169" s="112" t="b">
        <v>0</v>
      </c>
      <c r="L169" s="112" t="b">
        <v>0</v>
      </c>
    </row>
    <row r="170" spans="1:12" ht="15">
      <c r="A170" s="112" t="s">
        <v>2192</v>
      </c>
      <c r="B170" s="112" t="s">
        <v>2391</v>
      </c>
      <c r="C170" s="112">
        <v>6</v>
      </c>
      <c r="D170" s="114">
        <v>0.0010878407898073173</v>
      </c>
      <c r="E170" s="114">
        <v>2.8709888137605755</v>
      </c>
      <c r="F170" s="112" t="s">
        <v>3314</v>
      </c>
      <c r="G170" s="112" t="b">
        <v>0</v>
      </c>
      <c r="H170" s="112" t="b">
        <v>0</v>
      </c>
      <c r="I170" s="112" t="b">
        <v>0</v>
      </c>
      <c r="J170" s="112" t="b">
        <v>0</v>
      </c>
      <c r="K170" s="112" t="b">
        <v>0</v>
      </c>
      <c r="L170" s="112" t="b">
        <v>0</v>
      </c>
    </row>
    <row r="171" spans="1:12" ht="15">
      <c r="A171" s="112" t="s">
        <v>2091</v>
      </c>
      <c r="B171" s="112" t="s">
        <v>2261</v>
      </c>
      <c r="C171" s="112">
        <v>6</v>
      </c>
      <c r="D171" s="114">
        <v>0.0009399871573593893</v>
      </c>
      <c r="E171" s="114">
        <v>1.928980760738262</v>
      </c>
      <c r="F171" s="112" t="s">
        <v>3314</v>
      </c>
      <c r="G171" s="112" t="b">
        <v>0</v>
      </c>
      <c r="H171" s="112" t="b">
        <v>0</v>
      </c>
      <c r="I171" s="112" t="b">
        <v>0</v>
      </c>
      <c r="J171" s="112" t="b">
        <v>0</v>
      </c>
      <c r="K171" s="112" t="b">
        <v>0</v>
      </c>
      <c r="L171" s="112" t="b">
        <v>0</v>
      </c>
    </row>
    <row r="172" spans="1:12" ht="15">
      <c r="A172" s="112" t="s">
        <v>2097</v>
      </c>
      <c r="B172" s="112" t="s">
        <v>2084</v>
      </c>
      <c r="C172" s="112">
        <v>6</v>
      </c>
      <c r="D172" s="114">
        <v>0.0008534983267819426</v>
      </c>
      <c r="E172" s="114">
        <v>1.018712189119195</v>
      </c>
      <c r="F172" s="112" t="s">
        <v>3314</v>
      </c>
      <c r="G172" s="112" t="b">
        <v>0</v>
      </c>
      <c r="H172" s="112" t="b">
        <v>0</v>
      </c>
      <c r="I172" s="112" t="b">
        <v>0</v>
      </c>
      <c r="J172" s="112" t="b">
        <v>0</v>
      </c>
      <c r="K172" s="112" t="b">
        <v>1</v>
      </c>
      <c r="L172" s="112" t="b">
        <v>0</v>
      </c>
    </row>
    <row r="173" spans="1:12" ht="15">
      <c r="A173" s="112" t="s">
        <v>2401</v>
      </c>
      <c r="B173" s="112" t="s">
        <v>2130</v>
      </c>
      <c r="C173" s="112">
        <v>6</v>
      </c>
      <c r="D173" s="114">
        <v>0.0010878407898073173</v>
      </c>
      <c r="E173" s="114">
        <v>2.5188062956492128</v>
      </c>
      <c r="F173" s="112" t="s">
        <v>3314</v>
      </c>
      <c r="G173" s="112" t="b">
        <v>0</v>
      </c>
      <c r="H173" s="112" t="b">
        <v>0</v>
      </c>
      <c r="I173" s="112" t="b">
        <v>0</v>
      </c>
      <c r="J173" s="112" t="b">
        <v>0</v>
      </c>
      <c r="K173" s="112" t="b">
        <v>0</v>
      </c>
      <c r="L173" s="112" t="b">
        <v>0</v>
      </c>
    </row>
    <row r="174" spans="1:12" ht="15">
      <c r="A174" s="112" t="s">
        <v>2097</v>
      </c>
      <c r="B174" s="112" t="s">
        <v>2080</v>
      </c>
      <c r="C174" s="112">
        <v>6</v>
      </c>
      <c r="D174" s="114">
        <v>0.0010013519592298706</v>
      </c>
      <c r="E174" s="114">
        <v>0.8645227715113436</v>
      </c>
      <c r="F174" s="112" t="s">
        <v>3314</v>
      </c>
      <c r="G174" s="112" t="b">
        <v>0</v>
      </c>
      <c r="H174" s="112" t="b">
        <v>0</v>
      </c>
      <c r="I174" s="112" t="b">
        <v>0</v>
      </c>
      <c r="J174" s="112" t="b">
        <v>0</v>
      </c>
      <c r="K174" s="112" t="b">
        <v>0</v>
      </c>
      <c r="L174" s="112" t="b">
        <v>0</v>
      </c>
    </row>
    <row r="175" spans="1:12" ht="15">
      <c r="A175" s="112" t="s">
        <v>2097</v>
      </c>
      <c r="B175" s="112" t="s">
        <v>2101</v>
      </c>
      <c r="C175" s="112">
        <v>6</v>
      </c>
      <c r="D175" s="114">
        <v>0.0010878407898073173</v>
      </c>
      <c r="E175" s="114">
        <v>1.3807961501931543</v>
      </c>
      <c r="F175" s="112" t="s">
        <v>3314</v>
      </c>
      <c r="G175" s="112" t="b">
        <v>0</v>
      </c>
      <c r="H175" s="112" t="b">
        <v>0</v>
      </c>
      <c r="I175" s="112" t="b">
        <v>0</v>
      </c>
      <c r="J175" s="112" t="b">
        <v>0</v>
      </c>
      <c r="K175" s="112" t="b">
        <v>0</v>
      </c>
      <c r="L175" s="112" t="b">
        <v>0</v>
      </c>
    </row>
    <row r="176" spans="1:12" ht="15">
      <c r="A176" s="112" t="s">
        <v>2112</v>
      </c>
      <c r="B176" s="112" t="s">
        <v>2101</v>
      </c>
      <c r="C176" s="112">
        <v>6</v>
      </c>
      <c r="D176" s="114">
        <v>0.0010878407898073173</v>
      </c>
      <c r="E176" s="114">
        <v>1.4855315007131673</v>
      </c>
      <c r="F176" s="112" t="s">
        <v>3314</v>
      </c>
      <c r="G176" s="112" t="b">
        <v>0</v>
      </c>
      <c r="H176" s="112" t="b">
        <v>0</v>
      </c>
      <c r="I176" s="112" t="b">
        <v>0</v>
      </c>
      <c r="J176" s="112" t="b">
        <v>0</v>
      </c>
      <c r="K176" s="112" t="b">
        <v>0</v>
      </c>
      <c r="L176" s="112" t="b">
        <v>0</v>
      </c>
    </row>
    <row r="177" spans="1:12" ht="15">
      <c r="A177" s="112" t="s">
        <v>2199</v>
      </c>
      <c r="B177" s="112" t="s">
        <v>2091</v>
      </c>
      <c r="C177" s="112">
        <v>6</v>
      </c>
      <c r="D177" s="114">
        <v>0.0008923889191432516</v>
      </c>
      <c r="E177" s="114">
        <v>1.7633549353607458</v>
      </c>
      <c r="F177" s="112" t="s">
        <v>3314</v>
      </c>
      <c r="G177" s="112" t="b">
        <v>0</v>
      </c>
      <c r="H177" s="112" t="b">
        <v>0</v>
      </c>
      <c r="I177" s="112" t="b">
        <v>0</v>
      </c>
      <c r="J177" s="112" t="b">
        <v>0</v>
      </c>
      <c r="K177" s="112" t="b">
        <v>0</v>
      </c>
      <c r="L177" s="112" t="b">
        <v>0</v>
      </c>
    </row>
    <row r="178" spans="1:12" ht="15">
      <c r="A178" s="112" t="s">
        <v>2083</v>
      </c>
      <c r="B178" s="112" t="s">
        <v>2094</v>
      </c>
      <c r="C178" s="112">
        <v>6</v>
      </c>
      <c r="D178" s="114">
        <v>0.0008534983267819426</v>
      </c>
      <c r="E178" s="114">
        <v>0.90435828582993</v>
      </c>
      <c r="F178" s="112" t="s">
        <v>3314</v>
      </c>
      <c r="G178" s="112" t="b">
        <v>0</v>
      </c>
      <c r="H178" s="112" t="b">
        <v>0</v>
      </c>
      <c r="I178" s="112" t="b">
        <v>0</v>
      </c>
      <c r="J178" s="112" t="b">
        <v>0</v>
      </c>
      <c r="K178" s="112" t="b">
        <v>0</v>
      </c>
      <c r="L178" s="112" t="b">
        <v>0</v>
      </c>
    </row>
    <row r="179" spans="1:12" ht="15">
      <c r="A179" s="112" t="s">
        <v>2083</v>
      </c>
      <c r="B179" s="112" t="s">
        <v>2096</v>
      </c>
      <c r="C179" s="112">
        <v>6</v>
      </c>
      <c r="D179" s="114">
        <v>0.0009399871573593893</v>
      </c>
      <c r="E179" s="114">
        <v>0.9365429692013313</v>
      </c>
      <c r="F179" s="112" t="s">
        <v>3314</v>
      </c>
      <c r="G179" s="112" t="b">
        <v>0</v>
      </c>
      <c r="H179" s="112" t="b">
        <v>0</v>
      </c>
      <c r="I179" s="112" t="b">
        <v>0</v>
      </c>
      <c r="J179" s="112" t="b">
        <v>0</v>
      </c>
      <c r="K179" s="112" t="b">
        <v>0</v>
      </c>
      <c r="L179" s="112" t="b">
        <v>0</v>
      </c>
    </row>
    <row r="180" spans="1:12" ht="15">
      <c r="A180" s="112" t="s">
        <v>2412</v>
      </c>
      <c r="B180" s="112" t="s">
        <v>2362</v>
      </c>
      <c r="C180" s="112">
        <v>6</v>
      </c>
      <c r="D180" s="114">
        <v>0.0008534983267819426</v>
      </c>
      <c r="E180" s="114">
        <v>3.230010756402243</v>
      </c>
      <c r="F180" s="112" t="s">
        <v>3314</v>
      </c>
      <c r="G180" s="112" t="b">
        <v>0</v>
      </c>
      <c r="H180" s="112" t="b">
        <v>0</v>
      </c>
      <c r="I180" s="112" t="b">
        <v>0</v>
      </c>
      <c r="J180" s="112" t="b">
        <v>0</v>
      </c>
      <c r="K180" s="112" t="b">
        <v>0</v>
      </c>
      <c r="L180" s="112" t="b">
        <v>0</v>
      </c>
    </row>
    <row r="181" spans="1:12" ht="15">
      <c r="A181" s="112" t="s">
        <v>2094</v>
      </c>
      <c r="B181" s="112" t="s">
        <v>2083</v>
      </c>
      <c r="C181" s="112">
        <v>6</v>
      </c>
      <c r="D181" s="114">
        <v>0.0008534983267819426</v>
      </c>
      <c r="E181" s="114">
        <v>0.9085800129188333</v>
      </c>
      <c r="F181" s="112" t="s">
        <v>3314</v>
      </c>
      <c r="G181" s="112" t="b">
        <v>0</v>
      </c>
      <c r="H181" s="112" t="b">
        <v>0</v>
      </c>
      <c r="I181" s="112" t="b">
        <v>0</v>
      </c>
      <c r="J181" s="112" t="b">
        <v>0</v>
      </c>
      <c r="K181" s="112" t="b">
        <v>0</v>
      </c>
      <c r="L181" s="112" t="b">
        <v>0</v>
      </c>
    </row>
    <row r="182" spans="1:12" ht="15">
      <c r="A182" s="112" t="s">
        <v>2271</v>
      </c>
      <c r="B182" s="112" t="s">
        <v>2365</v>
      </c>
      <c r="C182" s="112">
        <v>6</v>
      </c>
      <c r="D182" s="114">
        <v>0.0008534983267819426</v>
      </c>
      <c r="E182" s="114">
        <v>3.008162006785887</v>
      </c>
      <c r="F182" s="112" t="s">
        <v>3314</v>
      </c>
      <c r="G182" s="112" t="b">
        <v>0</v>
      </c>
      <c r="H182" s="112" t="b">
        <v>0</v>
      </c>
      <c r="I182" s="112" t="b">
        <v>0</v>
      </c>
      <c r="J182" s="112" t="b">
        <v>0</v>
      </c>
      <c r="K182" s="112" t="b">
        <v>0</v>
      </c>
      <c r="L182" s="112" t="b">
        <v>0</v>
      </c>
    </row>
    <row r="183" spans="1:12" ht="15">
      <c r="A183" s="112" t="s">
        <v>2219</v>
      </c>
      <c r="B183" s="112" t="s">
        <v>2083</v>
      </c>
      <c r="C183" s="112">
        <v>6</v>
      </c>
      <c r="D183" s="114">
        <v>0.0008923889191432516</v>
      </c>
      <c r="E183" s="114">
        <v>1.645895009331072</v>
      </c>
      <c r="F183" s="112" t="s">
        <v>3314</v>
      </c>
      <c r="G183" s="112" t="b">
        <v>0</v>
      </c>
      <c r="H183" s="112" t="b">
        <v>0</v>
      </c>
      <c r="I183" s="112" t="b">
        <v>0</v>
      </c>
      <c r="J183" s="112" t="b">
        <v>0</v>
      </c>
      <c r="K183" s="112" t="b">
        <v>0</v>
      </c>
      <c r="L183" s="112" t="b">
        <v>0</v>
      </c>
    </row>
    <row r="184" spans="1:12" ht="15">
      <c r="A184" s="112" t="s">
        <v>2077</v>
      </c>
      <c r="B184" s="112" t="s">
        <v>2102</v>
      </c>
      <c r="C184" s="112">
        <v>6</v>
      </c>
      <c r="D184" s="114">
        <v>0.0010878407898073173</v>
      </c>
      <c r="E184" s="114">
        <v>0.5172608691920129</v>
      </c>
      <c r="F184" s="112" t="s">
        <v>3314</v>
      </c>
      <c r="G184" s="112" t="b">
        <v>0</v>
      </c>
      <c r="H184" s="112" t="b">
        <v>0</v>
      </c>
      <c r="I184" s="112" t="b">
        <v>0</v>
      </c>
      <c r="J184" s="112" t="b">
        <v>0</v>
      </c>
      <c r="K184" s="112" t="b">
        <v>0</v>
      </c>
      <c r="L184" s="112" t="b">
        <v>0</v>
      </c>
    </row>
    <row r="185" spans="1:12" ht="15">
      <c r="A185" s="112" t="s">
        <v>2142</v>
      </c>
      <c r="B185" s="112" t="s">
        <v>2202</v>
      </c>
      <c r="C185" s="112">
        <v>6</v>
      </c>
      <c r="D185" s="114">
        <v>0.0008923889191432516</v>
      </c>
      <c r="E185" s="114">
        <v>2.230010756402243</v>
      </c>
      <c r="F185" s="112" t="s">
        <v>3314</v>
      </c>
      <c r="G185" s="112" t="b">
        <v>0</v>
      </c>
      <c r="H185" s="112" t="b">
        <v>0</v>
      </c>
      <c r="I185" s="112" t="b">
        <v>0</v>
      </c>
      <c r="J185" s="112" t="b">
        <v>0</v>
      </c>
      <c r="K185" s="112" t="b">
        <v>0</v>
      </c>
      <c r="L185" s="112" t="b">
        <v>0</v>
      </c>
    </row>
    <row r="186" spans="1:12" ht="15">
      <c r="A186" s="112" t="s">
        <v>2203</v>
      </c>
      <c r="B186" s="112" t="s">
        <v>2246</v>
      </c>
      <c r="C186" s="112">
        <v>6</v>
      </c>
      <c r="D186" s="114">
        <v>0.0008923889191432516</v>
      </c>
      <c r="E186" s="114">
        <v>2.665739325963681</v>
      </c>
      <c r="F186" s="112" t="s">
        <v>3314</v>
      </c>
      <c r="G186" s="112" t="b">
        <v>0</v>
      </c>
      <c r="H186" s="112" t="b">
        <v>0</v>
      </c>
      <c r="I186" s="112" t="b">
        <v>0</v>
      </c>
      <c r="J186" s="112" t="b">
        <v>0</v>
      </c>
      <c r="K186" s="112" t="b">
        <v>0</v>
      </c>
      <c r="L186" s="112" t="b">
        <v>0</v>
      </c>
    </row>
    <row r="187" spans="1:12" ht="15">
      <c r="A187" s="112" t="s">
        <v>2084</v>
      </c>
      <c r="B187" s="112" t="s">
        <v>2084</v>
      </c>
      <c r="C187" s="112">
        <v>6</v>
      </c>
      <c r="D187" s="114">
        <v>0.0010013519592298706</v>
      </c>
      <c r="E187" s="114">
        <v>0.6877189700777706</v>
      </c>
      <c r="F187" s="112" t="s">
        <v>3314</v>
      </c>
      <c r="G187" s="112" t="b">
        <v>0</v>
      </c>
      <c r="H187" s="112" t="b">
        <v>1</v>
      </c>
      <c r="I187" s="112" t="b">
        <v>0</v>
      </c>
      <c r="J187" s="112" t="b">
        <v>0</v>
      </c>
      <c r="K187" s="112" t="b">
        <v>1</v>
      </c>
      <c r="L187" s="112" t="b">
        <v>0</v>
      </c>
    </row>
    <row r="188" spans="1:12" ht="15">
      <c r="A188" s="112" t="s">
        <v>2133</v>
      </c>
      <c r="B188" s="112" t="s">
        <v>2138</v>
      </c>
      <c r="C188" s="112">
        <v>6</v>
      </c>
      <c r="D188" s="114">
        <v>0.0008923889191432516</v>
      </c>
      <c r="E188" s="114">
        <v>1.8593831318589324</v>
      </c>
      <c r="F188" s="112" t="s">
        <v>3314</v>
      </c>
      <c r="G188" s="112" t="b">
        <v>0</v>
      </c>
      <c r="H188" s="112" t="b">
        <v>0</v>
      </c>
      <c r="I188" s="112" t="b">
        <v>0</v>
      </c>
      <c r="J188" s="112" t="b">
        <v>0</v>
      </c>
      <c r="K188" s="112" t="b">
        <v>0</v>
      </c>
      <c r="L188" s="112" t="b">
        <v>0</v>
      </c>
    </row>
    <row r="189" spans="1:12" ht="15">
      <c r="A189" s="112" t="s">
        <v>2419</v>
      </c>
      <c r="B189" s="112" t="s">
        <v>2420</v>
      </c>
      <c r="C189" s="112">
        <v>6</v>
      </c>
      <c r="D189" s="114">
        <v>0.0008534983267819426</v>
      </c>
      <c r="E189" s="114">
        <v>3.2969575460328566</v>
      </c>
      <c r="F189" s="112" t="s">
        <v>3314</v>
      </c>
      <c r="G189" s="112" t="b">
        <v>0</v>
      </c>
      <c r="H189" s="112" t="b">
        <v>0</v>
      </c>
      <c r="I189" s="112" t="b">
        <v>0</v>
      </c>
      <c r="J189" s="112" t="b">
        <v>0</v>
      </c>
      <c r="K189" s="112" t="b">
        <v>0</v>
      </c>
      <c r="L189" s="112" t="b">
        <v>0</v>
      </c>
    </row>
    <row r="190" spans="1:12" ht="15">
      <c r="A190" s="112" t="s">
        <v>2421</v>
      </c>
      <c r="B190" s="112" t="s">
        <v>2372</v>
      </c>
      <c r="C190" s="112">
        <v>6</v>
      </c>
      <c r="D190" s="114">
        <v>0.0010013519592298706</v>
      </c>
      <c r="E190" s="114">
        <v>3.230010756402243</v>
      </c>
      <c r="F190" s="112" t="s">
        <v>3314</v>
      </c>
      <c r="G190" s="112" t="b">
        <v>0</v>
      </c>
      <c r="H190" s="112" t="b">
        <v>0</v>
      </c>
      <c r="I190" s="112" t="b">
        <v>0</v>
      </c>
      <c r="J190" s="112" t="b">
        <v>0</v>
      </c>
      <c r="K190" s="112" t="b">
        <v>0</v>
      </c>
      <c r="L190" s="112" t="b">
        <v>0</v>
      </c>
    </row>
    <row r="191" spans="1:12" ht="15">
      <c r="A191" s="112" t="s">
        <v>2303</v>
      </c>
      <c r="B191" s="112" t="s">
        <v>2304</v>
      </c>
      <c r="C191" s="112">
        <v>6</v>
      </c>
      <c r="D191" s="114">
        <v>0.0008534983267819426</v>
      </c>
      <c r="E191" s="114">
        <v>2.944775027921494</v>
      </c>
      <c r="F191" s="112" t="s">
        <v>3314</v>
      </c>
      <c r="G191" s="112" t="b">
        <v>0</v>
      </c>
      <c r="H191" s="112" t="b">
        <v>0</v>
      </c>
      <c r="I191" s="112" t="b">
        <v>0</v>
      </c>
      <c r="J191" s="112" t="b">
        <v>0</v>
      </c>
      <c r="K191" s="112" t="b">
        <v>0</v>
      </c>
      <c r="L191" s="112" t="b">
        <v>0</v>
      </c>
    </row>
    <row r="192" spans="1:12" ht="15">
      <c r="A192" s="112" t="s">
        <v>2082</v>
      </c>
      <c r="B192" s="112" t="s">
        <v>2379</v>
      </c>
      <c r="C192" s="112">
        <v>6</v>
      </c>
      <c r="D192" s="114">
        <v>0.0008534983267819426</v>
      </c>
      <c r="E192" s="114">
        <v>1.8810572084210793</v>
      </c>
      <c r="F192" s="112" t="s">
        <v>3314</v>
      </c>
      <c r="G192" s="112" t="b">
        <v>0</v>
      </c>
      <c r="H192" s="112" t="b">
        <v>0</v>
      </c>
      <c r="I192" s="112" t="b">
        <v>0</v>
      </c>
      <c r="J192" s="112" t="b">
        <v>1</v>
      </c>
      <c r="K192" s="112" t="b">
        <v>0</v>
      </c>
      <c r="L192" s="112" t="b">
        <v>0</v>
      </c>
    </row>
    <row r="193" spans="1:12" ht="15">
      <c r="A193" s="112" t="s">
        <v>2379</v>
      </c>
      <c r="B193" s="112" t="s">
        <v>2082</v>
      </c>
      <c r="C193" s="112">
        <v>6</v>
      </c>
      <c r="D193" s="114">
        <v>0.0008534983267819426</v>
      </c>
      <c r="E193" s="114">
        <v>1.907791461668324</v>
      </c>
      <c r="F193" s="112" t="s">
        <v>3314</v>
      </c>
      <c r="G193" s="112" t="b">
        <v>1</v>
      </c>
      <c r="H193" s="112" t="b">
        <v>0</v>
      </c>
      <c r="I193" s="112" t="b">
        <v>0</v>
      </c>
      <c r="J193" s="112" t="b">
        <v>0</v>
      </c>
      <c r="K193" s="112" t="b">
        <v>0</v>
      </c>
      <c r="L193" s="112" t="b">
        <v>0</v>
      </c>
    </row>
    <row r="194" spans="1:12" ht="15">
      <c r="A194" s="112" t="s">
        <v>2083</v>
      </c>
      <c r="B194" s="112" t="s">
        <v>2341</v>
      </c>
      <c r="C194" s="112">
        <v>5</v>
      </c>
      <c r="D194" s="114">
        <v>0.0007436574326193763</v>
      </c>
      <c r="E194" s="114">
        <v>1.8251770397823053</v>
      </c>
      <c r="F194" s="112" t="s">
        <v>3314</v>
      </c>
      <c r="G194" s="112" t="b">
        <v>0</v>
      </c>
      <c r="H194" s="112" t="b">
        <v>0</v>
      </c>
      <c r="I194" s="112" t="b">
        <v>0</v>
      </c>
      <c r="J194" s="112" t="b">
        <v>0</v>
      </c>
      <c r="K194" s="112" t="b">
        <v>0</v>
      </c>
      <c r="L194" s="112" t="b">
        <v>0</v>
      </c>
    </row>
    <row r="195" spans="1:12" ht="15">
      <c r="A195" s="112" t="s">
        <v>2079</v>
      </c>
      <c r="B195" s="112" t="s">
        <v>2086</v>
      </c>
      <c r="C195" s="112">
        <v>5</v>
      </c>
      <c r="D195" s="114">
        <v>0.0007436574326193763</v>
      </c>
      <c r="E195" s="114">
        <v>0.3352517620303511</v>
      </c>
      <c r="F195" s="112" t="s">
        <v>3314</v>
      </c>
      <c r="G195" s="112" t="b">
        <v>0</v>
      </c>
      <c r="H195" s="112" t="b">
        <v>0</v>
      </c>
      <c r="I195" s="112" t="b">
        <v>0</v>
      </c>
      <c r="J195" s="112" t="b">
        <v>0</v>
      </c>
      <c r="K195" s="112" t="b">
        <v>0</v>
      </c>
      <c r="L195" s="112" t="b">
        <v>0</v>
      </c>
    </row>
    <row r="196" spans="1:12" ht="15">
      <c r="A196" s="112" t="s">
        <v>2084</v>
      </c>
      <c r="B196" s="112" t="s">
        <v>2078</v>
      </c>
      <c r="C196" s="112">
        <v>5</v>
      </c>
      <c r="D196" s="114">
        <v>0.0007436574326193763</v>
      </c>
      <c r="E196" s="114">
        <v>0.2206812906286388</v>
      </c>
      <c r="F196" s="112" t="s">
        <v>3314</v>
      </c>
      <c r="G196" s="112" t="b">
        <v>0</v>
      </c>
      <c r="H196" s="112" t="b">
        <v>1</v>
      </c>
      <c r="I196" s="112" t="b">
        <v>0</v>
      </c>
      <c r="J196" s="112" t="b">
        <v>0</v>
      </c>
      <c r="K196" s="112" t="b">
        <v>0</v>
      </c>
      <c r="L196" s="112" t="b">
        <v>0</v>
      </c>
    </row>
    <row r="197" spans="1:12" ht="15">
      <c r="A197" s="112" t="s">
        <v>2078</v>
      </c>
      <c r="B197" s="112" t="s">
        <v>2176</v>
      </c>
      <c r="C197" s="112">
        <v>5</v>
      </c>
      <c r="D197" s="114">
        <v>0.0007436574326193763</v>
      </c>
      <c r="E197" s="114">
        <v>1.0439427967558412</v>
      </c>
      <c r="F197" s="112" t="s">
        <v>3314</v>
      </c>
      <c r="G197" s="112" t="b">
        <v>0</v>
      </c>
      <c r="H197" s="112" t="b">
        <v>0</v>
      </c>
      <c r="I197" s="112" t="b">
        <v>0</v>
      </c>
      <c r="J197" s="112" t="b">
        <v>0</v>
      </c>
      <c r="K197" s="112" t="b">
        <v>0</v>
      </c>
      <c r="L197" s="112" t="b">
        <v>0</v>
      </c>
    </row>
    <row r="198" spans="1:12" ht="15">
      <c r="A198" s="112" t="s">
        <v>2078</v>
      </c>
      <c r="B198" s="112" t="s">
        <v>2086</v>
      </c>
      <c r="C198" s="112">
        <v>5</v>
      </c>
      <c r="D198" s="114">
        <v>0.0007436574326193763</v>
      </c>
      <c r="E198" s="114">
        <v>0.23696522019349142</v>
      </c>
      <c r="F198" s="112" t="s">
        <v>3314</v>
      </c>
      <c r="G198" s="112" t="b">
        <v>0</v>
      </c>
      <c r="H198" s="112" t="b">
        <v>0</v>
      </c>
      <c r="I198" s="112" t="b">
        <v>0</v>
      </c>
      <c r="J198" s="112" t="b">
        <v>0</v>
      </c>
      <c r="K198" s="112" t="b">
        <v>0</v>
      </c>
      <c r="L198" s="112" t="b">
        <v>0</v>
      </c>
    </row>
    <row r="199" spans="1:12" ht="15">
      <c r="A199" s="112" t="s">
        <v>2079</v>
      </c>
      <c r="B199" s="112" t="s">
        <v>2150</v>
      </c>
      <c r="C199" s="112">
        <v>5</v>
      </c>
      <c r="D199" s="114">
        <v>0.0007436574326193763</v>
      </c>
      <c r="E199" s="114">
        <v>0.9747382512989372</v>
      </c>
      <c r="F199" s="112" t="s">
        <v>3314</v>
      </c>
      <c r="G199" s="112" t="b">
        <v>0</v>
      </c>
      <c r="H199" s="112" t="b">
        <v>0</v>
      </c>
      <c r="I199" s="112" t="b">
        <v>0</v>
      </c>
      <c r="J199" s="112" t="b">
        <v>0</v>
      </c>
      <c r="K199" s="112" t="b">
        <v>0</v>
      </c>
      <c r="L199" s="112" t="b">
        <v>0</v>
      </c>
    </row>
    <row r="200" spans="1:12" ht="15">
      <c r="A200" s="112" t="s">
        <v>2079</v>
      </c>
      <c r="B200" s="112" t="s">
        <v>2157</v>
      </c>
      <c r="C200" s="112">
        <v>5</v>
      </c>
      <c r="D200" s="114">
        <v>0.0007833226311328244</v>
      </c>
      <c r="E200" s="114">
        <v>1.010950423953382</v>
      </c>
      <c r="F200" s="112" t="s">
        <v>3314</v>
      </c>
      <c r="G200" s="112" t="b">
        <v>0</v>
      </c>
      <c r="H200" s="112" t="b">
        <v>0</v>
      </c>
      <c r="I200" s="112" t="b">
        <v>0</v>
      </c>
      <c r="J200" s="112" t="b">
        <v>0</v>
      </c>
      <c r="K200" s="112" t="b">
        <v>0</v>
      </c>
      <c r="L200" s="112" t="b">
        <v>0</v>
      </c>
    </row>
    <row r="201" spans="1:12" ht="15">
      <c r="A201" s="112" t="s">
        <v>2098</v>
      </c>
      <c r="B201" s="112" t="s">
        <v>2087</v>
      </c>
      <c r="C201" s="112">
        <v>5</v>
      </c>
      <c r="D201" s="114">
        <v>0.0007833226311328244</v>
      </c>
      <c r="E201" s="114">
        <v>1.0286136320817918</v>
      </c>
      <c r="F201" s="112" t="s">
        <v>3314</v>
      </c>
      <c r="G201" s="112" t="b">
        <v>1</v>
      </c>
      <c r="H201" s="112" t="b">
        <v>0</v>
      </c>
      <c r="I201" s="112" t="b">
        <v>0</v>
      </c>
      <c r="J201" s="112" t="b">
        <v>0</v>
      </c>
      <c r="K201" s="112" t="b">
        <v>0</v>
      </c>
      <c r="L201" s="112" t="b">
        <v>0</v>
      </c>
    </row>
    <row r="202" spans="1:12" ht="15">
      <c r="A202" s="112" t="s">
        <v>2098</v>
      </c>
      <c r="B202" s="112" t="s">
        <v>2078</v>
      </c>
      <c r="C202" s="112">
        <v>5</v>
      </c>
      <c r="D202" s="114">
        <v>0.0007833226311328244</v>
      </c>
      <c r="E202" s="114">
        <v>0.5755866670754746</v>
      </c>
      <c r="F202" s="112" t="s">
        <v>3314</v>
      </c>
      <c r="G202" s="112" t="b">
        <v>1</v>
      </c>
      <c r="H202" s="112" t="b">
        <v>0</v>
      </c>
      <c r="I202" s="112" t="b">
        <v>0</v>
      </c>
      <c r="J202" s="112" t="b">
        <v>0</v>
      </c>
      <c r="K202" s="112" t="b">
        <v>0</v>
      </c>
      <c r="L202" s="112" t="b">
        <v>0</v>
      </c>
    </row>
    <row r="203" spans="1:12" ht="15">
      <c r="A203" s="112" t="s">
        <v>2078</v>
      </c>
      <c r="B203" s="112" t="s">
        <v>2098</v>
      </c>
      <c r="C203" s="112">
        <v>5</v>
      </c>
      <c r="D203" s="114">
        <v>0.0007436574326193763</v>
      </c>
      <c r="E203" s="114">
        <v>0.5419979583111465</v>
      </c>
      <c r="F203" s="112" t="s">
        <v>3314</v>
      </c>
      <c r="G203" s="112" t="b">
        <v>0</v>
      </c>
      <c r="H203" s="112" t="b">
        <v>0</v>
      </c>
      <c r="I203" s="112" t="b">
        <v>0</v>
      </c>
      <c r="J203" s="112" t="b">
        <v>1</v>
      </c>
      <c r="K203" s="112" t="b">
        <v>0</v>
      </c>
      <c r="L203" s="112" t="b">
        <v>0</v>
      </c>
    </row>
    <row r="204" spans="1:12" ht="15">
      <c r="A204" s="112" t="s">
        <v>2087</v>
      </c>
      <c r="B204" s="112" t="s">
        <v>2157</v>
      </c>
      <c r="C204" s="112">
        <v>5</v>
      </c>
      <c r="D204" s="114">
        <v>0.0007833226311328244</v>
      </c>
      <c r="E204" s="114">
        <v>1.3789272092479763</v>
      </c>
      <c r="F204" s="112" t="s">
        <v>3314</v>
      </c>
      <c r="G204" s="112" t="b">
        <v>0</v>
      </c>
      <c r="H204" s="112" t="b">
        <v>0</v>
      </c>
      <c r="I204" s="112" t="b">
        <v>0</v>
      </c>
      <c r="J204" s="112" t="b">
        <v>0</v>
      </c>
      <c r="K204" s="112" t="b">
        <v>0</v>
      </c>
      <c r="L204" s="112" t="b">
        <v>0</v>
      </c>
    </row>
    <row r="205" spans="1:12" ht="15">
      <c r="A205" s="112" t="s">
        <v>2166</v>
      </c>
      <c r="B205" s="112" t="s">
        <v>2078</v>
      </c>
      <c r="C205" s="112">
        <v>5</v>
      </c>
      <c r="D205" s="114">
        <v>0.0007833226311328244</v>
      </c>
      <c r="E205" s="114">
        <v>0.9988325410122825</v>
      </c>
      <c r="F205" s="112" t="s">
        <v>3314</v>
      </c>
      <c r="G205" s="112" t="b">
        <v>0</v>
      </c>
      <c r="H205" s="112" t="b">
        <v>0</v>
      </c>
      <c r="I205" s="112" t="b">
        <v>0</v>
      </c>
      <c r="J205" s="112" t="b">
        <v>0</v>
      </c>
      <c r="K205" s="112" t="b">
        <v>0</v>
      </c>
      <c r="L205" s="112" t="b">
        <v>0</v>
      </c>
    </row>
    <row r="206" spans="1:12" ht="15">
      <c r="A206" s="112" t="s">
        <v>2087</v>
      </c>
      <c r="B206" s="112" t="s">
        <v>2078</v>
      </c>
      <c r="C206" s="112">
        <v>5</v>
      </c>
      <c r="D206" s="114">
        <v>0.0007833226311328244</v>
      </c>
      <c r="E206" s="114">
        <v>0.2664387811893139</v>
      </c>
      <c r="F206" s="112" t="s">
        <v>3314</v>
      </c>
      <c r="G206" s="112" t="b">
        <v>0</v>
      </c>
      <c r="H206" s="112" t="b">
        <v>0</v>
      </c>
      <c r="I206" s="112" t="b">
        <v>0</v>
      </c>
      <c r="J206" s="112" t="b">
        <v>0</v>
      </c>
      <c r="K206" s="112" t="b">
        <v>0</v>
      </c>
      <c r="L206" s="112" t="b">
        <v>0</v>
      </c>
    </row>
    <row r="207" spans="1:12" ht="15">
      <c r="A207" s="112" t="s">
        <v>2402</v>
      </c>
      <c r="B207" s="112" t="s">
        <v>2130</v>
      </c>
      <c r="C207" s="112">
        <v>5</v>
      </c>
      <c r="D207" s="114">
        <v>0.001029745351879371</v>
      </c>
      <c r="E207" s="114">
        <v>2.439625049601588</v>
      </c>
      <c r="F207" s="112" t="s">
        <v>3314</v>
      </c>
      <c r="G207" s="112" t="b">
        <v>0</v>
      </c>
      <c r="H207" s="112" t="b">
        <v>0</v>
      </c>
      <c r="I207" s="112" t="b">
        <v>0</v>
      </c>
      <c r="J207" s="112" t="b">
        <v>0</v>
      </c>
      <c r="K207" s="112" t="b">
        <v>0</v>
      </c>
      <c r="L207" s="112" t="b">
        <v>0</v>
      </c>
    </row>
    <row r="208" spans="1:12" ht="15">
      <c r="A208" s="112" t="s">
        <v>2194</v>
      </c>
      <c r="B208" s="112" t="s">
        <v>2229</v>
      </c>
      <c r="C208" s="112">
        <v>5</v>
      </c>
      <c r="D208" s="114">
        <v>0.0009065339915060977</v>
      </c>
      <c r="E208" s="114">
        <v>2.5188062956492128</v>
      </c>
      <c r="F208" s="112" t="s">
        <v>3314</v>
      </c>
      <c r="G208" s="112" t="b">
        <v>0</v>
      </c>
      <c r="H208" s="112" t="b">
        <v>0</v>
      </c>
      <c r="I208" s="112" t="b">
        <v>0</v>
      </c>
      <c r="J208" s="112" t="b">
        <v>0</v>
      </c>
      <c r="K208" s="112" t="b">
        <v>0</v>
      </c>
      <c r="L208" s="112" t="b">
        <v>0</v>
      </c>
    </row>
    <row r="209" spans="1:12" ht="15">
      <c r="A209" s="112" t="s">
        <v>2308</v>
      </c>
      <c r="B209" s="112" t="s">
        <v>2109</v>
      </c>
      <c r="C209" s="112">
        <v>5</v>
      </c>
      <c r="D209" s="114">
        <v>0.0008344599660248922</v>
      </c>
      <c r="E209" s="114">
        <v>2.208230982079001</v>
      </c>
      <c r="F209" s="112" t="s">
        <v>3314</v>
      </c>
      <c r="G209" s="112" t="b">
        <v>0</v>
      </c>
      <c r="H209" s="112" t="b">
        <v>0</v>
      </c>
      <c r="I209" s="112" t="b">
        <v>0</v>
      </c>
      <c r="J209" s="112" t="b">
        <v>0</v>
      </c>
      <c r="K209" s="112" t="b">
        <v>0</v>
      </c>
      <c r="L209" s="112" t="b">
        <v>0</v>
      </c>
    </row>
    <row r="210" spans="1:12" ht="15">
      <c r="A210" s="112" t="s">
        <v>2112</v>
      </c>
      <c r="B210" s="112" t="s">
        <v>2178</v>
      </c>
      <c r="C210" s="112">
        <v>5</v>
      </c>
      <c r="D210" s="114">
        <v>0.0008344599660248922</v>
      </c>
      <c r="E210" s="114">
        <v>1.9001772028880575</v>
      </c>
      <c r="F210" s="112" t="s">
        <v>3314</v>
      </c>
      <c r="G210" s="112" t="b">
        <v>0</v>
      </c>
      <c r="H210" s="112" t="b">
        <v>0</v>
      </c>
      <c r="I210" s="112" t="b">
        <v>0</v>
      </c>
      <c r="J210" s="112" t="b">
        <v>0</v>
      </c>
      <c r="K210" s="112" t="b">
        <v>0</v>
      </c>
      <c r="L210" s="112" t="b">
        <v>0</v>
      </c>
    </row>
    <row r="211" spans="1:12" ht="15">
      <c r="A211" s="112" t="s">
        <v>2174</v>
      </c>
      <c r="B211" s="112" t="s">
        <v>2174</v>
      </c>
      <c r="C211" s="112">
        <v>5</v>
      </c>
      <c r="D211" s="114">
        <v>0.0009065339915060977</v>
      </c>
      <c r="E211" s="114">
        <v>2.2635337905459068</v>
      </c>
      <c r="F211" s="112" t="s">
        <v>3314</v>
      </c>
      <c r="G211" s="112" t="b">
        <v>0</v>
      </c>
      <c r="H211" s="112" t="b">
        <v>0</v>
      </c>
      <c r="I211" s="112" t="b">
        <v>0</v>
      </c>
      <c r="J211" s="112" t="b">
        <v>0</v>
      </c>
      <c r="K211" s="112" t="b">
        <v>0</v>
      </c>
      <c r="L211" s="112" t="b">
        <v>0</v>
      </c>
    </row>
    <row r="212" spans="1:12" ht="15">
      <c r="A212" s="112" t="s">
        <v>2322</v>
      </c>
      <c r="B212" s="112" t="s">
        <v>2228</v>
      </c>
      <c r="C212" s="112">
        <v>5</v>
      </c>
      <c r="D212" s="114">
        <v>0.0007436574326193763</v>
      </c>
      <c r="E212" s="114">
        <v>2.7918075677129504</v>
      </c>
      <c r="F212" s="112" t="s">
        <v>3314</v>
      </c>
      <c r="G212" s="112" t="b">
        <v>0</v>
      </c>
      <c r="H212" s="112" t="b">
        <v>0</v>
      </c>
      <c r="I212" s="112" t="b">
        <v>0</v>
      </c>
      <c r="J212" s="112" t="b">
        <v>0</v>
      </c>
      <c r="K212" s="112" t="b">
        <v>1</v>
      </c>
      <c r="L212" s="112" t="b">
        <v>0</v>
      </c>
    </row>
    <row r="213" spans="1:12" ht="15">
      <c r="A213" s="112" t="s">
        <v>2084</v>
      </c>
      <c r="B213" s="112" t="s">
        <v>2091</v>
      </c>
      <c r="C213" s="112">
        <v>5</v>
      </c>
      <c r="D213" s="114">
        <v>0.0007833226311328244</v>
      </c>
      <c r="E213" s="114">
        <v>0.7810837023211774</v>
      </c>
      <c r="F213" s="112" t="s">
        <v>3314</v>
      </c>
      <c r="G213" s="112" t="b">
        <v>0</v>
      </c>
      <c r="H213" s="112" t="b">
        <v>1</v>
      </c>
      <c r="I213" s="112" t="b">
        <v>0</v>
      </c>
      <c r="J213" s="112" t="b">
        <v>0</v>
      </c>
      <c r="K213" s="112" t="b">
        <v>0</v>
      </c>
      <c r="L213" s="112" t="b">
        <v>0</v>
      </c>
    </row>
    <row r="214" spans="1:12" ht="15">
      <c r="A214" s="112" t="s">
        <v>2171</v>
      </c>
      <c r="B214" s="112" t="s">
        <v>2193</v>
      </c>
      <c r="C214" s="112">
        <v>5</v>
      </c>
      <c r="D214" s="114">
        <v>0.0007436574326193763</v>
      </c>
      <c r="E214" s="114">
        <v>2.2912052171437653</v>
      </c>
      <c r="F214" s="112" t="s">
        <v>3314</v>
      </c>
      <c r="G214" s="112" t="b">
        <v>0</v>
      </c>
      <c r="H214" s="112" t="b">
        <v>0</v>
      </c>
      <c r="I214" s="112" t="b">
        <v>0</v>
      </c>
      <c r="J214" s="112" t="b">
        <v>0</v>
      </c>
      <c r="K214" s="112" t="b">
        <v>0</v>
      </c>
      <c r="L214" s="112" t="b">
        <v>0</v>
      </c>
    </row>
    <row r="215" spans="1:12" ht="15">
      <c r="A215" s="112" t="s">
        <v>2193</v>
      </c>
      <c r="B215" s="112" t="s">
        <v>2171</v>
      </c>
      <c r="C215" s="112">
        <v>5</v>
      </c>
      <c r="D215" s="114">
        <v>0.0007436574326193763</v>
      </c>
      <c r="E215" s="114">
        <v>2.4218962826411565</v>
      </c>
      <c r="F215" s="112" t="s">
        <v>3314</v>
      </c>
      <c r="G215" s="112" t="b">
        <v>0</v>
      </c>
      <c r="H215" s="112" t="b">
        <v>0</v>
      </c>
      <c r="I215" s="112" t="b">
        <v>0</v>
      </c>
      <c r="J215" s="112" t="b">
        <v>0</v>
      </c>
      <c r="K215" s="112" t="b">
        <v>0</v>
      </c>
      <c r="L215" s="112" t="b">
        <v>0</v>
      </c>
    </row>
    <row r="216" spans="1:12" ht="15">
      <c r="A216" s="112" t="s">
        <v>2171</v>
      </c>
      <c r="B216" s="112" t="s">
        <v>2326</v>
      </c>
      <c r="C216" s="112">
        <v>5</v>
      </c>
      <c r="D216" s="114">
        <v>0.0007436574326193763</v>
      </c>
      <c r="E216" s="114">
        <v>2.592235212807746</v>
      </c>
      <c r="F216" s="112" t="s">
        <v>3314</v>
      </c>
      <c r="G216" s="112" t="b">
        <v>0</v>
      </c>
      <c r="H216" s="112" t="b">
        <v>0</v>
      </c>
      <c r="I216" s="112" t="b">
        <v>0</v>
      </c>
      <c r="J216" s="112" t="b">
        <v>0</v>
      </c>
      <c r="K216" s="112" t="b">
        <v>0</v>
      </c>
      <c r="L216" s="112" t="b">
        <v>0</v>
      </c>
    </row>
    <row r="217" spans="1:12" ht="15">
      <c r="A217" s="112" t="s">
        <v>2267</v>
      </c>
      <c r="B217" s="112" t="s">
        <v>2086</v>
      </c>
      <c r="C217" s="112">
        <v>5</v>
      </c>
      <c r="D217" s="114">
        <v>0.0007436574326193763</v>
      </c>
      <c r="E217" s="114">
        <v>1.7366523028118952</v>
      </c>
      <c r="F217" s="112" t="s">
        <v>3314</v>
      </c>
      <c r="G217" s="112" t="b">
        <v>0</v>
      </c>
      <c r="H217" s="112" t="b">
        <v>0</v>
      </c>
      <c r="I217" s="112" t="b">
        <v>0</v>
      </c>
      <c r="J217" s="112" t="b">
        <v>0</v>
      </c>
      <c r="K217" s="112" t="b">
        <v>0</v>
      </c>
      <c r="L217" s="112" t="b">
        <v>0</v>
      </c>
    </row>
    <row r="218" spans="1:12" ht="15">
      <c r="A218" s="112" t="s">
        <v>2293</v>
      </c>
      <c r="B218" s="112" t="s">
        <v>2361</v>
      </c>
      <c r="C218" s="112">
        <v>5</v>
      </c>
      <c r="D218" s="114">
        <v>0.0007436574326193763</v>
      </c>
      <c r="E218" s="114">
        <v>2.974738251298937</v>
      </c>
      <c r="F218" s="112" t="s">
        <v>3314</v>
      </c>
      <c r="G218" s="112" t="b">
        <v>0</v>
      </c>
      <c r="H218" s="112" t="b">
        <v>0</v>
      </c>
      <c r="I218" s="112" t="b">
        <v>0</v>
      </c>
      <c r="J218" s="112" t="b">
        <v>0</v>
      </c>
      <c r="K218" s="112" t="b">
        <v>0</v>
      </c>
      <c r="L218" s="112" t="b">
        <v>0</v>
      </c>
    </row>
    <row r="219" spans="1:12" ht="15">
      <c r="A219" s="112" t="s">
        <v>2413</v>
      </c>
      <c r="B219" s="112" t="s">
        <v>2414</v>
      </c>
      <c r="C219" s="112">
        <v>5</v>
      </c>
      <c r="D219" s="114">
        <v>0.0007436574326193763</v>
      </c>
      <c r="E219" s="114">
        <v>3.2177762999852315</v>
      </c>
      <c r="F219" s="112" t="s">
        <v>3314</v>
      </c>
      <c r="G219" s="112" t="b">
        <v>0</v>
      </c>
      <c r="H219" s="112" t="b">
        <v>0</v>
      </c>
      <c r="I219" s="112" t="b">
        <v>0</v>
      </c>
      <c r="J219" s="112" t="b">
        <v>0</v>
      </c>
      <c r="K219" s="112" t="b">
        <v>0</v>
      </c>
      <c r="L219" s="112" t="b">
        <v>0</v>
      </c>
    </row>
    <row r="220" spans="1:12" ht="15">
      <c r="A220" s="112" t="s">
        <v>2094</v>
      </c>
      <c r="B220" s="112" t="s">
        <v>2257</v>
      </c>
      <c r="C220" s="112">
        <v>5</v>
      </c>
      <c r="D220" s="114">
        <v>0.0007436574326193763</v>
      </c>
      <c r="E220" s="114">
        <v>1.9228204520334435</v>
      </c>
      <c r="F220" s="112" t="s">
        <v>3314</v>
      </c>
      <c r="G220" s="112" t="b">
        <v>0</v>
      </c>
      <c r="H220" s="112" t="b">
        <v>0</v>
      </c>
      <c r="I220" s="112" t="b">
        <v>0</v>
      </c>
      <c r="J220" s="112" t="b">
        <v>0</v>
      </c>
      <c r="K220" s="112" t="b">
        <v>0</v>
      </c>
      <c r="L220" s="112" t="b">
        <v>0</v>
      </c>
    </row>
    <row r="221" spans="1:12" ht="15">
      <c r="A221" s="112" t="s">
        <v>2085</v>
      </c>
      <c r="B221" s="112" t="s">
        <v>2299</v>
      </c>
      <c r="C221" s="112">
        <v>5</v>
      </c>
      <c r="D221" s="114">
        <v>0.0007436574326193763</v>
      </c>
      <c r="E221" s="114">
        <v>1.7591384509595822</v>
      </c>
      <c r="F221" s="112" t="s">
        <v>3314</v>
      </c>
      <c r="G221" s="112" t="b">
        <v>0</v>
      </c>
      <c r="H221" s="112" t="b">
        <v>0</v>
      </c>
      <c r="I221" s="112" t="b">
        <v>0</v>
      </c>
      <c r="J221" s="112" t="b">
        <v>0</v>
      </c>
      <c r="K221" s="112" t="b">
        <v>0</v>
      </c>
      <c r="L221" s="112" t="b">
        <v>0</v>
      </c>
    </row>
    <row r="222" spans="1:12" ht="15">
      <c r="A222" s="112" t="s">
        <v>2476</v>
      </c>
      <c r="B222" s="112" t="s">
        <v>2477</v>
      </c>
      <c r="C222" s="112">
        <v>5</v>
      </c>
      <c r="D222" s="114">
        <v>0.0007436574326193763</v>
      </c>
      <c r="E222" s="114">
        <v>3.3761387920804813</v>
      </c>
      <c r="F222" s="112" t="s">
        <v>3314</v>
      </c>
      <c r="G222" s="112" t="b">
        <v>0</v>
      </c>
      <c r="H222" s="112" t="b">
        <v>0</v>
      </c>
      <c r="I222" s="112" t="b">
        <v>0</v>
      </c>
      <c r="J222" s="112" t="b">
        <v>0</v>
      </c>
      <c r="K222" s="112" t="b">
        <v>0</v>
      </c>
      <c r="L222" s="112" t="b">
        <v>0</v>
      </c>
    </row>
    <row r="223" spans="1:12" ht="15">
      <c r="A223" s="112" t="s">
        <v>2247</v>
      </c>
      <c r="B223" s="112" t="s">
        <v>2083</v>
      </c>
      <c r="C223" s="112">
        <v>5</v>
      </c>
      <c r="D223" s="114">
        <v>0.0008344599660248922</v>
      </c>
      <c r="E223" s="114">
        <v>1.639264430432059</v>
      </c>
      <c r="F223" s="112" t="s">
        <v>3314</v>
      </c>
      <c r="G223" s="112" t="b">
        <v>0</v>
      </c>
      <c r="H223" s="112" t="b">
        <v>0</v>
      </c>
      <c r="I223" s="112" t="b">
        <v>0</v>
      </c>
      <c r="J223" s="112" t="b">
        <v>0</v>
      </c>
      <c r="K223" s="112" t="b">
        <v>0</v>
      </c>
      <c r="L223" s="112" t="b">
        <v>0</v>
      </c>
    </row>
    <row r="224" spans="1:12" ht="15">
      <c r="A224" s="112" t="s">
        <v>2086</v>
      </c>
      <c r="B224" s="112" t="s">
        <v>2082</v>
      </c>
      <c r="C224" s="112">
        <v>5</v>
      </c>
      <c r="D224" s="114">
        <v>0.0008344599660248922</v>
      </c>
      <c r="E224" s="114">
        <v>0.6402845001480063</v>
      </c>
      <c r="F224" s="112" t="s">
        <v>3314</v>
      </c>
      <c r="G224" s="112" t="b">
        <v>0</v>
      </c>
      <c r="H224" s="112" t="b">
        <v>0</v>
      </c>
      <c r="I224" s="112" t="b">
        <v>0</v>
      </c>
      <c r="J224" s="112" t="b">
        <v>0</v>
      </c>
      <c r="K224" s="112" t="b">
        <v>0</v>
      </c>
      <c r="L224" s="112" t="b">
        <v>0</v>
      </c>
    </row>
    <row r="225" spans="1:12" ht="15">
      <c r="A225" s="112" t="s">
        <v>2375</v>
      </c>
      <c r="B225" s="112" t="s">
        <v>2480</v>
      </c>
      <c r="C225" s="112">
        <v>5</v>
      </c>
      <c r="D225" s="114">
        <v>0.0007833226311328244</v>
      </c>
      <c r="E225" s="114">
        <v>3.230010756402243</v>
      </c>
      <c r="F225" s="112" t="s">
        <v>3314</v>
      </c>
      <c r="G225" s="112" t="b">
        <v>0</v>
      </c>
      <c r="H225" s="112" t="b">
        <v>0</v>
      </c>
      <c r="I225" s="112" t="b">
        <v>0</v>
      </c>
      <c r="J225" s="112" t="b">
        <v>0</v>
      </c>
      <c r="K225" s="112" t="b">
        <v>0</v>
      </c>
      <c r="L225" s="112" t="b">
        <v>0</v>
      </c>
    </row>
    <row r="226" spans="1:12" ht="15">
      <c r="A226" s="112" t="s">
        <v>2089</v>
      </c>
      <c r="B226" s="112" t="s">
        <v>2238</v>
      </c>
      <c r="C226" s="112">
        <v>5</v>
      </c>
      <c r="D226" s="114">
        <v>0.0007436574326193763</v>
      </c>
      <c r="E226" s="114">
        <v>1.7736447232732002</v>
      </c>
      <c r="F226" s="112" t="s">
        <v>3314</v>
      </c>
      <c r="G226" s="112" t="b">
        <v>0</v>
      </c>
      <c r="H226" s="112" t="b">
        <v>0</v>
      </c>
      <c r="I226" s="112" t="b">
        <v>0</v>
      </c>
      <c r="J226" s="112" t="b">
        <v>0</v>
      </c>
      <c r="K226" s="112" t="b">
        <v>0</v>
      </c>
      <c r="L226" s="112" t="b">
        <v>0</v>
      </c>
    </row>
    <row r="227" spans="1:12" ht="15">
      <c r="A227" s="112" t="s">
        <v>2483</v>
      </c>
      <c r="B227" s="112" t="s">
        <v>2425</v>
      </c>
      <c r="C227" s="112">
        <v>5</v>
      </c>
      <c r="D227" s="114">
        <v>0.001029745351879371</v>
      </c>
      <c r="E227" s="114">
        <v>3.2969575460328566</v>
      </c>
      <c r="F227" s="112" t="s">
        <v>3314</v>
      </c>
      <c r="G227" s="112" t="b">
        <v>0</v>
      </c>
      <c r="H227" s="112" t="b">
        <v>0</v>
      </c>
      <c r="I227" s="112" t="b">
        <v>0</v>
      </c>
      <c r="J227" s="112" t="b">
        <v>0</v>
      </c>
      <c r="K227" s="112" t="b">
        <v>0</v>
      </c>
      <c r="L227" s="112" t="b">
        <v>0</v>
      </c>
    </row>
    <row r="228" spans="1:12" ht="15">
      <c r="A228" s="112" t="s">
        <v>2496</v>
      </c>
      <c r="B228" s="112" t="s">
        <v>2497</v>
      </c>
      <c r="C228" s="112">
        <v>5</v>
      </c>
      <c r="D228" s="114">
        <v>0.001029745351879371</v>
      </c>
      <c r="E228" s="114">
        <v>3.3761387920804813</v>
      </c>
      <c r="F228" s="112" t="s">
        <v>3314</v>
      </c>
      <c r="G228" s="112" t="b">
        <v>0</v>
      </c>
      <c r="H228" s="112" t="b">
        <v>0</v>
      </c>
      <c r="I228" s="112" t="b">
        <v>0</v>
      </c>
      <c r="J228" s="112" t="b">
        <v>0</v>
      </c>
      <c r="K228" s="112" t="b">
        <v>0</v>
      </c>
      <c r="L228" s="112" t="b">
        <v>0</v>
      </c>
    </row>
    <row r="229" spans="1:12" ht="15">
      <c r="A229" s="112" t="s">
        <v>2390</v>
      </c>
      <c r="B229" s="112" t="s">
        <v>2498</v>
      </c>
      <c r="C229" s="112">
        <v>5</v>
      </c>
      <c r="D229" s="114">
        <v>0.001029745351879371</v>
      </c>
      <c r="E229" s="114">
        <v>3.2969575460328566</v>
      </c>
      <c r="F229" s="112" t="s">
        <v>3314</v>
      </c>
      <c r="G229" s="112" t="b">
        <v>0</v>
      </c>
      <c r="H229" s="112" t="b">
        <v>0</v>
      </c>
      <c r="I229" s="112" t="b">
        <v>0</v>
      </c>
      <c r="J229" s="112" t="b">
        <v>0</v>
      </c>
      <c r="K229" s="112" t="b">
        <v>0</v>
      </c>
      <c r="L229" s="112" t="b">
        <v>0</v>
      </c>
    </row>
    <row r="230" spans="1:12" ht="15">
      <c r="A230" s="112" t="s">
        <v>2304</v>
      </c>
      <c r="B230" s="112" t="s">
        <v>2339</v>
      </c>
      <c r="C230" s="112">
        <v>5</v>
      </c>
      <c r="D230" s="114">
        <v>0.0007436574326193763</v>
      </c>
      <c r="E230" s="114">
        <v>2.9167463043212503</v>
      </c>
      <c r="F230" s="112" t="s">
        <v>3314</v>
      </c>
      <c r="G230" s="112" t="b">
        <v>0</v>
      </c>
      <c r="H230" s="112" t="b">
        <v>0</v>
      </c>
      <c r="I230" s="112" t="b">
        <v>0</v>
      </c>
      <c r="J230" s="112" t="b">
        <v>0</v>
      </c>
      <c r="K230" s="112" t="b">
        <v>0</v>
      </c>
      <c r="L230" s="112" t="b">
        <v>0</v>
      </c>
    </row>
    <row r="231" spans="1:12" ht="15">
      <c r="A231" s="112" t="s">
        <v>2250</v>
      </c>
      <c r="B231" s="112" t="s">
        <v>2082</v>
      </c>
      <c r="C231" s="112">
        <v>5</v>
      </c>
      <c r="D231" s="114">
        <v>0.001029745351879371</v>
      </c>
      <c r="E231" s="114">
        <v>1.632315570476731</v>
      </c>
      <c r="F231" s="112" t="s">
        <v>3314</v>
      </c>
      <c r="G231" s="112" t="b">
        <v>0</v>
      </c>
      <c r="H231" s="112" t="b">
        <v>0</v>
      </c>
      <c r="I231" s="112" t="b">
        <v>0</v>
      </c>
      <c r="J231" s="112" t="b">
        <v>0</v>
      </c>
      <c r="K231" s="112" t="b">
        <v>0</v>
      </c>
      <c r="L231" s="112" t="b">
        <v>0</v>
      </c>
    </row>
    <row r="232" spans="1:12" ht="15">
      <c r="A232" s="112" t="s">
        <v>2276</v>
      </c>
      <c r="B232" s="112" t="s">
        <v>2090</v>
      </c>
      <c r="C232" s="112">
        <v>4</v>
      </c>
      <c r="D232" s="114">
        <v>0.0006675679728199138</v>
      </c>
      <c r="E232" s="114">
        <v>1.7884278270615699</v>
      </c>
      <c r="F232" s="112" t="s">
        <v>3314</v>
      </c>
      <c r="G232" s="112" t="b">
        <v>0</v>
      </c>
      <c r="H232" s="112" t="b">
        <v>0</v>
      </c>
      <c r="I232" s="112" t="b">
        <v>0</v>
      </c>
      <c r="J232" s="112" t="b">
        <v>0</v>
      </c>
      <c r="K232" s="112" t="b">
        <v>0</v>
      </c>
      <c r="L232" s="112" t="b">
        <v>0</v>
      </c>
    </row>
    <row r="233" spans="1:12" ht="15">
      <c r="A233" s="112" t="s">
        <v>2503</v>
      </c>
      <c r="B233" s="112" t="s">
        <v>2251</v>
      </c>
      <c r="C233" s="112">
        <v>4</v>
      </c>
      <c r="D233" s="114">
        <v>0.0008237962815034968</v>
      </c>
      <c r="E233" s="114">
        <v>3.0751087964165</v>
      </c>
      <c r="F233" s="112" t="s">
        <v>3314</v>
      </c>
      <c r="G233" s="112" t="b">
        <v>0</v>
      </c>
      <c r="H233" s="112" t="b">
        <v>0</v>
      </c>
      <c r="I233" s="112" t="b">
        <v>0</v>
      </c>
      <c r="J233" s="112" t="b">
        <v>0</v>
      </c>
      <c r="K233" s="112" t="b">
        <v>0</v>
      </c>
      <c r="L233" s="112" t="b">
        <v>0</v>
      </c>
    </row>
    <row r="234" spans="1:12" ht="15">
      <c r="A234" s="112" t="s">
        <v>2135</v>
      </c>
      <c r="B234" s="112" t="s">
        <v>2165</v>
      </c>
      <c r="C234" s="112">
        <v>4</v>
      </c>
      <c r="D234" s="114">
        <v>0.0006675679728199138</v>
      </c>
      <c r="E234" s="114">
        <v>1.8709888137605752</v>
      </c>
      <c r="F234" s="112" t="s">
        <v>3314</v>
      </c>
      <c r="G234" s="112" t="b">
        <v>0</v>
      </c>
      <c r="H234" s="112" t="b">
        <v>0</v>
      </c>
      <c r="I234" s="112" t="b">
        <v>0</v>
      </c>
      <c r="J234" s="112" t="b">
        <v>0</v>
      </c>
      <c r="K234" s="112" t="b">
        <v>0</v>
      </c>
      <c r="L234" s="112" t="b">
        <v>0</v>
      </c>
    </row>
    <row r="235" spans="1:12" ht="15">
      <c r="A235" s="112" t="s">
        <v>2506</v>
      </c>
      <c r="B235" s="112" t="s">
        <v>2078</v>
      </c>
      <c r="C235" s="112">
        <v>4</v>
      </c>
      <c r="D235" s="114">
        <v>0.0006266581049062596</v>
      </c>
      <c r="E235" s="114">
        <v>1.6008925323402448</v>
      </c>
      <c r="F235" s="112" t="s">
        <v>3314</v>
      </c>
      <c r="G235" s="112" t="b">
        <v>0</v>
      </c>
      <c r="H235" s="112" t="b">
        <v>0</v>
      </c>
      <c r="I235" s="112" t="b">
        <v>0</v>
      </c>
      <c r="J235" s="112" t="b">
        <v>0</v>
      </c>
      <c r="K235" s="112" t="b">
        <v>0</v>
      </c>
      <c r="L235" s="112" t="b">
        <v>0</v>
      </c>
    </row>
    <row r="236" spans="1:12" ht="15">
      <c r="A236" s="112" t="s">
        <v>2078</v>
      </c>
      <c r="B236" s="112" t="s">
        <v>2432</v>
      </c>
      <c r="C236" s="112">
        <v>4</v>
      </c>
      <c r="D236" s="114">
        <v>0.0006266581049062596</v>
      </c>
      <c r="E236" s="114">
        <v>1.47851170079004</v>
      </c>
      <c r="F236" s="112" t="s">
        <v>3314</v>
      </c>
      <c r="G236" s="112" t="b">
        <v>0</v>
      </c>
      <c r="H236" s="112" t="b">
        <v>0</v>
      </c>
      <c r="I236" s="112" t="b">
        <v>0</v>
      </c>
      <c r="J236" s="112" t="b">
        <v>0</v>
      </c>
      <c r="K236" s="112" t="b">
        <v>0</v>
      </c>
      <c r="L236" s="112" t="b">
        <v>0</v>
      </c>
    </row>
    <row r="237" spans="1:12" ht="15">
      <c r="A237" s="112" t="s">
        <v>2078</v>
      </c>
      <c r="B237" s="112" t="s">
        <v>2236</v>
      </c>
      <c r="C237" s="112">
        <v>4</v>
      </c>
      <c r="D237" s="114">
        <v>0.0006266581049062596</v>
      </c>
      <c r="E237" s="114">
        <v>1.1360890199678335</v>
      </c>
      <c r="F237" s="112" t="s">
        <v>3314</v>
      </c>
      <c r="G237" s="112" t="b">
        <v>0</v>
      </c>
      <c r="H237" s="112" t="b">
        <v>0</v>
      </c>
      <c r="I237" s="112" t="b">
        <v>0</v>
      </c>
      <c r="J237" s="112" t="b">
        <v>0</v>
      </c>
      <c r="K237" s="112" t="b">
        <v>0</v>
      </c>
      <c r="L237" s="112" t="b">
        <v>0</v>
      </c>
    </row>
    <row r="238" spans="1:12" ht="15">
      <c r="A238" s="112" t="s">
        <v>2149</v>
      </c>
      <c r="B238" s="112" t="s">
        <v>2344</v>
      </c>
      <c r="C238" s="112">
        <v>4</v>
      </c>
      <c r="D238" s="114">
        <v>0.0006675679728199138</v>
      </c>
      <c r="E238" s="114">
        <v>2.4518595060185997</v>
      </c>
      <c r="F238" s="112" t="s">
        <v>3314</v>
      </c>
      <c r="G238" s="112" t="b">
        <v>0</v>
      </c>
      <c r="H238" s="112" t="b">
        <v>0</v>
      </c>
      <c r="I238" s="112" t="b">
        <v>0</v>
      </c>
      <c r="J238" s="112" t="b">
        <v>0</v>
      </c>
      <c r="K238" s="112" t="b">
        <v>0</v>
      </c>
      <c r="L238" s="112" t="b">
        <v>0</v>
      </c>
    </row>
    <row r="239" spans="1:12" ht="15">
      <c r="A239" s="112" t="s">
        <v>2508</v>
      </c>
      <c r="B239" s="112" t="s">
        <v>2382</v>
      </c>
      <c r="C239" s="112">
        <v>4</v>
      </c>
      <c r="D239" s="114">
        <v>0.0008237962815034968</v>
      </c>
      <c r="E239" s="114">
        <v>3.2969575460328566</v>
      </c>
      <c r="F239" s="112" t="s">
        <v>3314</v>
      </c>
      <c r="G239" s="112" t="b">
        <v>0</v>
      </c>
      <c r="H239" s="112" t="b">
        <v>0</v>
      </c>
      <c r="I239" s="112" t="b">
        <v>0</v>
      </c>
      <c r="J239" s="112" t="b">
        <v>0</v>
      </c>
      <c r="K239" s="112" t="b">
        <v>0</v>
      </c>
      <c r="L239" s="112" t="b">
        <v>0</v>
      </c>
    </row>
    <row r="240" spans="1:12" ht="15">
      <c r="A240" s="112" t="s">
        <v>2140</v>
      </c>
      <c r="B240" s="112" t="s">
        <v>2078</v>
      </c>
      <c r="C240" s="112">
        <v>4</v>
      </c>
      <c r="D240" s="114">
        <v>0.0006675679728199138</v>
      </c>
      <c r="E240" s="114">
        <v>0.7405545257692511</v>
      </c>
      <c r="F240" s="112" t="s">
        <v>3314</v>
      </c>
      <c r="G240" s="112" t="b">
        <v>0</v>
      </c>
      <c r="H240" s="112" t="b">
        <v>0</v>
      </c>
      <c r="I240" s="112" t="b">
        <v>0</v>
      </c>
      <c r="J240" s="112" t="b">
        <v>0</v>
      </c>
      <c r="K240" s="112" t="b">
        <v>0</v>
      </c>
      <c r="L240" s="112" t="b">
        <v>0</v>
      </c>
    </row>
    <row r="241" spans="1:12" ht="15">
      <c r="A241" s="112" t="s">
        <v>2087</v>
      </c>
      <c r="B241" s="112" t="s">
        <v>2309</v>
      </c>
      <c r="C241" s="112">
        <v>4</v>
      </c>
      <c r="D241" s="114">
        <v>0.0006675679728199138</v>
      </c>
      <c r="E241" s="114">
        <v>1.7406550452655691</v>
      </c>
      <c r="F241" s="112" t="s">
        <v>3314</v>
      </c>
      <c r="G241" s="112" t="b">
        <v>0</v>
      </c>
      <c r="H241" s="112" t="b">
        <v>0</v>
      </c>
      <c r="I241" s="112" t="b">
        <v>0</v>
      </c>
      <c r="J241" s="112" t="b">
        <v>0</v>
      </c>
      <c r="K241" s="112" t="b">
        <v>0</v>
      </c>
      <c r="L241" s="112" t="b">
        <v>0</v>
      </c>
    </row>
    <row r="242" spans="1:12" ht="15">
      <c r="A242" s="112" t="s">
        <v>2383</v>
      </c>
      <c r="B242" s="112" t="s">
        <v>2512</v>
      </c>
      <c r="C242" s="112">
        <v>4</v>
      </c>
      <c r="D242" s="114">
        <v>0.0008237962815034968</v>
      </c>
      <c r="E242" s="114">
        <v>3.2969575460328566</v>
      </c>
      <c r="F242" s="112" t="s">
        <v>3314</v>
      </c>
      <c r="G242" s="112" t="b">
        <v>0</v>
      </c>
      <c r="H242" s="112" t="b">
        <v>0</v>
      </c>
      <c r="I242" s="112" t="b">
        <v>0</v>
      </c>
      <c r="J242" s="112" t="b">
        <v>0</v>
      </c>
      <c r="K242" s="112" t="b">
        <v>0</v>
      </c>
      <c r="L242" s="112" t="b">
        <v>0</v>
      </c>
    </row>
    <row r="243" spans="1:12" ht="15">
      <c r="A243" s="112" t="s">
        <v>2160</v>
      </c>
      <c r="B243" s="112" t="s">
        <v>2513</v>
      </c>
      <c r="C243" s="112">
        <v>4</v>
      </c>
      <c r="D243" s="114">
        <v>0.0006675679728199138</v>
      </c>
      <c r="E243" s="114">
        <v>2.752889501682581</v>
      </c>
      <c r="F243" s="112" t="s">
        <v>3314</v>
      </c>
      <c r="G243" s="112" t="b">
        <v>0</v>
      </c>
      <c r="H243" s="112" t="b">
        <v>1</v>
      </c>
      <c r="I243" s="112" t="b">
        <v>0</v>
      </c>
      <c r="J243" s="112" t="b">
        <v>0</v>
      </c>
      <c r="K243" s="112" t="b">
        <v>0</v>
      </c>
      <c r="L243" s="112" t="b">
        <v>0</v>
      </c>
    </row>
    <row r="244" spans="1:12" ht="15">
      <c r="A244" s="112" t="s">
        <v>2514</v>
      </c>
      <c r="B244" s="112" t="s">
        <v>2515</v>
      </c>
      <c r="C244" s="112">
        <v>4</v>
      </c>
      <c r="D244" s="114">
        <v>0.0006266581049062596</v>
      </c>
      <c r="E244" s="114">
        <v>3.4730488050885375</v>
      </c>
      <c r="F244" s="112" t="s">
        <v>3314</v>
      </c>
      <c r="G244" s="112" t="b">
        <v>0</v>
      </c>
      <c r="H244" s="112" t="b">
        <v>0</v>
      </c>
      <c r="I244" s="112" t="b">
        <v>0</v>
      </c>
      <c r="J244" s="112" t="b">
        <v>0</v>
      </c>
      <c r="K244" s="112" t="b">
        <v>0</v>
      </c>
      <c r="L244" s="112" t="b">
        <v>0</v>
      </c>
    </row>
    <row r="245" spans="1:12" ht="15">
      <c r="A245" s="112" t="s">
        <v>2084</v>
      </c>
      <c r="B245" s="112" t="s">
        <v>2087</v>
      </c>
      <c r="C245" s="112">
        <v>4</v>
      </c>
      <c r="D245" s="114">
        <v>0.0006266581049062596</v>
      </c>
      <c r="E245" s="114">
        <v>0.5767982426268996</v>
      </c>
      <c r="F245" s="112" t="s">
        <v>3314</v>
      </c>
      <c r="G245" s="112" t="b">
        <v>0</v>
      </c>
      <c r="H245" s="112" t="b">
        <v>1</v>
      </c>
      <c r="I245" s="112" t="b">
        <v>0</v>
      </c>
      <c r="J245" s="112" t="b">
        <v>0</v>
      </c>
      <c r="K245" s="112" t="b">
        <v>0</v>
      </c>
      <c r="L245" s="112" t="b">
        <v>0</v>
      </c>
    </row>
    <row r="246" spans="1:12" ht="15">
      <c r="A246" s="112" t="s">
        <v>2105</v>
      </c>
      <c r="B246" s="112" t="s">
        <v>2087</v>
      </c>
      <c r="C246" s="112">
        <v>4</v>
      </c>
      <c r="D246" s="114">
        <v>0.0006266581049062596</v>
      </c>
      <c r="E246" s="114">
        <v>0.9657834086460109</v>
      </c>
      <c r="F246" s="112" t="s">
        <v>3314</v>
      </c>
      <c r="G246" s="112" t="b">
        <v>0</v>
      </c>
      <c r="H246" s="112" t="b">
        <v>0</v>
      </c>
      <c r="I246" s="112" t="b">
        <v>0</v>
      </c>
      <c r="J246" s="112" t="b">
        <v>0</v>
      </c>
      <c r="K246" s="112" t="b">
        <v>0</v>
      </c>
      <c r="L246" s="112" t="b">
        <v>0</v>
      </c>
    </row>
    <row r="247" spans="1:12" ht="15">
      <c r="A247" s="112" t="s">
        <v>2087</v>
      </c>
      <c r="B247" s="112" t="s">
        <v>2258</v>
      </c>
      <c r="C247" s="112">
        <v>4</v>
      </c>
      <c r="D247" s="114">
        <v>0.0006266581049062596</v>
      </c>
      <c r="E247" s="114">
        <v>1.6437450322575127</v>
      </c>
      <c r="F247" s="112" t="s">
        <v>3314</v>
      </c>
      <c r="G247" s="112" t="b">
        <v>0</v>
      </c>
      <c r="H247" s="112" t="b">
        <v>0</v>
      </c>
      <c r="I247" s="112" t="b">
        <v>0</v>
      </c>
      <c r="J247" s="112" t="b">
        <v>0</v>
      </c>
      <c r="K247" s="112" t="b">
        <v>0</v>
      </c>
      <c r="L247" s="112" t="b">
        <v>0</v>
      </c>
    </row>
    <row r="248" spans="1:12" ht="15">
      <c r="A248" s="112" t="s">
        <v>2078</v>
      </c>
      <c r="B248" s="112" t="s">
        <v>2313</v>
      </c>
      <c r="C248" s="112">
        <v>4</v>
      </c>
      <c r="D248" s="114">
        <v>0.0006266581049062596</v>
      </c>
      <c r="E248" s="114">
        <v>1.274391718134115</v>
      </c>
      <c r="F248" s="112" t="s">
        <v>3314</v>
      </c>
      <c r="G248" s="112" t="b">
        <v>0</v>
      </c>
      <c r="H248" s="112" t="b">
        <v>0</v>
      </c>
      <c r="I248" s="112" t="b">
        <v>0</v>
      </c>
      <c r="J248" s="112" t="b">
        <v>0</v>
      </c>
      <c r="K248" s="112" t="b">
        <v>0</v>
      </c>
      <c r="L248" s="112" t="b">
        <v>0</v>
      </c>
    </row>
    <row r="249" spans="1:12" ht="15">
      <c r="A249" s="112" t="s">
        <v>2087</v>
      </c>
      <c r="B249" s="112" t="s">
        <v>2098</v>
      </c>
      <c r="C249" s="112">
        <v>4</v>
      </c>
      <c r="D249" s="114">
        <v>0.0006266581049062596</v>
      </c>
      <c r="E249" s="114">
        <v>0.9113512724345443</v>
      </c>
      <c r="F249" s="112" t="s">
        <v>3314</v>
      </c>
      <c r="G249" s="112" t="b">
        <v>0</v>
      </c>
      <c r="H249" s="112" t="b">
        <v>0</v>
      </c>
      <c r="I249" s="112" t="b">
        <v>0</v>
      </c>
      <c r="J249" s="112" t="b">
        <v>1</v>
      </c>
      <c r="K249" s="112" t="b">
        <v>0</v>
      </c>
      <c r="L249" s="112" t="b">
        <v>0</v>
      </c>
    </row>
    <row r="250" spans="1:12" ht="15">
      <c r="A250" s="112" t="s">
        <v>2087</v>
      </c>
      <c r="B250" s="112" t="s">
        <v>2092</v>
      </c>
      <c r="C250" s="112">
        <v>4</v>
      </c>
      <c r="D250" s="114">
        <v>0.0006266581049062596</v>
      </c>
      <c r="E250" s="114">
        <v>0.71432610654322</v>
      </c>
      <c r="F250" s="112" t="s">
        <v>3314</v>
      </c>
      <c r="G250" s="112" t="b">
        <v>0</v>
      </c>
      <c r="H250" s="112" t="b">
        <v>0</v>
      </c>
      <c r="I250" s="112" t="b">
        <v>0</v>
      </c>
      <c r="J250" s="112" t="b">
        <v>0</v>
      </c>
      <c r="K250" s="112" t="b">
        <v>0</v>
      </c>
      <c r="L250" s="112" t="b">
        <v>0</v>
      </c>
    </row>
    <row r="251" spans="1:12" ht="15">
      <c r="A251" s="112" t="s">
        <v>2177</v>
      </c>
      <c r="B251" s="112" t="s">
        <v>2098</v>
      </c>
      <c r="C251" s="112">
        <v>4</v>
      </c>
      <c r="D251" s="114">
        <v>0.0006266581049062596</v>
      </c>
      <c r="E251" s="114">
        <v>1.71432610654322</v>
      </c>
      <c r="F251" s="112" t="s">
        <v>3314</v>
      </c>
      <c r="G251" s="112" t="b">
        <v>0</v>
      </c>
      <c r="H251" s="112" t="b">
        <v>0</v>
      </c>
      <c r="I251" s="112" t="b">
        <v>0</v>
      </c>
      <c r="J251" s="112" t="b">
        <v>1</v>
      </c>
      <c r="K251" s="112" t="b">
        <v>0</v>
      </c>
      <c r="L251" s="112" t="b">
        <v>0</v>
      </c>
    </row>
    <row r="252" spans="1:12" ht="15">
      <c r="A252" s="112" t="s">
        <v>2078</v>
      </c>
      <c r="B252" s="112" t="s">
        <v>2157</v>
      </c>
      <c r="C252" s="112">
        <v>4</v>
      </c>
      <c r="D252" s="114">
        <v>0.0006266581049062596</v>
      </c>
      <c r="E252" s="114">
        <v>0.8157538691084657</v>
      </c>
      <c r="F252" s="112" t="s">
        <v>3314</v>
      </c>
      <c r="G252" s="112" t="b">
        <v>0</v>
      </c>
      <c r="H252" s="112" t="b">
        <v>0</v>
      </c>
      <c r="I252" s="112" t="b">
        <v>0</v>
      </c>
      <c r="J252" s="112" t="b">
        <v>0</v>
      </c>
      <c r="K252" s="112" t="b">
        <v>0</v>
      </c>
      <c r="L252" s="112" t="b">
        <v>0</v>
      </c>
    </row>
    <row r="253" spans="1:12" ht="15">
      <c r="A253" s="112" t="s">
        <v>2256</v>
      </c>
      <c r="B253" s="112" t="s">
        <v>2098</v>
      </c>
      <c r="C253" s="112">
        <v>4</v>
      </c>
      <c r="D253" s="114">
        <v>0.0006266581049062596</v>
      </c>
      <c r="E253" s="114">
        <v>1.944775027921494</v>
      </c>
      <c r="F253" s="112" t="s">
        <v>3314</v>
      </c>
      <c r="G253" s="112" t="b">
        <v>0</v>
      </c>
      <c r="H253" s="112" t="b">
        <v>0</v>
      </c>
      <c r="I253" s="112" t="b">
        <v>0</v>
      </c>
      <c r="J253" s="112" t="b">
        <v>1</v>
      </c>
      <c r="K253" s="112" t="b">
        <v>0</v>
      </c>
      <c r="L253" s="112" t="b">
        <v>0</v>
      </c>
    </row>
    <row r="254" spans="1:12" ht="15">
      <c r="A254" s="112" t="s">
        <v>2081</v>
      </c>
      <c r="B254" s="112" t="s">
        <v>2150</v>
      </c>
      <c r="C254" s="112">
        <v>4</v>
      </c>
      <c r="D254" s="114">
        <v>0.0006266581049062596</v>
      </c>
      <c r="E254" s="114">
        <v>1.043700332164876</v>
      </c>
      <c r="F254" s="112" t="s">
        <v>3314</v>
      </c>
      <c r="G254" s="112" t="b">
        <v>0</v>
      </c>
      <c r="H254" s="112" t="b">
        <v>0</v>
      </c>
      <c r="I254" s="112" t="b">
        <v>0</v>
      </c>
      <c r="J254" s="112" t="b">
        <v>0</v>
      </c>
      <c r="K254" s="112" t="b">
        <v>0</v>
      </c>
      <c r="L254" s="112" t="b">
        <v>0</v>
      </c>
    </row>
    <row r="255" spans="1:12" ht="15">
      <c r="A255" s="112" t="s">
        <v>2154</v>
      </c>
      <c r="B255" s="112" t="s">
        <v>2098</v>
      </c>
      <c r="C255" s="112">
        <v>4</v>
      </c>
      <c r="D255" s="114">
        <v>0.0006266581049062596</v>
      </c>
      <c r="E255" s="114">
        <v>1.583047191903901</v>
      </c>
      <c r="F255" s="112" t="s">
        <v>3314</v>
      </c>
      <c r="G255" s="112" t="b">
        <v>0</v>
      </c>
      <c r="H255" s="112" t="b">
        <v>0</v>
      </c>
      <c r="I255" s="112" t="b">
        <v>0</v>
      </c>
      <c r="J255" s="112" t="b">
        <v>1</v>
      </c>
      <c r="K255" s="112" t="b">
        <v>0</v>
      </c>
      <c r="L255" s="112" t="b">
        <v>0</v>
      </c>
    </row>
    <row r="256" spans="1:12" ht="15">
      <c r="A256" s="112" t="s">
        <v>2086</v>
      </c>
      <c r="B256" s="112" t="s">
        <v>2097</v>
      </c>
      <c r="C256" s="112">
        <v>4</v>
      </c>
      <c r="D256" s="114">
        <v>0.0006266581049062596</v>
      </c>
      <c r="E256" s="114">
        <v>0.8955570052513123</v>
      </c>
      <c r="F256" s="112" t="s">
        <v>3314</v>
      </c>
      <c r="G256" s="112" t="b">
        <v>0</v>
      </c>
      <c r="H256" s="112" t="b">
        <v>0</v>
      </c>
      <c r="I256" s="112" t="b">
        <v>0</v>
      </c>
      <c r="J256" s="112" t="b">
        <v>0</v>
      </c>
      <c r="K256" s="112" t="b">
        <v>0</v>
      </c>
      <c r="L256" s="112" t="b">
        <v>0</v>
      </c>
    </row>
    <row r="257" spans="1:12" ht="15">
      <c r="A257" s="112" t="s">
        <v>2206</v>
      </c>
      <c r="B257" s="112" t="s">
        <v>2108</v>
      </c>
      <c r="C257" s="112">
        <v>4</v>
      </c>
      <c r="D257" s="114">
        <v>0.0008237962815034968</v>
      </c>
      <c r="E257" s="114">
        <v>1.8589428941305068</v>
      </c>
      <c r="F257" s="112" t="s">
        <v>3314</v>
      </c>
      <c r="G257" s="112" t="b">
        <v>1</v>
      </c>
      <c r="H257" s="112" t="b">
        <v>0</v>
      </c>
      <c r="I257" s="112" t="b">
        <v>0</v>
      </c>
      <c r="J257" s="112" t="b">
        <v>0</v>
      </c>
      <c r="K257" s="112" t="b">
        <v>0</v>
      </c>
      <c r="L257" s="112" t="b">
        <v>0</v>
      </c>
    </row>
    <row r="258" spans="1:12" ht="15">
      <c r="A258" s="112" t="s">
        <v>2166</v>
      </c>
      <c r="B258" s="112" t="s">
        <v>2087</v>
      </c>
      <c r="C258" s="112">
        <v>4</v>
      </c>
      <c r="D258" s="114">
        <v>0.0006675679728199138</v>
      </c>
      <c r="E258" s="114">
        <v>1.3549494930105432</v>
      </c>
      <c r="F258" s="112" t="s">
        <v>3314</v>
      </c>
      <c r="G258" s="112" t="b">
        <v>0</v>
      </c>
      <c r="H258" s="112" t="b">
        <v>0</v>
      </c>
      <c r="I258" s="112" t="b">
        <v>0</v>
      </c>
      <c r="J258" s="112" t="b">
        <v>0</v>
      </c>
      <c r="K258" s="112" t="b">
        <v>0</v>
      </c>
      <c r="L258" s="112" t="b">
        <v>0</v>
      </c>
    </row>
    <row r="259" spans="1:12" ht="15">
      <c r="A259" s="112" t="s">
        <v>2135</v>
      </c>
      <c r="B259" s="112" t="s">
        <v>2205</v>
      </c>
      <c r="C259" s="112">
        <v>4</v>
      </c>
      <c r="D259" s="114">
        <v>0.0006266581049062596</v>
      </c>
      <c r="E259" s="114">
        <v>2.0258907737463185</v>
      </c>
      <c r="F259" s="112" t="s">
        <v>3314</v>
      </c>
      <c r="G259" s="112" t="b">
        <v>0</v>
      </c>
      <c r="H259" s="112" t="b">
        <v>0</v>
      </c>
      <c r="I259" s="112" t="b">
        <v>0</v>
      </c>
      <c r="J259" s="112" t="b">
        <v>0</v>
      </c>
      <c r="K259" s="112" t="b">
        <v>0</v>
      </c>
      <c r="L259" s="112" t="b">
        <v>0</v>
      </c>
    </row>
    <row r="260" spans="1:12" ht="15">
      <c r="A260" s="112" t="s">
        <v>2350</v>
      </c>
      <c r="B260" s="112" t="s">
        <v>2153</v>
      </c>
      <c r="C260" s="112">
        <v>4</v>
      </c>
      <c r="D260" s="114">
        <v>0.0006266581049062596</v>
      </c>
      <c r="E260" s="114">
        <v>2.434130739058168</v>
      </c>
      <c r="F260" s="112" t="s">
        <v>3314</v>
      </c>
      <c r="G260" s="112" t="b">
        <v>0</v>
      </c>
      <c r="H260" s="112" t="b">
        <v>0</v>
      </c>
      <c r="I260" s="112" t="b">
        <v>0</v>
      </c>
      <c r="J260" s="112" t="b">
        <v>0</v>
      </c>
      <c r="K260" s="112" t="b">
        <v>0</v>
      </c>
      <c r="L260" s="112" t="b">
        <v>0</v>
      </c>
    </row>
    <row r="261" spans="1:12" ht="15">
      <c r="A261" s="112" t="s">
        <v>2078</v>
      </c>
      <c r="B261" s="112" t="s">
        <v>2087</v>
      </c>
      <c r="C261" s="112">
        <v>4</v>
      </c>
      <c r="D261" s="114">
        <v>0.0006266581049062596</v>
      </c>
      <c r="E261" s="114">
        <v>0.15629240605612052</v>
      </c>
      <c r="F261" s="112" t="s">
        <v>3314</v>
      </c>
      <c r="G261" s="112" t="b">
        <v>0</v>
      </c>
      <c r="H261" s="112" t="b">
        <v>0</v>
      </c>
      <c r="I261" s="112" t="b">
        <v>0</v>
      </c>
      <c r="J261" s="112" t="b">
        <v>0</v>
      </c>
      <c r="K261" s="112" t="b">
        <v>0</v>
      </c>
      <c r="L261" s="112" t="b">
        <v>0</v>
      </c>
    </row>
    <row r="262" spans="1:12" ht="15">
      <c r="A262" s="112" t="s">
        <v>2310</v>
      </c>
      <c r="B262" s="112" t="s">
        <v>2315</v>
      </c>
      <c r="C262" s="112">
        <v>4</v>
      </c>
      <c r="D262" s="114">
        <v>0.0007252271932048783</v>
      </c>
      <c r="E262" s="114">
        <v>2.928980760738262</v>
      </c>
      <c r="F262" s="112" t="s">
        <v>3314</v>
      </c>
      <c r="G262" s="112" t="b">
        <v>0</v>
      </c>
      <c r="H262" s="112" t="b">
        <v>0</v>
      </c>
      <c r="I262" s="112" t="b">
        <v>0</v>
      </c>
      <c r="J262" s="112" t="b">
        <v>0</v>
      </c>
      <c r="K262" s="112" t="b">
        <v>0</v>
      </c>
      <c r="L262" s="112" t="b">
        <v>0</v>
      </c>
    </row>
    <row r="263" spans="1:12" ht="15">
      <c r="A263" s="112" t="s">
        <v>2143</v>
      </c>
      <c r="B263" s="112" t="s">
        <v>2078</v>
      </c>
      <c r="C263" s="112">
        <v>4</v>
      </c>
      <c r="D263" s="114">
        <v>0.0006266581049062596</v>
      </c>
      <c r="E263" s="114">
        <v>0.755794492325988</v>
      </c>
      <c r="F263" s="112" t="s">
        <v>3314</v>
      </c>
      <c r="G263" s="112" t="b">
        <v>0</v>
      </c>
      <c r="H263" s="112" t="b">
        <v>0</v>
      </c>
      <c r="I263" s="112" t="b">
        <v>0</v>
      </c>
      <c r="J263" s="112" t="b">
        <v>0</v>
      </c>
      <c r="K263" s="112" t="b">
        <v>0</v>
      </c>
      <c r="L263" s="112" t="b">
        <v>0</v>
      </c>
    </row>
    <row r="264" spans="1:12" ht="15">
      <c r="A264" s="112" t="s">
        <v>2392</v>
      </c>
      <c r="B264" s="112" t="s">
        <v>2086</v>
      </c>
      <c r="C264" s="112">
        <v>4</v>
      </c>
      <c r="D264" s="114">
        <v>0.0006266581049062596</v>
      </c>
      <c r="E264" s="114">
        <v>1.8615910394201953</v>
      </c>
      <c r="F264" s="112" t="s">
        <v>3314</v>
      </c>
      <c r="G264" s="112" t="b">
        <v>0</v>
      </c>
      <c r="H264" s="112" t="b">
        <v>0</v>
      </c>
      <c r="I264" s="112" t="b">
        <v>0</v>
      </c>
      <c r="J264" s="112" t="b">
        <v>0</v>
      </c>
      <c r="K264" s="112" t="b">
        <v>0</v>
      </c>
      <c r="L264" s="112" t="b">
        <v>0</v>
      </c>
    </row>
    <row r="265" spans="1:12" ht="15">
      <c r="A265" s="112" t="s">
        <v>2521</v>
      </c>
      <c r="B265" s="112" t="s">
        <v>2352</v>
      </c>
      <c r="C265" s="112">
        <v>4</v>
      </c>
      <c r="D265" s="114">
        <v>0.0006266581049062596</v>
      </c>
      <c r="E265" s="114">
        <v>3.230010756402243</v>
      </c>
      <c r="F265" s="112" t="s">
        <v>3314</v>
      </c>
      <c r="G265" s="112" t="b">
        <v>0</v>
      </c>
      <c r="H265" s="112" t="b">
        <v>0</v>
      </c>
      <c r="I265" s="112" t="b">
        <v>0</v>
      </c>
      <c r="J265" s="112" t="b">
        <v>0</v>
      </c>
      <c r="K265" s="112" t="b">
        <v>0</v>
      </c>
      <c r="L265" s="112" t="b">
        <v>0</v>
      </c>
    </row>
    <row r="266" spans="1:12" ht="15">
      <c r="A266" s="112" t="s">
        <v>2522</v>
      </c>
      <c r="B266" s="112" t="s">
        <v>2353</v>
      </c>
      <c r="C266" s="112">
        <v>4</v>
      </c>
      <c r="D266" s="114">
        <v>0.0007252271932048783</v>
      </c>
      <c r="E266" s="114">
        <v>3.230010756402243</v>
      </c>
      <c r="F266" s="112" t="s">
        <v>3314</v>
      </c>
      <c r="G266" s="112" t="b">
        <v>0</v>
      </c>
      <c r="H266" s="112" t="b">
        <v>1</v>
      </c>
      <c r="I266" s="112" t="b">
        <v>0</v>
      </c>
      <c r="J266" s="112" t="b">
        <v>0</v>
      </c>
      <c r="K266" s="112" t="b">
        <v>0</v>
      </c>
      <c r="L266" s="112" t="b">
        <v>0</v>
      </c>
    </row>
    <row r="267" spans="1:12" ht="15">
      <c r="A267" s="112" t="s">
        <v>2354</v>
      </c>
      <c r="B267" s="112" t="s">
        <v>2529</v>
      </c>
      <c r="C267" s="112">
        <v>4</v>
      </c>
      <c r="D267" s="114">
        <v>0.0008237962815034968</v>
      </c>
      <c r="E267" s="114">
        <v>3.230010756402243</v>
      </c>
      <c r="F267" s="112" t="s">
        <v>3314</v>
      </c>
      <c r="G267" s="112" t="b">
        <v>0</v>
      </c>
      <c r="H267" s="112" t="b">
        <v>0</v>
      </c>
      <c r="I267" s="112" t="b">
        <v>0</v>
      </c>
      <c r="J267" s="112" t="b">
        <v>0</v>
      </c>
      <c r="K267" s="112" t="b">
        <v>0</v>
      </c>
      <c r="L267" s="112" t="b">
        <v>0</v>
      </c>
    </row>
    <row r="268" spans="1:12" ht="15">
      <c r="A268" s="112" t="s">
        <v>2529</v>
      </c>
      <c r="B268" s="112" t="s">
        <v>2396</v>
      </c>
      <c r="C268" s="112">
        <v>4</v>
      </c>
      <c r="D268" s="114">
        <v>0.0008237962815034968</v>
      </c>
      <c r="E268" s="114">
        <v>3.2969575460328566</v>
      </c>
      <c r="F268" s="112" t="s">
        <v>3314</v>
      </c>
      <c r="G268" s="112" t="b">
        <v>0</v>
      </c>
      <c r="H268" s="112" t="b">
        <v>0</v>
      </c>
      <c r="I268" s="112" t="b">
        <v>0</v>
      </c>
      <c r="J268" s="112" t="b">
        <v>0</v>
      </c>
      <c r="K268" s="112" t="b">
        <v>0</v>
      </c>
      <c r="L268" s="112" t="b">
        <v>0</v>
      </c>
    </row>
    <row r="269" spans="1:12" ht="15">
      <c r="A269" s="112" t="s">
        <v>2117</v>
      </c>
      <c r="B269" s="112" t="s">
        <v>2146</v>
      </c>
      <c r="C269" s="112">
        <v>4</v>
      </c>
      <c r="D269" s="114">
        <v>0.0007252271932048783</v>
      </c>
      <c r="E269" s="114">
        <v>1.6494115830539091</v>
      </c>
      <c r="F269" s="112" t="s">
        <v>3314</v>
      </c>
      <c r="G269" s="112" t="b">
        <v>0</v>
      </c>
      <c r="H269" s="112" t="b">
        <v>0</v>
      </c>
      <c r="I269" s="112" t="b">
        <v>0</v>
      </c>
      <c r="J269" s="112" t="b">
        <v>0</v>
      </c>
      <c r="K269" s="112" t="b">
        <v>1</v>
      </c>
      <c r="L269" s="112" t="b">
        <v>0</v>
      </c>
    </row>
    <row r="270" spans="1:12" ht="15">
      <c r="A270" s="112" t="s">
        <v>2146</v>
      </c>
      <c r="B270" s="112" t="s">
        <v>2091</v>
      </c>
      <c r="C270" s="112">
        <v>4</v>
      </c>
      <c r="D270" s="114">
        <v>0.0006266581049062596</v>
      </c>
      <c r="E270" s="114">
        <v>1.3654149266887081</v>
      </c>
      <c r="F270" s="112" t="s">
        <v>3314</v>
      </c>
      <c r="G270" s="112" t="b">
        <v>0</v>
      </c>
      <c r="H270" s="112" t="b">
        <v>1</v>
      </c>
      <c r="I270" s="112" t="b">
        <v>0</v>
      </c>
      <c r="J270" s="112" t="b">
        <v>0</v>
      </c>
      <c r="K270" s="112" t="b">
        <v>0</v>
      </c>
      <c r="L270" s="112" t="b">
        <v>0</v>
      </c>
    </row>
    <row r="271" spans="1:12" ht="15">
      <c r="A271" s="112" t="s">
        <v>2127</v>
      </c>
      <c r="B271" s="112" t="s">
        <v>2097</v>
      </c>
      <c r="C271" s="112">
        <v>4</v>
      </c>
      <c r="D271" s="114">
        <v>0.0007252271932048783</v>
      </c>
      <c r="E271" s="114">
        <v>1.3269207694102996</v>
      </c>
      <c r="F271" s="112" t="s">
        <v>3314</v>
      </c>
      <c r="G271" s="112" t="b">
        <v>0</v>
      </c>
      <c r="H271" s="112" t="b">
        <v>0</v>
      </c>
      <c r="I271" s="112" t="b">
        <v>0</v>
      </c>
      <c r="J271" s="112" t="b">
        <v>0</v>
      </c>
      <c r="K271" s="112" t="b">
        <v>0</v>
      </c>
      <c r="L271" s="112" t="b">
        <v>0</v>
      </c>
    </row>
    <row r="272" spans="1:12" ht="15">
      <c r="A272" s="112" t="s">
        <v>2083</v>
      </c>
      <c r="B272" s="112" t="s">
        <v>2077</v>
      </c>
      <c r="C272" s="112">
        <v>4</v>
      </c>
      <c r="D272" s="114">
        <v>0.0006675679728199138</v>
      </c>
      <c r="E272" s="114">
        <v>-0.03408995642616298</v>
      </c>
      <c r="F272" s="112" t="s">
        <v>3314</v>
      </c>
      <c r="G272" s="112" t="b">
        <v>0</v>
      </c>
      <c r="H272" s="112" t="b">
        <v>0</v>
      </c>
      <c r="I272" s="112" t="b">
        <v>0</v>
      </c>
      <c r="J272" s="112" t="b">
        <v>0</v>
      </c>
      <c r="K272" s="112" t="b">
        <v>0</v>
      </c>
      <c r="L272" s="112" t="b">
        <v>0</v>
      </c>
    </row>
    <row r="273" spans="1:12" ht="15">
      <c r="A273" s="112" t="s">
        <v>2126</v>
      </c>
      <c r="B273" s="112" t="s">
        <v>2080</v>
      </c>
      <c r="C273" s="112">
        <v>4</v>
      </c>
      <c r="D273" s="114">
        <v>0.0006266581049062596</v>
      </c>
      <c r="E273" s="114">
        <v>0.8345595481339003</v>
      </c>
      <c r="F273" s="112" t="s">
        <v>3314</v>
      </c>
      <c r="G273" s="112" t="b">
        <v>0</v>
      </c>
      <c r="H273" s="112" t="b">
        <v>0</v>
      </c>
      <c r="I273" s="112" t="b">
        <v>0</v>
      </c>
      <c r="J273" s="112" t="b">
        <v>0</v>
      </c>
      <c r="K273" s="112" t="b">
        <v>0</v>
      </c>
      <c r="L273" s="112" t="b">
        <v>0</v>
      </c>
    </row>
    <row r="274" spans="1:12" ht="15">
      <c r="A274" s="112" t="s">
        <v>2178</v>
      </c>
      <c r="B274" s="112" t="s">
        <v>2216</v>
      </c>
      <c r="C274" s="112">
        <v>4</v>
      </c>
      <c r="D274" s="114">
        <v>0.0006675679728199138</v>
      </c>
      <c r="E274" s="114">
        <v>2.359105452781701</v>
      </c>
      <c r="F274" s="112" t="s">
        <v>3314</v>
      </c>
      <c r="G274" s="112" t="b">
        <v>0</v>
      </c>
      <c r="H274" s="112" t="b">
        <v>0</v>
      </c>
      <c r="I274" s="112" t="b">
        <v>0</v>
      </c>
      <c r="J274" s="112" t="b">
        <v>0</v>
      </c>
      <c r="K274" s="112" t="b">
        <v>1</v>
      </c>
      <c r="L274" s="112" t="b">
        <v>0</v>
      </c>
    </row>
    <row r="275" spans="1:12" ht="15">
      <c r="A275" s="112" t="s">
        <v>2112</v>
      </c>
      <c r="B275" s="112" t="s">
        <v>2536</v>
      </c>
      <c r="C275" s="112">
        <v>4</v>
      </c>
      <c r="D275" s="114">
        <v>0.0007252271932048783</v>
      </c>
      <c r="E275" s="114">
        <v>2.4316561199303126</v>
      </c>
      <c r="F275" s="112" t="s">
        <v>3314</v>
      </c>
      <c r="G275" s="112" t="b">
        <v>0</v>
      </c>
      <c r="H275" s="112" t="b">
        <v>0</v>
      </c>
      <c r="I275" s="112" t="b">
        <v>0</v>
      </c>
      <c r="J275" s="112" t="b">
        <v>0</v>
      </c>
      <c r="K275" s="112" t="b">
        <v>0</v>
      </c>
      <c r="L275" s="112" t="b">
        <v>0</v>
      </c>
    </row>
    <row r="276" spans="1:12" ht="15">
      <c r="A276" s="112" t="s">
        <v>2136</v>
      </c>
      <c r="B276" s="112" t="s">
        <v>2449</v>
      </c>
      <c r="C276" s="112">
        <v>4</v>
      </c>
      <c r="D276" s="114">
        <v>0.0007252271932048783</v>
      </c>
      <c r="E276" s="114">
        <v>2.4730488050885375</v>
      </c>
      <c r="F276" s="112" t="s">
        <v>3314</v>
      </c>
      <c r="G276" s="112" t="b">
        <v>0</v>
      </c>
      <c r="H276" s="112" t="b">
        <v>1</v>
      </c>
      <c r="I276" s="112" t="b">
        <v>0</v>
      </c>
      <c r="J276" s="112" t="b">
        <v>0</v>
      </c>
      <c r="K276" s="112" t="b">
        <v>0</v>
      </c>
      <c r="L276" s="112" t="b">
        <v>0</v>
      </c>
    </row>
    <row r="277" spans="1:12" ht="15">
      <c r="A277" s="112" t="s">
        <v>2265</v>
      </c>
      <c r="B277" s="112" t="s">
        <v>2136</v>
      </c>
      <c r="C277" s="112">
        <v>4</v>
      </c>
      <c r="D277" s="114">
        <v>0.0007252271932048783</v>
      </c>
      <c r="E277" s="114">
        <v>2.1720188094245563</v>
      </c>
      <c r="F277" s="112" t="s">
        <v>3314</v>
      </c>
      <c r="G277" s="112" t="b">
        <v>0</v>
      </c>
      <c r="H277" s="112" t="b">
        <v>0</v>
      </c>
      <c r="I277" s="112" t="b">
        <v>0</v>
      </c>
      <c r="J277" s="112" t="b">
        <v>0</v>
      </c>
      <c r="K277" s="112" t="b">
        <v>1</v>
      </c>
      <c r="L277" s="112" t="b">
        <v>0</v>
      </c>
    </row>
    <row r="278" spans="1:12" ht="15">
      <c r="A278" s="112" t="s">
        <v>2136</v>
      </c>
      <c r="B278" s="112" t="s">
        <v>2405</v>
      </c>
      <c r="C278" s="112">
        <v>4</v>
      </c>
      <c r="D278" s="114">
        <v>0.0007252271932048783</v>
      </c>
      <c r="E278" s="114">
        <v>2.393867559040913</v>
      </c>
      <c r="F278" s="112" t="s">
        <v>3314</v>
      </c>
      <c r="G278" s="112" t="b">
        <v>0</v>
      </c>
      <c r="H278" s="112" t="b">
        <v>1</v>
      </c>
      <c r="I278" s="112" t="b">
        <v>0</v>
      </c>
      <c r="J278" s="112" t="b">
        <v>0</v>
      </c>
      <c r="K278" s="112" t="b">
        <v>0</v>
      </c>
      <c r="L278" s="112" t="b">
        <v>0</v>
      </c>
    </row>
    <row r="279" spans="1:12" ht="15">
      <c r="A279" s="112" t="s">
        <v>2084</v>
      </c>
      <c r="B279" s="112" t="s">
        <v>2097</v>
      </c>
      <c r="C279" s="112">
        <v>4</v>
      </c>
      <c r="D279" s="114">
        <v>0.0006675679728199138</v>
      </c>
      <c r="E279" s="114">
        <v>0.8497995146906373</v>
      </c>
      <c r="F279" s="112" t="s">
        <v>3314</v>
      </c>
      <c r="G279" s="112" t="b">
        <v>0</v>
      </c>
      <c r="H279" s="112" t="b">
        <v>1</v>
      </c>
      <c r="I279" s="112" t="b">
        <v>0</v>
      </c>
      <c r="J279" s="112" t="b">
        <v>0</v>
      </c>
      <c r="K279" s="112" t="b">
        <v>0</v>
      </c>
      <c r="L279" s="112" t="b">
        <v>0</v>
      </c>
    </row>
    <row r="280" spans="1:12" ht="15">
      <c r="A280" s="112" t="s">
        <v>2101</v>
      </c>
      <c r="B280" s="112" t="s">
        <v>2112</v>
      </c>
      <c r="C280" s="112">
        <v>4</v>
      </c>
      <c r="D280" s="114">
        <v>0.0007252271932048783</v>
      </c>
      <c r="E280" s="114">
        <v>1.3079529303343196</v>
      </c>
      <c r="F280" s="112" t="s">
        <v>3314</v>
      </c>
      <c r="G280" s="112" t="b">
        <v>0</v>
      </c>
      <c r="H280" s="112" t="b">
        <v>0</v>
      </c>
      <c r="I280" s="112" t="b">
        <v>0</v>
      </c>
      <c r="J280" s="112" t="b">
        <v>0</v>
      </c>
      <c r="K280" s="112" t="b">
        <v>0</v>
      </c>
      <c r="L280" s="112" t="b">
        <v>0</v>
      </c>
    </row>
    <row r="281" spans="1:12" ht="15">
      <c r="A281" s="112" t="s">
        <v>2171</v>
      </c>
      <c r="B281" s="112" t="s">
        <v>2171</v>
      </c>
      <c r="C281" s="112">
        <v>4</v>
      </c>
      <c r="D281" s="114">
        <v>0.0006266581049062596</v>
      </c>
      <c r="E281" s="114">
        <v>2.2223239277359523</v>
      </c>
      <c r="F281" s="112" t="s">
        <v>3314</v>
      </c>
      <c r="G281" s="112" t="b">
        <v>0</v>
      </c>
      <c r="H281" s="112" t="b">
        <v>0</v>
      </c>
      <c r="I281" s="112" t="b">
        <v>0</v>
      </c>
      <c r="J281" s="112" t="b">
        <v>0</v>
      </c>
      <c r="K281" s="112" t="b">
        <v>0</v>
      </c>
      <c r="L281" s="112" t="b">
        <v>0</v>
      </c>
    </row>
    <row r="282" spans="1:12" ht="15">
      <c r="A282" s="112" t="s">
        <v>2326</v>
      </c>
      <c r="B282" s="112" t="s">
        <v>2103</v>
      </c>
      <c r="C282" s="112">
        <v>4</v>
      </c>
      <c r="D282" s="114">
        <v>0.0006266581049062596</v>
      </c>
      <c r="E282" s="114">
        <v>2.0580754571177198</v>
      </c>
      <c r="F282" s="112" t="s">
        <v>3314</v>
      </c>
      <c r="G282" s="112" t="b">
        <v>0</v>
      </c>
      <c r="H282" s="112" t="b">
        <v>0</v>
      </c>
      <c r="I282" s="112" t="b">
        <v>0</v>
      </c>
      <c r="J282" s="112" t="b">
        <v>0</v>
      </c>
      <c r="K282" s="112" t="b">
        <v>0</v>
      </c>
      <c r="L282" s="112" t="b">
        <v>0</v>
      </c>
    </row>
    <row r="283" spans="1:12" ht="15">
      <c r="A283" s="112" t="s">
        <v>2407</v>
      </c>
      <c r="B283" s="112" t="s">
        <v>2543</v>
      </c>
      <c r="C283" s="112">
        <v>4</v>
      </c>
      <c r="D283" s="114">
        <v>0.0006266581049062596</v>
      </c>
      <c r="E283" s="114">
        <v>3.3761387920804813</v>
      </c>
      <c r="F283" s="112" t="s">
        <v>3314</v>
      </c>
      <c r="G283" s="112" t="b">
        <v>0</v>
      </c>
      <c r="H283" s="112" t="b">
        <v>1</v>
      </c>
      <c r="I283" s="112" t="b">
        <v>0</v>
      </c>
      <c r="J283" s="112" t="b">
        <v>0</v>
      </c>
      <c r="K283" s="112" t="b">
        <v>0</v>
      </c>
      <c r="L283" s="112" t="b">
        <v>0</v>
      </c>
    </row>
    <row r="284" spans="1:12" ht="15">
      <c r="A284" s="112" t="s">
        <v>2543</v>
      </c>
      <c r="B284" s="112" t="s">
        <v>2453</v>
      </c>
      <c r="C284" s="112">
        <v>4</v>
      </c>
      <c r="D284" s="114">
        <v>0.0006266581049062596</v>
      </c>
      <c r="E284" s="114">
        <v>3.3761387920804813</v>
      </c>
      <c r="F284" s="112" t="s">
        <v>3314</v>
      </c>
      <c r="G284" s="112" t="b">
        <v>0</v>
      </c>
      <c r="H284" s="112" t="b">
        <v>0</v>
      </c>
      <c r="I284" s="112" t="b">
        <v>0</v>
      </c>
      <c r="J284" s="112" t="b">
        <v>1</v>
      </c>
      <c r="K284" s="112" t="b">
        <v>0</v>
      </c>
      <c r="L284" s="112" t="b">
        <v>0</v>
      </c>
    </row>
    <row r="285" spans="1:12" ht="15">
      <c r="A285" s="112" t="s">
        <v>2453</v>
      </c>
      <c r="B285" s="112" t="s">
        <v>2454</v>
      </c>
      <c r="C285" s="112">
        <v>4</v>
      </c>
      <c r="D285" s="114">
        <v>0.0006266581049062596</v>
      </c>
      <c r="E285" s="114">
        <v>3.279228779072425</v>
      </c>
      <c r="F285" s="112" t="s">
        <v>3314</v>
      </c>
      <c r="G285" s="112" t="b">
        <v>1</v>
      </c>
      <c r="H285" s="112" t="b">
        <v>0</v>
      </c>
      <c r="I285" s="112" t="b">
        <v>0</v>
      </c>
      <c r="J285" s="112" t="b">
        <v>0</v>
      </c>
      <c r="K285" s="112" t="b">
        <v>0</v>
      </c>
      <c r="L285" s="112" t="b">
        <v>0</v>
      </c>
    </row>
    <row r="286" spans="1:12" ht="15">
      <c r="A286" s="112" t="s">
        <v>2454</v>
      </c>
      <c r="B286" s="112" t="s">
        <v>2291</v>
      </c>
      <c r="C286" s="112">
        <v>4</v>
      </c>
      <c r="D286" s="114">
        <v>0.0006266581049062596</v>
      </c>
      <c r="E286" s="114">
        <v>3.0239562739691186</v>
      </c>
      <c r="F286" s="112" t="s">
        <v>3314</v>
      </c>
      <c r="G286" s="112" t="b">
        <v>0</v>
      </c>
      <c r="H286" s="112" t="b">
        <v>0</v>
      </c>
      <c r="I286" s="112" t="b">
        <v>0</v>
      </c>
      <c r="J286" s="112" t="b">
        <v>0</v>
      </c>
      <c r="K286" s="112" t="b">
        <v>0</v>
      </c>
      <c r="L286" s="112" t="b">
        <v>0</v>
      </c>
    </row>
    <row r="287" spans="1:12" ht="15">
      <c r="A287" s="112" t="s">
        <v>2266</v>
      </c>
      <c r="B287" s="112" t="s">
        <v>2266</v>
      </c>
      <c r="C287" s="112">
        <v>4</v>
      </c>
      <c r="D287" s="114">
        <v>0.0008237962815034968</v>
      </c>
      <c r="E287" s="114">
        <v>2.6771687877444625</v>
      </c>
      <c r="F287" s="112" t="s">
        <v>3314</v>
      </c>
      <c r="G287" s="112" t="b">
        <v>0</v>
      </c>
      <c r="H287" s="112" t="b">
        <v>0</v>
      </c>
      <c r="I287" s="112" t="b">
        <v>0</v>
      </c>
      <c r="J287" s="112" t="b">
        <v>0</v>
      </c>
      <c r="K287" s="112" t="b">
        <v>0</v>
      </c>
      <c r="L287" s="112" t="b">
        <v>0</v>
      </c>
    </row>
    <row r="288" spans="1:12" ht="15">
      <c r="A288" s="112" t="s">
        <v>2199</v>
      </c>
      <c r="B288" s="112" t="s">
        <v>2084</v>
      </c>
      <c r="C288" s="112">
        <v>4</v>
      </c>
      <c r="D288" s="114">
        <v>0.0006675679728199138</v>
      </c>
      <c r="E288" s="114">
        <v>1.414717698014033</v>
      </c>
      <c r="F288" s="112" t="s">
        <v>3314</v>
      </c>
      <c r="G288" s="112" t="b">
        <v>0</v>
      </c>
      <c r="H288" s="112" t="b">
        <v>0</v>
      </c>
      <c r="I288" s="112" t="b">
        <v>0</v>
      </c>
      <c r="J288" s="112" t="b">
        <v>0</v>
      </c>
      <c r="K288" s="112" t="b">
        <v>1</v>
      </c>
      <c r="L288" s="112" t="b">
        <v>0</v>
      </c>
    </row>
    <row r="289" spans="1:12" ht="15">
      <c r="A289" s="112" t="s">
        <v>2089</v>
      </c>
      <c r="B289" s="112" t="s">
        <v>2168</v>
      </c>
      <c r="C289" s="112">
        <v>4</v>
      </c>
      <c r="D289" s="114">
        <v>0.0006675679728199138</v>
      </c>
      <c r="E289" s="114">
        <v>1.43937379447054</v>
      </c>
      <c r="F289" s="112" t="s">
        <v>3314</v>
      </c>
      <c r="G289" s="112" t="b">
        <v>0</v>
      </c>
      <c r="H289" s="112" t="b">
        <v>0</v>
      </c>
      <c r="I289" s="112" t="b">
        <v>0</v>
      </c>
      <c r="J289" s="112" t="b">
        <v>0</v>
      </c>
      <c r="K289" s="112" t="b">
        <v>1</v>
      </c>
      <c r="L289" s="112" t="b">
        <v>0</v>
      </c>
    </row>
    <row r="290" spans="1:12" ht="15">
      <c r="A290" s="112" t="s">
        <v>2168</v>
      </c>
      <c r="B290" s="112" t="s">
        <v>2410</v>
      </c>
      <c r="C290" s="112">
        <v>4</v>
      </c>
      <c r="D290" s="114">
        <v>0.0006675679728199138</v>
      </c>
      <c r="E290" s="114">
        <v>2.5979875416968374</v>
      </c>
      <c r="F290" s="112" t="s">
        <v>3314</v>
      </c>
      <c r="G290" s="112" t="b">
        <v>0</v>
      </c>
      <c r="H290" s="112" t="b">
        <v>1</v>
      </c>
      <c r="I290" s="112" t="b">
        <v>0</v>
      </c>
      <c r="J290" s="112" t="b">
        <v>0</v>
      </c>
      <c r="K290" s="112" t="b">
        <v>0</v>
      </c>
      <c r="L290" s="112" t="b">
        <v>0</v>
      </c>
    </row>
    <row r="291" spans="1:12" ht="15">
      <c r="A291" s="112" t="s">
        <v>2096</v>
      </c>
      <c r="B291" s="112" t="s">
        <v>2230</v>
      </c>
      <c r="C291" s="112">
        <v>4</v>
      </c>
      <c r="D291" s="114">
        <v>0.0006266581049062596</v>
      </c>
      <c r="E291" s="114">
        <v>1.7591384509595822</v>
      </c>
      <c r="F291" s="112" t="s">
        <v>3314</v>
      </c>
      <c r="G291" s="112" t="b">
        <v>0</v>
      </c>
      <c r="H291" s="112" t="b">
        <v>0</v>
      </c>
      <c r="I291" s="112" t="b">
        <v>0</v>
      </c>
      <c r="J291" s="112" t="b">
        <v>0</v>
      </c>
      <c r="K291" s="112" t="b">
        <v>0</v>
      </c>
      <c r="L291" s="112" t="b">
        <v>0</v>
      </c>
    </row>
    <row r="292" spans="1:12" ht="15">
      <c r="A292" s="112" t="s">
        <v>2230</v>
      </c>
      <c r="B292" s="112" t="s">
        <v>2083</v>
      </c>
      <c r="C292" s="112">
        <v>4</v>
      </c>
      <c r="D292" s="114">
        <v>0.0006266581049062596</v>
      </c>
      <c r="E292" s="114">
        <v>1.5045658565346025</v>
      </c>
      <c r="F292" s="112" t="s">
        <v>3314</v>
      </c>
      <c r="G292" s="112" t="b">
        <v>0</v>
      </c>
      <c r="H292" s="112" t="b">
        <v>0</v>
      </c>
      <c r="I292" s="112" t="b">
        <v>0</v>
      </c>
      <c r="J292" s="112" t="b">
        <v>0</v>
      </c>
      <c r="K292" s="112" t="b">
        <v>0</v>
      </c>
      <c r="L292" s="112" t="b">
        <v>0</v>
      </c>
    </row>
    <row r="293" spans="1:12" ht="15">
      <c r="A293" s="112" t="s">
        <v>2143</v>
      </c>
      <c r="B293" s="112" t="s">
        <v>2087</v>
      </c>
      <c r="C293" s="112">
        <v>4</v>
      </c>
      <c r="D293" s="114">
        <v>0.0006266581049062596</v>
      </c>
      <c r="E293" s="114">
        <v>1.208821457332305</v>
      </c>
      <c r="F293" s="112" t="s">
        <v>3314</v>
      </c>
      <c r="G293" s="112" t="b">
        <v>0</v>
      </c>
      <c r="H293" s="112" t="b">
        <v>0</v>
      </c>
      <c r="I293" s="112" t="b">
        <v>0</v>
      </c>
      <c r="J293" s="112" t="b">
        <v>0</v>
      </c>
      <c r="K293" s="112" t="b">
        <v>0</v>
      </c>
      <c r="L293" s="112" t="b">
        <v>0</v>
      </c>
    </row>
    <row r="294" spans="1:12" ht="15">
      <c r="A294" s="112" t="s">
        <v>2231</v>
      </c>
      <c r="B294" s="112" t="s">
        <v>2322</v>
      </c>
      <c r="C294" s="112">
        <v>4</v>
      </c>
      <c r="D294" s="114">
        <v>0.0007252271932048783</v>
      </c>
      <c r="E294" s="114">
        <v>2.732686115594294</v>
      </c>
      <c r="F294" s="112" t="s">
        <v>3314</v>
      </c>
      <c r="G294" s="112" t="b">
        <v>0</v>
      </c>
      <c r="H294" s="112" t="b">
        <v>0</v>
      </c>
      <c r="I294" s="112" t="b">
        <v>0</v>
      </c>
      <c r="J294" s="112" t="b">
        <v>0</v>
      </c>
      <c r="K294" s="112" t="b">
        <v>0</v>
      </c>
      <c r="L294" s="112" t="b">
        <v>0</v>
      </c>
    </row>
    <row r="295" spans="1:12" ht="15">
      <c r="A295" s="112" t="s">
        <v>2083</v>
      </c>
      <c r="B295" s="112" t="s">
        <v>2090</v>
      </c>
      <c r="C295" s="112">
        <v>4</v>
      </c>
      <c r="D295" s="114">
        <v>0.0006266581049062596</v>
      </c>
      <c r="E295" s="114">
        <v>0.6388666155449378</v>
      </c>
      <c r="F295" s="112" t="s">
        <v>3314</v>
      </c>
      <c r="G295" s="112" t="b">
        <v>0</v>
      </c>
      <c r="H295" s="112" t="b">
        <v>0</v>
      </c>
      <c r="I295" s="112" t="b">
        <v>0</v>
      </c>
      <c r="J295" s="112" t="b">
        <v>0</v>
      </c>
      <c r="K295" s="112" t="b">
        <v>0</v>
      </c>
      <c r="L295" s="112" t="b">
        <v>0</v>
      </c>
    </row>
    <row r="296" spans="1:12" ht="15">
      <c r="A296" s="112" t="s">
        <v>2328</v>
      </c>
      <c r="B296" s="112" t="s">
        <v>2547</v>
      </c>
      <c r="C296" s="112">
        <v>4</v>
      </c>
      <c r="D296" s="114">
        <v>0.0007252271932048783</v>
      </c>
      <c r="E296" s="114">
        <v>3.1720188094245563</v>
      </c>
      <c r="F296" s="112" t="s">
        <v>3314</v>
      </c>
      <c r="G296" s="112" t="b">
        <v>0</v>
      </c>
      <c r="H296" s="112" t="b">
        <v>0</v>
      </c>
      <c r="I296" s="112" t="b">
        <v>0</v>
      </c>
      <c r="J296" s="112" t="b">
        <v>0</v>
      </c>
      <c r="K296" s="112" t="b">
        <v>0</v>
      </c>
      <c r="L296" s="112" t="b">
        <v>0</v>
      </c>
    </row>
    <row r="297" spans="1:12" ht="15">
      <c r="A297" s="112" t="s">
        <v>2108</v>
      </c>
      <c r="B297" s="112" t="s">
        <v>2280</v>
      </c>
      <c r="C297" s="112">
        <v>4</v>
      </c>
      <c r="D297" s="114">
        <v>0.0006266581049062596</v>
      </c>
      <c r="E297" s="114">
        <v>2.0601684466235635</v>
      </c>
      <c r="F297" s="112" t="s">
        <v>3314</v>
      </c>
      <c r="G297" s="112" t="b">
        <v>0</v>
      </c>
      <c r="H297" s="112" t="b">
        <v>0</v>
      </c>
      <c r="I297" s="112" t="b">
        <v>0</v>
      </c>
      <c r="J297" s="112" t="b">
        <v>0</v>
      </c>
      <c r="K297" s="112" t="b">
        <v>0</v>
      </c>
      <c r="L297" s="112" t="b">
        <v>0</v>
      </c>
    </row>
    <row r="298" spans="1:12" ht="15">
      <c r="A298" s="112" t="s">
        <v>2090</v>
      </c>
      <c r="B298" s="112" t="s">
        <v>2086</v>
      </c>
      <c r="C298" s="112">
        <v>4</v>
      </c>
      <c r="D298" s="114">
        <v>0.0006266581049062596</v>
      </c>
      <c r="E298" s="114">
        <v>0.7103233640895461</v>
      </c>
      <c r="F298" s="112" t="s">
        <v>3314</v>
      </c>
      <c r="G298" s="112" t="b">
        <v>0</v>
      </c>
      <c r="H298" s="112" t="b">
        <v>0</v>
      </c>
      <c r="I298" s="112" t="b">
        <v>0</v>
      </c>
      <c r="J298" s="112" t="b">
        <v>0</v>
      </c>
      <c r="K298" s="112" t="b">
        <v>0</v>
      </c>
      <c r="L298" s="112" t="b">
        <v>0</v>
      </c>
    </row>
    <row r="299" spans="1:12" ht="15">
      <c r="A299" s="112" t="s">
        <v>2117</v>
      </c>
      <c r="B299" s="112" t="s">
        <v>2090</v>
      </c>
      <c r="C299" s="112">
        <v>4</v>
      </c>
      <c r="D299" s="114">
        <v>0.0006266581049062596</v>
      </c>
      <c r="E299" s="114">
        <v>1.1298864797811592</v>
      </c>
      <c r="F299" s="112" t="s">
        <v>3314</v>
      </c>
      <c r="G299" s="112" t="b">
        <v>0</v>
      </c>
      <c r="H299" s="112" t="b">
        <v>0</v>
      </c>
      <c r="I299" s="112" t="b">
        <v>0</v>
      </c>
      <c r="J299" s="112" t="b">
        <v>0</v>
      </c>
      <c r="K299" s="112" t="b">
        <v>0</v>
      </c>
      <c r="L299" s="112" t="b">
        <v>0</v>
      </c>
    </row>
    <row r="300" spans="1:12" ht="15">
      <c r="A300" s="112" t="s">
        <v>2270</v>
      </c>
      <c r="B300" s="112" t="s">
        <v>2082</v>
      </c>
      <c r="C300" s="112">
        <v>4</v>
      </c>
      <c r="D300" s="114">
        <v>0.0007252271932048783</v>
      </c>
      <c r="E300" s="114">
        <v>1.6225557331875746</v>
      </c>
      <c r="F300" s="112" t="s">
        <v>3314</v>
      </c>
      <c r="G300" s="112" t="b">
        <v>0</v>
      </c>
      <c r="H300" s="112" t="b">
        <v>0</v>
      </c>
      <c r="I300" s="112" t="b">
        <v>0</v>
      </c>
      <c r="J300" s="112" t="b">
        <v>0</v>
      </c>
      <c r="K300" s="112" t="b">
        <v>0</v>
      </c>
      <c r="L300" s="112" t="b">
        <v>0</v>
      </c>
    </row>
    <row r="301" spans="1:12" ht="15">
      <c r="A301" s="112" t="s">
        <v>2082</v>
      </c>
      <c r="B301" s="112" t="s">
        <v>2462</v>
      </c>
      <c r="C301" s="112">
        <v>4</v>
      </c>
      <c r="D301" s="114">
        <v>0.0007252271932048783</v>
      </c>
      <c r="E301" s="114">
        <v>1.851093985043636</v>
      </c>
      <c r="F301" s="112" t="s">
        <v>3314</v>
      </c>
      <c r="G301" s="112" t="b">
        <v>0</v>
      </c>
      <c r="H301" s="112" t="b">
        <v>0</v>
      </c>
      <c r="I301" s="112" t="b">
        <v>0</v>
      </c>
      <c r="J301" s="112" t="b">
        <v>0</v>
      </c>
      <c r="K301" s="112" t="b">
        <v>0</v>
      </c>
      <c r="L301" s="112" t="b">
        <v>0</v>
      </c>
    </row>
    <row r="302" spans="1:12" ht="15">
      <c r="A302" s="112" t="s">
        <v>2232</v>
      </c>
      <c r="B302" s="112" t="s">
        <v>2466</v>
      </c>
      <c r="C302" s="112">
        <v>4</v>
      </c>
      <c r="D302" s="114">
        <v>0.0007252271932048783</v>
      </c>
      <c r="E302" s="114">
        <v>2.8990175373608187</v>
      </c>
      <c r="F302" s="112" t="s">
        <v>3314</v>
      </c>
      <c r="G302" s="112" t="b">
        <v>0</v>
      </c>
      <c r="H302" s="112" t="b">
        <v>0</v>
      </c>
      <c r="I302" s="112" t="b">
        <v>0</v>
      </c>
      <c r="J302" s="112" t="b">
        <v>0</v>
      </c>
      <c r="K302" s="112" t="b">
        <v>0</v>
      </c>
      <c r="L302" s="112" t="b">
        <v>0</v>
      </c>
    </row>
    <row r="303" spans="1:12" ht="15">
      <c r="A303" s="112" t="s">
        <v>2123</v>
      </c>
      <c r="B303" s="112" t="s">
        <v>2299</v>
      </c>
      <c r="C303" s="112">
        <v>4</v>
      </c>
      <c r="D303" s="114">
        <v>0.0006266581049062596</v>
      </c>
      <c r="E303" s="114">
        <v>2.099676987907237</v>
      </c>
      <c r="F303" s="112" t="s">
        <v>3314</v>
      </c>
      <c r="G303" s="112" t="b">
        <v>0</v>
      </c>
      <c r="H303" s="112" t="b">
        <v>0</v>
      </c>
      <c r="I303" s="112" t="b">
        <v>0</v>
      </c>
      <c r="J303" s="112" t="b">
        <v>0</v>
      </c>
      <c r="K303" s="112" t="b">
        <v>0</v>
      </c>
      <c r="L303" s="112" t="b">
        <v>0</v>
      </c>
    </row>
    <row r="304" spans="1:12" ht="15">
      <c r="A304" s="112" t="s">
        <v>2299</v>
      </c>
      <c r="B304" s="112" t="s">
        <v>2085</v>
      </c>
      <c r="C304" s="112">
        <v>4</v>
      </c>
      <c r="D304" s="114">
        <v>0.0006266581049062596</v>
      </c>
      <c r="E304" s="114">
        <v>1.8478650149134375</v>
      </c>
      <c r="F304" s="112" t="s">
        <v>3314</v>
      </c>
      <c r="G304" s="112" t="b">
        <v>0</v>
      </c>
      <c r="H304" s="112" t="b">
        <v>0</v>
      </c>
      <c r="I304" s="112" t="b">
        <v>0</v>
      </c>
      <c r="J304" s="112" t="b">
        <v>0</v>
      </c>
      <c r="K304" s="112" t="b">
        <v>0</v>
      </c>
      <c r="L304" s="112" t="b">
        <v>0</v>
      </c>
    </row>
    <row r="305" spans="1:12" ht="15">
      <c r="A305" s="112" t="s">
        <v>2299</v>
      </c>
      <c r="B305" s="112" t="s">
        <v>2184</v>
      </c>
      <c r="C305" s="112">
        <v>4</v>
      </c>
      <c r="D305" s="114">
        <v>0.0006266581049062596</v>
      </c>
      <c r="E305" s="114">
        <v>2.4924773569268637</v>
      </c>
      <c r="F305" s="112" t="s">
        <v>3314</v>
      </c>
      <c r="G305" s="112" t="b">
        <v>0</v>
      </c>
      <c r="H305" s="112" t="b">
        <v>0</v>
      </c>
      <c r="I305" s="112" t="b">
        <v>0</v>
      </c>
      <c r="J305" s="112" t="b">
        <v>0</v>
      </c>
      <c r="K305" s="112" t="b">
        <v>0</v>
      </c>
      <c r="L305" s="112" t="b">
        <v>0</v>
      </c>
    </row>
    <row r="306" spans="1:12" ht="15">
      <c r="A306" s="112" t="s">
        <v>2184</v>
      </c>
      <c r="B306" s="112" t="s">
        <v>2334</v>
      </c>
      <c r="C306" s="112">
        <v>4</v>
      </c>
      <c r="D306" s="114">
        <v>0.0006266581049062596</v>
      </c>
      <c r="E306" s="114">
        <v>2.543629879374245</v>
      </c>
      <c r="F306" s="112" t="s">
        <v>3314</v>
      </c>
      <c r="G306" s="112" t="b">
        <v>0</v>
      </c>
      <c r="H306" s="112" t="b">
        <v>0</v>
      </c>
      <c r="I306" s="112" t="b">
        <v>0</v>
      </c>
      <c r="J306" s="112" t="b">
        <v>0</v>
      </c>
      <c r="K306" s="112" t="b">
        <v>0</v>
      </c>
      <c r="L306" s="112" t="b">
        <v>0</v>
      </c>
    </row>
    <row r="307" spans="1:12" ht="15">
      <c r="A307" s="112" t="s">
        <v>2565</v>
      </c>
      <c r="B307" s="112" t="s">
        <v>2418</v>
      </c>
      <c r="C307" s="112">
        <v>4</v>
      </c>
      <c r="D307" s="114">
        <v>0.0007252271932048783</v>
      </c>
      <c r="E307" s="114">
        <v>3.2969575460328566</v>
      </c>
      <c r="F307" s="112" t="s">
        <v>3314</v>
      </c>
      <c r="G307" s="112" t="b">
        <v>0</v>
      </c>
      <c r="H307" s="112" t="b">
        <v>0</v>
      </c>
      <c r="I307" s="112" t="b">
        <v>0</v>
      </c>
      <c r="J307" s="112" t="b">
        <v>1</v>
      </c>
      <c r="K307" s="112" t="b">
        <v>0</v>
      </c>
      <c r="L307" s="112" t="b">
        <v>0</v>
      </c>
    </row>
    <row r="308" spans="1:12" ht="15">
      <c r="A308" s="112" t="s">
        <v>2196</v>
      </c>
      <c r="B308" s="112" t="s">
        <v>2572</v>
      </c>
      <c r="C308" s="112">
        <v>4</v>
      </c>
      <c r="D308" s="114">
        <v>0.0006266581049062596</v>
      </c>
      <c r="E308" s="114">
        <v>2.8990175373608187</v>
      </c>
      <c r="F308" s="112" t="s">
        <v>3314</v>
      </c>
      <c r="G308" s="112" t="b">
        <v>0</v>
      </c>
      <c r="H308" s="112" t="b">
        <v>0</v>
      </c>
      <c r="I308" s="112" t="b">
        <v>0</v>
      </c>
      <c r="J308" s="112" t="b">
        <v>0</v>
      </c>
      <c r="K308" s="112" t="b">
        <v>0</v>
      </c>
      <c r="L308" s="112" t="b">
        <v>0</v>
      </c>
    </row>
    <row r="309" spans="1:12" ht="15">
      <c r="A309" s="112" t="s">
        <v>2153</v>
      </c>
      <c r="B309" s="112" t="s">
        <v>2085</v>
      </c>
      <c r="C309" s="112">
        <v>4</v>
      </c>
      <c r="D309" s="114">
        <v>0.0006675679728199138</v>
      </c>
      <c r="E309" s="114">
        <v>1.4041675156807247</v>
      </c>
      <c r="F309" s="112" t="s">
        <v>3314</v>
      </c>
      <c r="G309" s="112" t="b">
        <v>0</v>
      </c>
      <c r="H309" s="112" t="b">
        <v>0</v>
      </c>
      <c r="I309" s="112" t="b">
        <v>0</v>
      </c>
      <c r="J309" s="112" t="b">
        <v>0</v>
      </c>
      <c r="K309" s="112" t="b">
        <v>0</v>
      </c>
      <c r="L309" s="112" t="b">
        <v>0</v>
      </c>
    </row>
    <row r="310" spans="1:12" ht="15">
      <c r="A310" s="112" t="s">
        <v>2582</v>
      </c>
      <c r="B310" s="112" t="s">
        <v>2583</v>
      </c>
      <c r="C310" s="112">
        <v>4</v>
      </c>
      <c r="D310" s="114">
        <v>0.0007252271932048783</v>
      </c>
      <c r="E310" s="114">
        <v>3.4730488050885375</v>
      </c>
      <c r="F310" s="112" t="s">
        <v>3314</v>
      </c>
      <c r="G310" s="112" t="b">
        <v>0</v>
      </c>
      <c r="H310" s="112" t="b">
        <v>0</v>
      </c>
      <c r="I310" s="112" t="b">
        <v>0</v>
      </c>
      <c r="J310" s="112" t="b">
        <v>0</v>
      </c>
      <c r="K310" s="112" t="b">
        <v>0</v>
      </c>
      <c r="L310" s="112" t="b">
        <v>0</v>
      </c>
    </row>
    <row r="311" spans="1:12" ht="15">
      <c r="A311" s="112" t="s">
        <v>2089</v>
      </c>
      <c r="B311" s="112" t="s">
        <v>2375</v>
      </c>
      <c r="C311" s="112">
        <v>4</v>
      </c>
      <c r="D311" s="114">
        <v>0.0006266581049062596</v>
      </c>
      <c r="E311" s="114">
        <v>1.873029355409112</v>
      </c>
      <c r="F311" s="112" t="s">
        <v>3314</v>
      </c>
      <c r="G311" s="112" t="b">
        <v>0</v>
      </c>
      <c r="H311" s="112" t="b">
        <v>0</v>
      </c>
      <c r="I311" s="112" t="b">
        <v>0</v>
      </c>
      <c r="J311" s="112" t="b">
        <v>0</v>
      </c>
      <c r="K311" s="112" t="b">
        <v>0</v>
      </c>
      <c r="L311" s="112" t="b">
        <v>0</v>
      </c>
    </row>
    <row r="312" spans="1:12" ht="15">
      <c r="A312" s="112" t="s">
        <v>2086</v>
      </c>
      <c r="B312" s="112" t="s">
        <v>2389</v>
      </c>
      <c r="C312" s="112">
        <v>4</v>
      </c>
      <c r="D312" s="114">
        <v>0.0006675679728199138</v>
      </c>
      <c r="E312" s="114">
        <v>1.8655937818738693</v>
      </c>
      <c r="F312" s="112" t="s">
        <v>3314</v>
      </c>
      <c r="G312" s="112" t="b">
        <v>0</v>
      </c>
      <c r="H312" s="112" t="b">
        <v>0</v>
      </c>
      <c r="I312" s="112" t="b">
        <v>0</v>
      </c>
      <c r="J312" s="112" t="b">
        <v>0</v>
      </c>
      <c r="K312" s="112" t="b">
        <v>0</v>
      </c>
      <c r="L312" s="112" t="b">
        <v>0</v>
      </c>
    </row>
    <row r="313" spans="1:12" ht="15">
      <c r="A313" s="112" t="s">
        <v>2096</v>
      </c>
      <c r="B313" s="112" t="s">
        <v>2083</v>
      </c>
      <c r="C313" s="112">
        <v>4</v>
      </c>
      <c r="D313" s="114">
        <v>0.0006266581049062596</v>
      </c>
      <c r="E313" s="114">
        <v>0.7448980118449722</v>
      </c>
      <c r="F313" s="112" t="s">
        <v>3314</v>
      </c>
      <c r="G313" s="112" t="b">
        <v>0</v>
      </c>
      <c r="H313" s="112" t="b">
        <v>0</v>
      </c>
      <c r="I313" s="112" t="b">
        <v>0</v>
      </c>
      <c r="J313" s="112" t="b">
        <v>0</v>
      </c>
      <c r="K313" s="112" t="b">
        <v>0</v>
      </c>
      <c r="L313" s="112" t="b">
        <v>0</v>
      </c>
    </row>
    <row r="314" spans="1:12" ht="15">
      <c r="A314" s="112" t="s">
        <v>2089</v>
      </c>
      <c r="B314" s="112" t="s">
        <v>2175</v>
      </c>
      <c r="C314" s="112">
        <v>4</v>
      </c>
      <c r="D314" s="114">
        <v>0.0006266581049062596</v>
      </c>
      <c r="E314" s="114">
        <v>1.4628548903200629</v>
      </c>
      <c r="F314" s="112" t="s">
        <v>3314</v>
      </c>
      <c r="G314" s="112" t="b">
        <v>0</v>
      </c>
      <c r="H314" s="112" t="b">
        <v>0</v>
      </c>
      <c r="I314" s="112" t="b">
        <v>0</v>
      </c>
      <c r="J314" s="112" t="b">
        <v>0</v>
      </c>
      <c r="K314" s="112" t="b">
        <v>0</v>
      </c>
      <c r="L314" s="112" t="b">
        <v>0</v>
      </c>
    </row>
    <row r="315" spans="1:12" ht="15">
      <c r="A315" s="112" t="s">
        <v>2221</v>
      </c>
      <c r="B315" s="112" t="s">
        <v>2590</v>
      </c>
      <c r="C315" s="112">
        <v>4</v>
      </c>
      <c r="D315" s="114">
        <v>0.0006266581049062596</v>
      </c>
      <c r="E315" s="114">
        <v>2.961165444109663</v>
      </c>
      <c r="F315" s="112" t="s">
        <v>3314</v>
      </c>
      <c r="G315" s="112" t="b">
        <v>0</v>
      </c>
      <c r="H315" s="112" t="b">
        <v>0</v>
      </c>
      <c r="I315" s="112" t="b">
        <v>0</v>
      </c>
      <c r="J315" s="112" t="b">
        <v>0</v>
      </c>
      <c r="K315" s="112" t="b">
        <v>0</v>
      </c>
      <c r="L315" s="112" t="b">
        <v>0</v>
      </c>
    </row>
    <row r="316" spans="1:12" ht="15">
      <c r="A316" s="112" t="s">
        <v>2590</v>
      </c>
      <c r="B316" s="112" t="s">
        <v>2089</v>
      </c>
      <c r="C316" s="112">
        <v>4</v>
      </c>
      <c r="D316" s="114">
        <v>0.0006266581049062596</v>
      </c>
      <c r="E316" s="114">
        <v>2.0928375633769316</v>
      </c>
      <c r="F316" s="112" t="s">
        <v>3314</v>
      </c>
      <c r="G316" s="112" t="b">
        <v>0</v>
      </c>
      <c r="H316" s="112" t="b">
        <v>0</v>
      </c>
      <c r="I316" s="112" t="b">
        <v>0</v>
      </c>
      <c r="J316" s="112" t="b">
        <v>0</v>
      </c>
      <c r="K316" s="112" t="b">
        <v>0</v>
      </c>
      <c r="L316" s="112" t="b">
        <v>0</v>
      </c>
    </row>
    <row r="317" spans="1:12" ht="15">
      <c r="A317" s="112" t="s">
        <v>2096</v>
      </c>
      <c r="B317" s="112" t="s">
        <v>2137</v>
      </c>
      <c r="C317" s="112">
        <v>4</v>
      </c>
      <c r="D317" s="114">
        <v>0.0006266581049062596</v>
      </c>
      <c r="E317" s="114">
        <v>1.333169718687301</v>
      </c>
      <c r="F317" s="112" t="s">
        <v>3314</v>
      </c>
      <c r="G317" s="112" t="b">
        <v>0</v>
      </c>
      <c r="H317" s="112" t="b">
        <v>0</v>
      </c>
      <c r="I317" s="112" t="b">
        <v>0</v>
      </c>
      <c r="J317" s="112" t="b">
        <v>0</v>
      </c>
      <c r="K317" s="112" t="b">
        <v>0</v>
      </c>
      <c r="L317" s="112" t="b">
        <v>0</v>
      </c>
    </row>
    <row r="318" spans="1:12" ht="15">
      <c r="A318" s="112" t="s">
        <v>2594</v>
      </c>
      <c r="B318" s="112" t="s">
        <v>2595</v>
      </c>
      <c r="C318" s="112">
        <v>4</v>
      </c>
      <c r="D318" s="114">
        <v>0.0008237962815034968</v>
      </c>
      <c r="E318" s="114">
        <v>3.4730488050885375</v>
      </c>
      <c r="F318" s="112" t="s">
        <v>3314</v>
      </c>
      <c r="G318" s="112" t="b">
        <v>0</v>
      </c>
      <c r="H318" s="112" t="b">
        <v>0</v>
      </c>
      <c r="I318" s="112" t="b">
        <v>0</v>
      </c>
      <c r="J318" s="112" t="b">
        <v>0</v>
      </c>
      <c r="K318" s="112" t="b">
        <v>0</v>
      </c>
      <c r="L318" s="112" t="b">
        <v>0</v>
      </c>
    </row>
    <row r="319" spans="1:12" ht="15">
      <c r="A319" s="112" t="s">
        <v>2181</v>
      </c>
      <c r="B319" s="112" t="s">
        <v>2181</v>
      </c>
      <c r="C319" s="112">
        <v>4</v>
      </c>
      <c r="D319" s="114">
        <v>0.0007252271932048783</v>
      </c>
      <c r="E319" s="114">
        <v>2.242599883710264</v>
      </c>
      <c r="F319" s="112" t="s">
        <v>3314</v>
      </c>
      <c r="G319" s="112" t="b">
        <v>1</v>
      </c>
      <c r="H319" s="112" t="b">
        <v>0</v>
      </c>
      <c r="I319" s="112" t="b">
        <v>0</v>
      </c>
      <c r="J319" s="112" t="b">
        <v>1</v>
      </c>
      <c r="K319" s="112" t="b">
        <v>0</v>
      </c>
      <c r="L319" s="112" t="b">
        <v>0</v>
      </c>
    </row>
    <row r="320" spans="1:12" ht="15">
      <c r="A320" s="112" t="s">
        <v>2298</v>
      </c>
      <c r="B320" s="112" t="s">
        <v>2485</v>
      </c>
      <c r="C320" s="112">
        <v>4</v>
      </c>
      <c r="D320" s="114">
        <v>0.0006266581049062596</v>
      </c>
      <c r="E320" s="114">
        <v>3.0239562739691186</v>
      </c>
      <c r="F320" s="112" t="s">
        <v>3314</v>
      </c>
      <c r="G320" s="112" t="b">
        <v>0</v>
      </c>
      <c r="H320" s="112" t="b">
        <v>0</v>
      </c>
      <c r="I320" s="112" t="b">
        <v>0</v>
      </c>
      <c r="J320" s="112" t="b">
        <v>0</v>
      </c>
      <c r="K320" s="112" t="b">
        <v>0</v>
      </c>
      <c r="L320" s="112" t="b">
        <v>0</v>
      </c>
    </row>
    <row r="321" spans="1:12" ht="15">
      <c r="A321" s="112" t="s">
        <v>2156</v>
      </c>
      <c r="B321" s="112" t="s">
        <v>2156</v>
      </c>
      <c r="C321" s="112">
        <v>4</v>
      </c>
      <c r="D321" s="114">
        <v>0.0006675679728199138</v>
      </c>
      <c r="E321" s="114">
        <v>1.9352297100152636</v>
      </c>
      <c r="F321" s="112" t="s">
        <v>3314</v>
      </c>
      <c r="G321" s="112" t="b">
        <v>0</v>
      </c>
      <c r="H321" s="112" t="b">
        <v>0</v>
      </c>
      <c r="I321" s="112" t="b">
        <v>0</v>
      </c>
      <c r="J321" s="112" t="b">
        <v>0</v>
      </c>
      <c r="K321" s="112" t="b">
        <v>0</v>
      </c>
      <c r="L321" s="112" t="b">
        <v>0</v>
      </c>
    </row>
    <row r="322" spans="1:12" ht="15">
      <c r="A322" s="112" t="s">
        <v>2427</v>
      </c>
      <c r="B322" s="112" t="s">
        <v>2609</v>
      </c>
      <c r="C322" s="112">
        <v>4</v>
      </c>
      <c r="D322" s="114">
        <v>0.0006675679728199138</v>
      </c>
      <c r="E322" s="114">
        <v>3.2969575460328566</v>
      </c>
      <c r="F322" s="112" t="s">
        <v>3314</v>
      </c>
      <c r="G322" s="112" t="b">
        <v>0</v>
      </c>
      <c r="H322" s="112" t="b">
        <v>0</v>
      </c>
      <c r="I322" s="112" t="b">
        <v>0</v>
      </c>
      <c r="J322" s="112" t="b">
        <v>0</v>
      </c>
      <c r="K322" s="112" t="b">
        <v>0</v>
      </c>
      <c r="L322" s="112" t="b">
        <v>0</v>
      </c>
    </row>
    <row r="323" spans="1:12" ht="15">
      <c r="A323" s="112" t="s">
        <v>2333</v>
      </c>
      <c r="B323" s="112" t="s">
        <v>2501</v>
      </c>
      <c r="C323" s="112">
        <v>4</v>
      </c>
      <c r="D323" s="114">
        <v>0.0008237962815034968</v>
      </c>
      <c r="E323" s="114">
        <v>3.0751087964165</v>
      </c>
      <c r="F323" s="112" t="s">
        <v>3314</v>
      </c>
      <c r="G323" s="112" t="b">
        <v>0</v>
      </c>
      <c r="H323" s="112" t="b">
        <v>0</v>
      </c>
      <c r="I323" s="112" t="b">
        <v>0</v>
      </c>
      <c r="J323" s="112" t="b">
        <v>0</v>
      </c>
      <c r="K323" s="112" t="b">
        <v>1</v>
      </c>
      <c r="L323" s="112" t="b">
        <v>0</v>
      </c>
    </row>
    <row r="324" spans="1:12" ht="15">
      <c r="A324" s="112" t="s">
        <v>2083</v>
      </c>
      <c r="B324" s="112" t="s">
        <v>2277</v>
      </c>
      <c r="C324" s="112">
        <v>3</v>
      </c>
      <c r="D324" s="114">
        <v>0.0005006759796149353</v>
      </c>
      <c r="E324" s="114">
        <v>1.4941838207408809</v>
      </c>
      <c r="F324" s="112" t="s">
        <v>3314</v>
      </c>
      <c r="G324" s="112" t="b">
        <v>0</v>
      </c>
      <c r="H324" s="112" t="b">
        <v>0</v>
      </c>
      <c r="I324" s="112" t="b">
        <v>0</v>
      </c>
      <c r="J324" s="112" t="b">
        <v>0</v>
      </c>
      <c r="K324" s="112" t="b">
        <v>0</v>
      </c>
      <c r="L324" s="112" t="b">
        <v>0</v>
      </c>
    </row>
    <row r="325" spans="1:12" ht="15">
      <c r="A325" s="112" t="s">
        <v>2090</v>
      </c>
      <c r="B325" s="112" t="s">
        <v>2094</v>
      </c>
      <c r="C325" s="112">
        <v>3</v>
      </c>
      <c r="D325" s="114">
        <v>0.0005006759796149353</v>
      </c>
      <c r="E325" s="114">
        <v>0.777713085407613</v>
      </c>
      <c r="F325" s="112" t="s">
        <v>3314</v>
      </c>
      <c r="G325" s="112" t="b">
        <v>0</v>
      </c>
      <c r="H325" s="112" t="b">
        <v>0</v>
      </c>
      <c r="I325" s="112" t="b">
        <v>0</v>
      </c>
      <c r="J325" s="112" t="b">
        <v>0</v>
      </c>
      <c r="K325" s="112" t="b">
        <v>0</v>
      </c>
      <c r="L325" s="112" t="b">
        <v>0</v>
      </c>
    </row>
    <row r="326" spans="1:12" ht="15">
      <c r="A326" s="112" t="s">
        <v>2224</v>
      </c>
      <c r="B326" s="112" t="s">
        <v>2083</v>
      </c>
      <c r="C326" s="112">
        <v>3</v>
      </c>
      <c r="D326" s="114">
        <v>0.0005006759796149353</v>
      </c>
      <c r="E326" s="114">
        <v>1.4174156808157024</v>
      </c>
      <c r="F326" s="112" t="s">
        <v>3314</v>
      </c>
      <c r="G326" s="112" t="b">
        <v>0</v>
      </c>
      <c r="H326" s="112" t="b">
        <v>0</v>
      </c>
      <c r="I326" s="112" t="b">
        <v>0</v>
      </c>
      <c r="J326" s="112" t="b">
        <v>0</v>
      </c>
      <c r="K326" s="112" t="b">
        <v>0</v>
      </c>
      <c r="L326" s="112" t="b">
        <v>0</v>
      </c>
    </row>
    <row r="327" spans="1:12" ht="15">
      <c r="A327" s="112" t="s">
        <v>2083</v>
      </c>
      <c r="B327" s="112" t="s">
        <v>2204</v>
      </c>
      <c r="C327" s="112">
        <v>3</v>
      </c>
      <c r="D327" s="114">
        <v>0.0005006759796149353</v>
      </c>
      <c r="E327" s="114">
        <v>1.3022982945019677</v>
      </c>
      <c r="F327" s="112" t="s">
        <v>3314</v>
      </c>
      <c r="G327" s="112" t="b">
        <v>0</v>
      </c>
      <c r="H327" s="112" t="b">
        <v>0</v>
      </c>
      <c r="I327" s="112" t="b">
        <v>0</v>
      </c>
      <c r="J327" s="112" t="b">
        <v>0</v>
      </c>
      <c r="K327" s="112" t="b">
        <v>0</v>
      </c>
      <c r="L327" s="112" t="b">
        <v>0</v>
      </c>
    </row>
    <row r="328" spans="1:12" ht="15">
      <c r="A328" s="112" t="s">
        <v>2204</v>
      </c>
      <c r="B328" s="112" t="s">
        <v>2090</v>
      </c>
      <c r="C328" s="112">
        <v>3</v>
      </c>
      <c r="D328" s="114">
        <v>0.0005006759796149353</v>
      </c>
      <c r="E328" s="114">
        <v>1.53855035384497</v>
      </c>
      <c r="F328" s="112" t="s">
        <v>3314</v>
      </c>
      <c r="G328" s="112" t="b">
        <v>0</v>
      </c>
      <c r="H328" s="112" t="b">
        <v>0</v>
      </c>
      <c r="I328" s="112" t="b">
        <v>0</v>
      </c>
      <c r="J328" s="112" t="b">
        <v>0</v>
      </c>
      <c r="K328" s="112" t="b">
        <v>0</v>
      </c>
      <c r="L328" s="112" t="b">
        <v>0</v>
      </c>
    </row>
    <row r="329" spans="1:12" ht="15">
      <c r="A329" s="112" t="s">
        <v>2251</v>
      </c>
      <c r="B329" s="112" t="s">
        <v>2188</v>
      </c>
      <c r="C329" s="112">
        <v>3</v>
      </c>
      <c r="D329" s="114">
        <v>0.0006178472111276226</v>
      </c>
      <c r="E329" s="114">
        <v>2.3481100684802376</v>
      </c>
      <c r="F329" s="112" t="s">
        <v>3314</v>
      </c>
      <c r="G329" s="112" t="b">
        <v>0</v>
      </c>
      <c r="H329" s="112" t="b">
        <v>0</v>
      </c>
      <c r="I329" s="112" t="b">
        <v>0</v>
      </c>
      <c r="J329" s="112" t="b">
        <v>0</v>
      </c>
      <c r="K329" s="112" t="b">
        <v>0</v>
      </c>
      <c r="L329" s="112" t="b">
        <v>0</v>
      </c>
    </row>
    <row r="330" spans="1:12" ht="15">
      <c r="A330" s="112" t="s">
        <v>2090</v>
      </c>
      <c r="B330" s="112" t="s">
        <v>2159</v>
      </c>
      <c r="C330" s="112">
        <v>3</v>
      </c>
      <c r="D330" s="114">
        <v>0.0005006759796149353</v>
      </c>
      <c r="E330" s="114">
        <v>1.3005918306879505</v>
      </c>
      <c r="F330" s="112" t="s">
        <v>3314</v>
      </c>
      <c r="G330" s="112" t="b">
        <v>0</v>
      </c>
      <c r="H330" s="112" t="b">
        <v>0</v>
      </c>
      <c r="I330" s="112" t="b">
        <v>0</v>
      </c>
      <c r="J330" s="112" t="b">
        <v>0</v>
      </c>
      <c r="K330" s="112" t="b">
        <v>0</v>
      </c>
      <c r="L330" s="112" t="b">
        <v>0</v>
      </c>
    </row>
    <row r="331" spans="1:12" ht="15">
      <c r="A331" s="112" t="s">
        <v>2095</v>
      </c>
      <c r="B331" s="112" t="s">
        <v>2086</v>
      </c>
      <c r="C331" s="112">
        <v>3</v>
      </c>
      <c r="D331" s="114">
        <v>0.0005006759796149353</v>
      </c>
      <c r="E331" s="114">
        <v>0.6759544624582836</v>
      </c>
      <c r="F331" s="112" t="s">
        <v>3314</v>
      </c>
      <c r="G331" s="112" t="b">
        <v>0</v>
      </c>
      <c r="H331" s="112" t="b">
        <v>0</v>
      </c>
      <c r="I331" s="112" t="b">
        <v>0</v>
      </c>
      <c r="J331" s="112" t="b">
        <v>0</v>
      </c>
      <c r="K331" s="112" t="b">
        <v>0</v>
      </c>
      <c r="L331" s="112" t="b">
        <v>0</v>
      </c>
    </row>
    <row r="332" spans="1:12" ht="15">
      <c r="A332" s="112" t="s">
        <v>2433</v>
      </c>
      <c r="B332" s="112" t="s">
        <v>2345</v>
      </c>
      <c r="C332" s="112">
        <v>3</v>
      </c>
      <c r="D332" s="114">
        <v>0.0006178472111276226</v>
      </c>
      <c r="E332" s="114">
        <v>3.008162006785887</v>
      </c>
      <c r="F332" s="112" t="s">
        <v>3314</v>
      </c>
      <c r="G332" s="112" t="b">
        <v>0</v>
      </c>
      <c r="H332" s="112" t="b">
        <v>0</v>
      </c>
      <c r="I332" s="112" t="b">
        <v>0</v>
      </c>
      <c r="J332" s="112" t="b">
        <v>0</v>
      </c>
      <c r="K332" s="112" t="b">
        <v>1</v>
      </c>
      <c r="L332" s="112" t="b">
        <v>0</v>
      </c>
    </row>
    <row r="333" spans="1:12" ht="15">
      <c r="A333" s="112" t="s">
        <v>2434</v>
      </c>
      <c r="B333" s="112" t="s">
        <v>2626</v>
      </c>
      <c r="C333" s="112">
        <v>3</v>
      </c>
      <c r="D333" s="114">
        <v>0.0006178472111276226</v>
      </c>
      <c r="E333" s="114">
        <v>3.3761387920804813</v>
      </c>
      <c r="F333" s="112" t="s">
        <v>3314</v>
      </c>
      <c r="G333" s="112" t="b">
        <v>0</v>
      </c>
      <c r="H333" s="112" t="b">
        <v>0</v>
      </c>
      <c r="I333" s="112" t="b">
        <v>0</v>
      </c>
      <c r="J333" s="112" t="b">
        <v>0</v>
      </c>
      <c r="K333" s="112" t="b">
        <v>0</v>
      </c>
      <c r="L333" s="112" t="b">
        <v>0</v>
      </c>
    </row>
    <row r="334" spans="1:12" ht="15">
      <c r="A334" s="112" t="s">
        <v>2627</v>
      </c>
      <c r="B334" s="112" t="s">
        <v>2177</v>
      </c>
      <c r="C334" s="112">
        <v>3</v>
      </c>
      <c r="D334" s="114">
        <v>0.0005439203949036586</v>
      </c>
      <c r="E334" s="114">
        <v>2.8446598750382264</v>
      </c>
      <c r="F334" s="112" t="s">
        <v>3314</v>
      </c>
      <c r="G334" s="112" t="b">
        <v>0</v>
      </c>
      <c r="H334" s="112" t="b">
        <v>0</v>
      </c>
      <c r="I334" s="112" t="b">
        <v>0</v>
      </c>
      <c r="J334" s="112" t="b">
        <v>0</v>
      </c>
      <c r="K334" s="112" t="b">
        <v>0</v>
      </c>
      <c r="L334" s="112" t="b">
        <v>0</v>
      </c>
    </row>
    <row r="335" spans="1:12" ht="15">
      <c r="A335" s="112" t="s">
        <v>2177</v>
      </c>
      <c r="B335" s="112" t="s">
        <v>2140</v>
      </c>
      <c r="C335" s="112">
        <v>3</v>
      </c>
      <c r="D335" s="114">
        <v>0.0005006759796149353</v>
      </c>
      <c r="E335" s="114">
        <v>1.8446598750382261</v>
      </c>
      <c r="F335" s="112" t="s">
        <v>3314</v>
      </c>
      <c r="G335" s="112" t="b">
        <v>0</v>
      </c>
      <c r="H335" s="112" t="b">
        <v>0</v>
      </c>
      <c r="I335" s="112" t="b">
        <v>0</v>
      </c>
      <c r="J335" s="112" t="b">
        <v>0</v>
      </c>
      <c r="K335" s="112" t="b">
        <v>0</v>
      </c>
      <c r="L335" s="112" t="b">
        <v>0</v>
      </c>
    </row>
    <row r="336" spans="1:12" ht="15">
      <c r="A336" s="112" t="s">
        <v>2628</v>
      </c>
      <c r="B336" s="112" t="s">
        <v>2087</v>
      </c>
      <c r="C336" s="112">
        <v>3</v>
      </c>
      <c r="D336" s="114">
        <v>0.0005006759796149353</v>
      </c>
      <c r="E336" s="114">
        <v>2.0539194973465618</v>
      </c>
      <c r="F336" s="112" t="s">
        <v>3314</v>
      </c>
      <c r="G336" s="112" t="b">
        <v>0</v>
      </c>
      <c r="H336" s="112" t="b">
        <v>0</v>
      </c>
      <c r="I336" s="112" t="b">
        <v>0</v>
      </c>
      <c r="J336" s="112" t="b">
        <v>0</v>
      </c>
      <c r="K336" s="112" t="b">
        <v>0</v>
      </c>
      <c r="L336" s="112" t="b">
        <v>0</v>
      </c>
    </row>
    <row r="337" spans="1:12" ht="15">
      <c r="A337" s="112" t="s">
        <v>2079</v>
      </c>
      <c r="B337" s="112" t="s">
        <v>2384</v>
      </c>
      <c r="C337" s="112">
        <v>3</v>
      </c>
      <c r="D337" s="114">
        <v>0.0005439203949036586</v>
      </c>
      <c r="E337" s="114">
        <v>1.3726782599709748</v>
      </c>
      <c r="F337" s="112" t="s">
        <v>3314</v>
      </c>
      <c r="G337" s="112" t="b">
        <v>0</v>
      </c>
      <c r="H337" s="112" t="b">
        <v>0</v>
      </c>
      <c r="I337" s="112" t="b">
        <v>0</v>
      </c>
      <c r="J337" s="112" t="b">
        <v>0</v>
      </c>
      <c r="K337" s="112" t="b">
        <v>0</v>
      </c>
      <c r="L337" s="112" t="b">
        <v>0</v>
      </c>
    </row>
    <row r="338" spans="1:12" ht="15">
      <c r="A338" s="112" t="s">
        <v>2255</v>
      </c>
      <c r="B338" s="112" t="s">
        <v>2502</v>
      </c>
      <c r="C338" s="112">
        <v>3</v>
      </c>
      <c r="D338" s="114">
        <v>0.0005439203949036586</v>
      </c>
      <c r="E338" s="114">
        <v>2.9501700598082</v>
      </c>
      <c r="F338" s="112" t="s">
        <v>3314</v>
      </c>
      <c r="G338" s="112" t="b">
        <v>0</v>
      </c>
      <c r="H338" s="112" t="b">
        <v>0</v>
      </c>
      <c r="I338" s="112" t="b">
        <v>0</v>
      </c>
      <c r="J338" s="112" t="b">
        <v>0</v>
      </c>
      <c r="K338" s="112" t="b">
        <v>0</v>
      </c>
      <c r="L338" s="112" t="b">
        <v>0</v>
      </c>
    </row>
    <row r="339" spans="1:12" ht="15">
      <c r="A339" s="112" t="s">
        <v>2435</v>
      </c>
      <c r="B339" s="112" t="s">
        <v>2078</v>
      </c>
      <c r="C339" s="112">
        <v>3</v>
      </c>
      <c r="D339" s="114">
        <v>0.0005006759796149353</v>
      </c>
      <c r="E339" s="114">
        <v>1.3790437827238884</v>
      </c>
      <c r="F339" s="112" t="s">
        <v>3314</v>
      </c>
      <c r="G339" s="112" t="b">
        <v>0</v>
      </c>
      <c r="H339" s="112" t="b">
        <v>0</v>
      </c>
      <c r="I339" s="112" t="b">
        <v>0</v>
      </c>
      <c r="J339" s="112" t="b">
        <v>0</v>
      </c>
      <c r="K339" s="112" t="b">
        <v>0</v>
      </c>
      <c r="L339" s="112" t="b">
        <v>0</v>
      </c>
    </row>
    <row r="340" spans="1:12" ht="15">
      <c r="A340" s="112" t="s">
        <v>2078</v>
      </c>
      <c r="B340" s="112" t="s">
        <v>2143</v>
      </c>
      <c r="C340" s="112">
        <v>3</v>
      </c>
      <c r="D340" s="114">
        <v>0.0005006759796149353</v>
      </c>
      <c r="E340" s="114">
        <v>0.6053849371755394</v>
      </c>
      <c r="F340" s="112" t="s">
        <v>3314</v>
      </c>
      <c r="G340" s="112" t="b">
        <v>0</v>
      </c>
      <c r="H340" s="112" t="b">
        <v>0</v>
      </c>
      <c r="I340" s="112" t="b">
        <v>0</v>
      </c>
      <c r="J340" s="112" t="b">
        <v>0</v>
      </c>
      <c r="K340" s="112" t="b">
        <v>0</v>
      </c>
      <c r="L340" s="112" t="b">
        <v>0</v>
      </c>
    </row>
    <row r="341" spans="1:12" ht="15">
      <c r="A341" s="112" t="s">
        <v>2160</v>
      </c>
      <c r="B341" s="112" t="s">
        <v>2279</v>
      </c>
      <c r="C341" s="112">
        <v>3</v>
      </c>
      <c r="D341" s="114">
        <v>0.0005006759796149353</v>
      </c>
      <c r="E341" s="114">
        <v>2.2757682469629184</v>
      </c>
      <c r="F341" s="112" t="s">
        <v>3314</v>
      </c>
      <c r="G341" s="112" t="b">
        <v>0</v>
      </c>
      <c r="H341" s="112" t="b">
        <v>1</v>
      </c>
      <c r="I341" s="112" t="b">
        <v>0</v>
      </c>
      <c r="J341" s="112" t="b">
        <v>0</v>
      </c>
      <c r="K341" s="112" t="b">
        <v>0</v>
      </c>
      <c r="L341" s="112" t="b">
        <v>0</v>
      </c>
    </row>
    <row r="342" spans="1:12" ht="15">
      <c r="A342" s="112" t="s">
        <v>2515</v>
      </c>
      <c r="B342" s="112" t="s">
        <v>2078</v>
      </c>
      <c r="C342" s="112">
        <v>3</v>
      </c>
      <c r="D342" s="114">
        <v>0.0005006759796149353</v>
      </c>
      <c r="E342" s="114">
        <v>1.4759537957319449</v>
      </c>
      <c r="F342" s="112" t="s">
        <v>3314</v>
      </c>
      <c r="G342" s="112" t="b">
        <v>0</v>
      </c>
      <c r="H342" s="112" t="b">
        <v>0</v>
      </c>
      <c r="I342" s="112" t="b">
        <v>0</v>
      </c>
      <c r="J342" s="112" t="b">
        <v>0</v>
      </c>
      <c r="K342" s="112" t="b">
        <v>0</v>
      </c>
      <c r="L342" s="112" t="b">
        <v>0</v>
      </c>
    </row>
    <row r="343" spans="1:12" ht="15">
      <c r="A343" s="112" t="s">
        <v>2151</v>
      </c>
      <c r="B343" s="112" t="s">
        <v>2140</v>
      </c>
      <c r="C343" s="112">
        <v>3</v>
      </c>
      <c r="D343" s="114">
        <v>0.0005006759796149353</v>
      </c>
      <c r="E343" s="114">
        <v>1.6948975547048941</v>
      </c>
      <c r="F343" s="112" t="s">
        <v>3314</v>
      </c>
      <c r="G343" s="112" t="b">
        <v>0</v>
      </c>
      <c r="H343" s="112" t="b">
        <v>0</v>
      </c>
      <c r="I343" s="112" t="b">
        <v>0</v>
      </c>
      <c r="J343" s="112" t="b">
        <v>0</v>
      </c>
      <c r="K343" s="112" t="b">
        <v>0</v>
      </c>
      <c r="L343" s="112" t="b">
        <v>0</v>
      </c>
    </row>
    <row r="344" spans="1:12" ht="15">
      <c r="A344" s="112" t="s">
        <v>2150</v>
      </c>
      <c r="B344" s="112" t="s">
        <v>2081</v>
      </c>
      <c r="C344" s="112">
        <v>3</v>
      </c>
      <c r="D344" s="114">
        <v>0.0005006759796149353</v>
      </c>
      <c r="E344" s="114">
        <v>0.9467095276986937</v>
      </c>
      <c r="F344" s="112" t="s">
        <v>3314</v>
      </c>
      <c r="G344" s="112" t="b">
        <v>0</v>
      </c>
      <c r="H344" s="112" t="b">
        <v>0</v>
      </c>
      <c r="I344" s="112" t="b">
        <v>0</v>
      </c>
      <c r="J344" s="112" t="b">
        <v>0</v>
      </c>
      <c r="K344" s="112" t="b">
        <v>0</v>
      </c>
      <c r="L344" s="112" t="b">
        <v>0</v>
      </c>
    </row>
    <row r="345" spans="1:12" ht="15">
      <c r="A345" s="112" t="s">
        <v>2098</v>
      </c>
      <c r="B345" s="112" t="s">
        <v>2256</v>
      </c>
      <c r="C345" s="112">
        <v>3</v>
      </c>
      <c r="D345" s="114">
        <v>0.0005006759796149353</v>
      </c>
      <c r="E345" s="114">
        <v>1.8279541815353735</v>
      </c>
      <c r="F345" s="112" t="s">
        <v>3314</v>
      </c>
      <c r="G345" s="112" t="b">
        <v>1</v>
      </c>
      <c r="H345" s="112" t="b">
        <v>0</v>
      </c>
      <c r="I345" s="112" t="b">
        <v>0</v>
      </c>
      <c r="J345" s="112" t="b">
        <v>0</v>
      </c>
      <c r="K345" s="112" t="b">
        <v>0</v>
      </c>
      <c r="L345" s="112" t="b">
        <v>0</v>
      </c>
    </row>
    <row r="346" spans="1:12" ht="15">
      <c r="A346" s="112" t="s">
        <v>2157</v>
      </c>
      <c r="B346" s="112" t="s">
        <v>2178</v>
      </c>
      <c r="C346" s="112">
        <v>3</v>
      </c>
      <c r="D346" s="114">
        <v>0.0005006759796149353</v>
      </c>
      <c r="E346" s="114">
        <v>1.9600532937402957</v>
      </c>
      <c r="F346" s="112" t="s">
        <v>3314</v>
      </c>
      <c r="G346" s="112" t="b">
        <v>0</v>
      </c>
      <c r="H346" s="112" t="b">
        <v>0</v>
      </c>
      <c r="I346" s="112" t="b">
        <v>0</v>
      </c>
      <c r="J346" s="112" t="b">
        <v>0</v>
      </c>
      <c r="K346" s="112" t="b">
        <v>0</v>
      </c>
      <c r="L346" s="112" t="b">
        <v>0</v>
      </c>
    </row>
    <row r="347" spans="1:12" ht="15">
      <c r="A347" s="112" t="s">
        <v>2152</v>
      </c>
      <c r="B347" s="112" t="s">
        <v>2081</v>
      </c>
      <c r="C347" s="112">
        <v>3</v>
      </c>
      <c r="D347" s="114">
        <v>0.0005006759796149353</v>
      </c>
      <c r="E347" s="114">
        <v>0.9467095276986937</v>
      </c>
      <c r="F347" s="112" t="s">
        <v>3314</v>
      </c>
      <c r="G347" s="112" t="b">
        <v>0</v>
      </c>
      <c r="H347" s="112" t="b">
        <v>0</v>
      </c>
      <c r="I347" s="112" t="b">
        <v>0</v>
      </c>
      <c r="J347" s="112" t="b">
        <v>0</v>
      </c>
      <c r="K347" s="112" t="b">
        <v>0</v>
      </c>
      <c r="L347" s="112" t="b">
        <v>0</v>
      </c>
    </row>
    <row r="348" spans="1:12" ht="15">
      <c r="A348" s="112" t="s">
        <v>2098</v>
      </c>
      <c r="B348" s="112" t="s">
        <v>2086</v>
      </c>
      <c r="C348" s="112">
        <v>3</v>
      </c>
      <c r="D348" s="114">
        <v>0.0005006759796149353</v>
      </c>
      <c r="E348" s="114">
        <v>0.7905276835947499</v>
      </c>
      <c r="F348" s="112" t="s">
        <v>3314</v>
      </c>
      <c r="G348" s="112" t="b">
        <v>1</v>
      </c>
      <c r="H348" s="112" t="b">
        <v>0</v>
      </c>
      <c r="I348" s="112" t="b">
        <v>0</v>
      </c>
      <c r="J348" s="112" t="b">
        <v>0</v>
      </c>
      <c r="K348" s="112" t="b">
        <v>0</v>
      </c>
      <c r="L348" s="112" t="b">
        <v>0</v>
      </c>
    </row>
    <row r="349" spans="1:12" ht="15">
      <c r="A349" s="112" t="s">
        <v>2197</v>
      </c>
      <c r="B349" s="112" t="s">
        <v>2206</v>
      </c>
      <c r="C349" s="112">
        <v>3</v>
      </c>
      <c r="D349" s="114">
        <v>0.0006178472111276226</v>
      </c>
      <c r="E349" s="114">
        <v>2.2599739797796863</v>
      </c>
      <c r="F349" s="112" t="s">
        <v>3314</v>
      </c>
      <c r="G349" s="112" t="b">
        <v>0</v>
      </c>
      <c r="H349" s="112" t="b">
        <v>0</v>
      </c>
      <c r="I349" s="112" t="b">
        <v>0</v>
      </c>
      <c r="J349" s="112" t="b">
        <v>1</v>
      </c>
      <c r="K349" s="112" t="b">
        <v>0</v>
      </c>
      <c r="L349" s="112" t="b">
        <v>0</v>
      </c>
    </row>
    <row r="350" spans="1:12" ht="15">
      <c r="A350" s="112" t="s">
        <v>2144</v>
      </c>
      <c r="B350" s="112" t="s">
        <v>2144</v>
      </c>
      <c r="C350" s="112">
        <v>3</v>
      </c>
      <c r="D350" s="114">
        <v>0.0005006759796149353</v>
      </c>
      <c r="E350" s="114">
        <v>1.657913988451724</v>
      </c>
      <c r="F350" s="112" t="s">
        <v>3314</v>
      </c>
      <c r="G350" s="112" t="b">
        <v>0</v>
      </c>
      <c r="H350" s="112" t="b">
        <v>0</v>
      </c>
      <c r="I350" s="112" t="b">
        <v>0</v>
      </c>
      <c r="J350" s="112" t="b">
        <v>0</v>
      </c>
      <c r="K350" s="112" t="b">
        <v>0</v>
      </c>
      <c r="L350" s="112" t="b">
        <v>0</v>
      </c>
    </row>
    <row r="351" spans="1:12" ht="15">
      <c r="A351" s="112" t="s">
        <v>2167</v>
      </c>
      <c r="B351" s="112" t="s">
        <v>2211</v>
      </c>
      <c r="C351" s="112">
        <v>3</v>
      </c>
      <c r="D351" s="114">
        <v>0.0006178472111276226</v>
      </c>
      <c r="E351" s="114">
        <v>2.1372567031653444</v>
      </c>
      <c r="F351" s="112" t="s">
        <v>3314</v>
      </c>
      <c r="G351" s="112" t="b">
        <v>0</v>
      </c>
      <c r="H351" s="112" t="b">
        <v>0</v>
      </c>
      <c r="I351" s="112" t="b">
        <v>0</v>
      </c>
      <c r="J351" s="112" t="b">
        <v>0</v>
      </c>
      <c r="K351" s="112" t="b">
        <v>0</v>
      </c>
      <c r="L351" s="112" t="b">
        <v>0</v>
      </c>
    </row>
    <row r="352" spans="1:12" ht="15">
      <c r="A352" s="112" t="s">
        <v>2519</v>
      </c>
      <c r="B352" s="112" t="s">
        <v>2078</v>
      </c>
      <c r="C352" s="112">
        <v>3</v>
      </c>
      <c r="D352" s="114">
        <v>0.0005006759796149353</v>
      </c>
      <c r="E352" s="114">
        <v>1.4759537957319449</v>
      </c>
      <c r="F352" s="112" t="s">
        <v>3314</v>
      </c>
      <c r="G352" s="112" t="b">
        <v>1</v>
      </c>
      <c r="H352" s="112" t="b">
        <v>0</v>
      </c>
      <c r="I352" s="112" t="b">
        <v>0</v>
      </c>
      <c r="J352" s="112" t="b">
        <v>0</v>
      </c>
      <c r="K352" s="112" t="b">
        <v>0</v>
      </c>
      <c r="L352" s="112" t="b">
        <v>0</v>
      </c>
    </row>
    <row r="353" spans="1:12" ht="15">
      <c r="A353" s="112" t="s">
        <v>2343</v>
      </c>
      <c r="B353" s="112" t="s">
        <v>2081</v>
      </c>
      <c r="C353" s="112">
        <v>3</v>
      </c>
      <c r="D353" s="114">
        <v>0.0005006759796149353</v>
      </c>
      <c r="E353" s="114">
        <v>1.548769519026656</v>
      </c>
      <c r="F353" s="112" t="s">
        <v>3314</v>
      </c>
      <c r="G353" s="112" t="b">
        <v>0</v>
      </c>
      <c r="H353" s="112" t="b">
        <v>0</v>
      </c>
      <c r="I353" s="112" t="b">
        <v>0</v>
      </c>
      <c r="J353" s="112" t="b">
        <v>0</v>
      </c>
      <c r="K353" s="112" t="b">
        <v>0</v>
      </c>
      <c r="L353" s="112" t="b">
        <v>0</v>
      </c>
    </row>
    <row r="354" spans="1:12" ht="15">
      <c r="A354" s="112" t="s">
        <v>2223</v>
      </c>
      <c r="B354" s="112" t="s">
        <v>2165</v>
      </c>
      <c r="C354" s="112">
        <v>3</v>
      </c>
      <c r="D354" s="114">
        <v>0.0005006759796149353</v>
      </c>
      <c r="E354" s="114">
        <v>2.209807370313956</v>
      </c>
      <c r="F354" s="112" t="s">
        <v>3314</v>
      </c>
      <c r="G354" s="112" t="b">
        <v>0</v>
      </c>
      <c r="H354" s="112" t="b">
        <v>0</v>
      </c>
      <c r="I354" s="112" t="b">
        <v>0</v>
      </c>
      <c r="J354" s="112" t="b">
        <v>0</v>
      </c>
      <c r="K354" s="112" t="b">
        <v>0</v>
      </c>
      <c r="L354" s="112" t="b">
        <v>0</v>
      </c>
    </row>
    <row r="355" spans="1:12" ht="15">
      <c r="A355" s="112" t="s">
        <v>2135</v>
      </c>
      <c r="B355" s="112" t="s">
        <v>2350</v>
      </c>
      <c r="C355" s="112">
        <v>3</v>
      </c>
      <c r="D355" s="114">
        <v>0.0005006759796149353</v>
      </c>
      <c r="E355" s="114">
        <v>2.2019820328019994</v>
      </c>
      <c r="F355" s="112" t="s">
        <v>3314</v>
      </c>
      <c r="G355" s="112" t="b">
        <v>0</v>
      </c>
      <c r="H355" s="112" t="b">
        <v>0</v>
      </c>
      <c r="I355" s="112" t="b">
        <v>0</v>
      </c>
      <c r="J355" s="112" t="b">
        <v>0</v>
      </c>
      <c r="K355" s="112" t="b">
        <v>0</v>
      </c>
      <c r="L355" s="112" t="b">
        <v>0</v>
      </c>
    </row>
    <row r="356" spans="1:12" ht="15">
      <c r="A356" s="112" t="s">
        <v>2153</v>
      </c>
      <c r="B356" s="112" t="s">
        <v>2165</v>
      </c>
      <c r="C356" s="112">
        <v>3</v>
      </c>
      <c r="D356" s="114">
        <v>0.0005006759796149353</v>
      </c>
      <c r="E356" s="114">
        <v>1.8532600468001437</v>
      </c>
      <c r="F356" s="112" t="s">
        <v>3314</v>
      </c>
      <c r="G356" s="112" t="b">
        <v>0</v>
      </c>
      <c r="H356" s="112" t="b">
        <v>0</v>
      </c>
      <c r="I356" s="112" t="b">
        <v>0</v>
      </c>
      <c r="J356" s="112" t="b">
        <v>0</v>
      </c>
      <c r="K356" s="112" t="b">
        <v>0</v>
      </c>
      <c r="L356" s="112" t="b">
        <v>0</v>
      </c>
    </row>
    <row r="357" spans="1:12" ht="15">
      <c r="A357" s="112" t="s">
        <v>2135</v>
      </c>
      <c r="B357" s="112" t="s">
        <v>2135</v>
      </c>
      <c r="C357" s="112">
        <v>3</v>
      </c>
      <c r="D357" s="114">
        <v>0.0005006759796149353</v>
      </c>
      <c r="E357" s="114">
        <v>1.5419300944963505</v>
      </c>
      <c r="F357" s="112" t="s">
        <v>3314</v>
      </c>
      <c r="G357" s="112" t="b">
        <v>0</v>
      </c>
      <c r="H357" s="112" t="b">
        <v>0</v>
      </c>
      <c r="I357" s="112" t="b">
        <v>0</v>
      </c>
      <c r="J357" s="112" t="b">
        <v>0</v>
      </c>
      <c r="K357" s="112" t="b">
        <v>0</v>
      </c>
      <c r="L357" s="112" t="b">
        <v>0</v>
      </c>
    </row>
    <row r="358" spans="1:12" ht="15">
      <c r="A358" s="112" t="s">
        <v>2078</v>
      </c>
      <c r="B358" s="112" t="s">
        <v>2084</v>
      </c>
      <c r="C358" s="112">
        <v>3</v>
      </c>
      <c r="D358" s="114">
        <v>0.0005006759796149353</v>
      </c>
      <c r="E358" s="114">
        <v>-0.03381686215698956</v>
      </c>
      <c r="F358" s="112" t="s">
        <v>3314</v>
      </c>
      <c r="G358" s="112" t="b">
        <v>0</v>
      </c>
      <c r="H358" s="112" t="b">
        <v>0</v>
      </c>
      <c r="I358" s="112" t="b">
        <v>0</v>
      </c>
      <c r="J358" s="112" t="b">
        <v>0</v>
      </c>
      <c r="K358" s="112" t="b">
        <v>1</v>
      </c>
      <c r="L358" s="112" t="b">
        <v>0</v>
      </c>
    </row>
    <row r="359" spans="1:12" ht="15">
      <c r="A359" s="112" t="s">
        <v>2106</v>
      </c>
      <c r="B359" s="112" t="s">
        <v>2084</v>
      </c>
      <c r="C359" s="112">
        <v>3</v>
      </c>
      <c r="D359" s="114">
        <v>0.0005006759796149353</v>
      </c>
      <c r="E359" s="114">
        <v>0.7937723625256967</v>
      </c>
      <c r="F359" s="112" t="s">
        <v>3314</v>
      </c>
      <c r="G359" s="112" t="b">
        <v>0</v>
      </c>
      <c r="H359" s="112" t="b">
        <v>0</v>
      </c>
      <c r="I359" s="112" t="b">
        <v>0</v>
      </c>
      <c r="J359" s="112" t="b">
        <v>0</v>
      </c>
      <c r="K359" s="112" t="b">
        <v>1</v>
      </c>
      <c r="L359" s="112" t="b">
        <v>0</v>
      </c>
    </row>
    <row r="360" spans="1:12" ht="15">
      <c r="A360" s="112" t="s">
        <v>2282</v>
      </c>
      <c r="B360" s="112" t="s">
        <v>2259</v>
      </c>
      <c r="C360" s="112">
        <v>3</v>
      </c>
      <c r="D360" s="114">
        <v>0.0006178472111276226</v>
      </c>
      <c r="E360" s="114">
        <v>2.5979875416968374</v>
      </c>
      <c r="F360" s="112" t="s">
        <v>3314</v>
      </c>
      <c r="G360" s="112" t="b">
        <v>0</v>
      </c>
      <c r="H360" s="112" t="b">
        <v>0</v>
      </c>
      <c r="I360" s="112" t="b">
        <v>0</v>
      </c>
      <c r="J360" s="112" t="b">
        <v>0</v>
      </c>
      <c r="K360" s="112" t="b">
        <v>0</v>
      </c>
      <c r="L360" s="112" t="b">
        <v>0</v>
      </c>
    </row>
    <row r="361" spans="1:12" ht="15">
      <c r="A361" s="112" t="s">
        <v>2079</v>
      </c>
      <c r="B361" s="112" t="s">
        <v>2191</v>
      </c>
      <c r="C361" s="112">
        <v>3</v>
      </c>
      <c r="D361" s="114">
        <v>0.0006178472111276226</v>
      </c>
      <c r="E361" s="114">
        <v>0.9467095276986937</v>
      </c>
      <c r="F361" s="112" t="s">
        <v>3314</v>
      </c>
      <c r="G361" s="112" t="b">
        <v>0</v>
      </c>
      <c r="H361" s="112" t="b">
        <v>0</v>
      </c>
      <c r="I361" s="112" t="b">
        <v>0</v>
      </c>
      <c r="J361" s="112" t="b">
        <v>0</v>
      </c>
      <c r="K361" s="112" t="b">
        <v>0</v>
      </c>
      <c r="L361" s="112" t="b">
        <v>0</v>
      </c>
    </row>
    <row r="362" spans="1:12" ht="15">
      <c r="A362" s="112" t="s">
        <v>2191</v>
      </c>
      <c r="B362" s="112" t="s">
        <v>2212</v>
      </c>
      <c r="C362" s="112">
        <v>3</v>
      </c>
      <c r="D362" s="114">
        <v>0.0006178472111276226</v>
      </c>
      <c r="E362" s="114">
        <v>2.234166716173401</v>
      </c>
      <c r="F362" s="112" t="s">
        <v>3314</v>
      </c>
      <c r="G362" s="112" t="b">
        <v>0</v>
      </c>
      <c r="H362" s="112" t="b">
        <v>0</v>
      </c>
      <c r="I362" s="112" t="b">
        <v>0</v>
      </c>
      <c r="J362" s="112" t="b">
        <v>0</v>
      </c>
      <c r="K362" s="112" t="b">
        <v>0</v>
      </c>
      <c r="L362" s="112" t="b">
        <v>0</v>
      </c>
    </row>
    <row r="363" spans="1:12" ht="15">
      <c r="A363" s="112" t="s">
        <v>2191</v>
      </c>
      <c r="B363" s="112" t="s">
        <v>2191</v>
      </c>
      <c r="C363" s="112">
        <v>3</v>
      </c>
      <c r="D363" s="114">
        <v>0.0006178472111276226</v>
      </c>
      <c r="E363" s="114">
        <v>2.143990085824313</v>
      </c>
      <c r="F363" s="112" t="s">
        <v>3314</v>
      </c>
      <c r="G363" s="112" t="b">
        <v>0</v>
      </c>
      <c r="H363" s="112" t="b">
        <v>0</v>
      </c>
      <c r="I363" s="112" t="b">
        <v>0</v>
      </c>
      <c r="J363" s="112" t="b">
        <v>0</v>
      </c>
      <c r="K363" s="112" t="b">
        <v>0</v>
      </c>
      <c r="L363" s="112" t="b">
        <v>0</v>
      </c>
    </row>
    <row r="364" spans="1:12" ht="15">
      <c r="A364" s="112" t="s">
        <v>2228</v>
      </c>
      <c r="B364" s="112" t="s">
        <v>2106</v>
      </c>
      <c r="C364" s="112">
        <v>3</v>
      </c>
      <c r="D364" s="114">
        <v>0.0006178472111276226</v>
      </c>
      <c r="E364" s="114">
        <v>1.8118673616419187</v>
      </c>
      <c r="F364" s="112" t="s">
        <v>3314</v>
      </c>
      <c r="G364" s="112" t="b">
        <v>0</v>
      </c>
      <c r="H364" s="112" t="b">
        <v>1</v>
      </c>
      <c r="I364" s="112" t="b">
        <v>0</v>
      </c>
      <c r="J364" s="112" t="b">
        <v>0</v>
      </c>
      <c r="K364" s="112" t="b">
        <v>0</v>
      </c>
      <c r="L364" s="112" t="b">
        <v>0</v>
      </c>
    </row>
    <row r="365" spans="1:12" ht="15">
      <c r="A365" s="112" t="s">
        <v>2105</v>
      </c>
      <c r="B365" s="112" t="s">
        <v>2078</v>
      </c>
      <c r="C365" s="112">
        <v>3</v>
      </c>
      <c r="D365" s="114">
        <v>0.0005006759796149353</v>
      </c>
      <c r="E365" s="114">
        <v>0.3878177070313936</v>
      </c>
      <c r="F365" s="112" t="s">
        <v>3314</v>
      </c>
      <c r="G365" s="112" t="b">
        <v>0</v>
      </c>
      <c r="H365" s="112" t="b">
        <v>0</v>
      </c>
      <c r="I365" s="112" t="b">
        <v>0</v>
      </c>
      <c r="J365" s="112" t="b">
        <v>0</v>
      </c>
      <c r="K365" s="112" t="b">
        <v>0</v>
      </c>
      <c r="L365" s="112" t="b">
        <v>0</v>
      </c>
    </row>
    <row r="366" spans="1:12" ht="15">
      <c r="A366" s="112" t="s">
        <v>2097</v>
      </c>
      <c r="B366" s="112" t="s">
        <v>2086</v>
      </c>
      <c r="C366" s="112">
        <v>3</v>
      </c>
      <c r="D366" s="114">
        <v>0.0005006759796149353</v>
      </c>
      <c r="E366" s="114">
        <v>0.7666155261893385</v>
      </c>
      <c r="F366" s="112" t="s">
        <v>3314</v>
      </c>
      <c r="G366" s="112" t="b">
        <v>0</v>
      </c>
      <c r="H366" s="112" t="b">
        <v>0</v>
      </c>
      <c r="I366" s="112" t="b">
        <v>0</v>
      </c>
      <c r="J366" s="112" t="b">
        <v>0</v>
      </c>
      <c r="K366" s="112" t="b">
        <v>0</v>
      </c>
      <c r="L366" s="112" t="b">
        <v>0</v>
      </c>
    </row>
    <row r="367" spans="1:12" ht="15">
      <c r="A367" s="112" t="s">
        <v>2157</v>
      </c>
      <c r="B367" s="112" t="s">
        <v>2078</v>
      </c>
      <c r="C367" s="112">
        <v>3</v>
      </c>
      <c r="D367" s="114">
        <v>0.0005006759796149353</v>
      </c>
      <c r="E367" s="114">
        <v>0.7162859510423144</v>
      </c>
      <c r="F367" s="112" t="s">
        <v>3314</v>
      </c>
      <c r="G367" s="112" t="b">
        <v>0</v>
      </c>
      <c r="H367" s="112" t="b">
        <v>0</v>
      </c>
      <c r="I367" s="112" t="b">
        <v>0</v>
      </c>
      <c r="J367" s="112" t="b">
        <v>0</v>
      </c>
      <c r="K367" s="112" t="b">
        <v>0</v>
      </c>
      <c r="L367" s="112" t="b">
        <v>0</v>
      </c>
    </row>
    <row r="368" spans="1:12" ht="15">
      <c r="A368" s="112" t="s">
        <v>2098</v>
      </c>
      <c r="B368" s="112" t="s">
        <v>2648</v>
      </c>
      <c r="C368" s="112">
        <v>3</v>
      </c>
      <c r="D368" s="114">
        <v>0.0005006759796149353</v>
      </c>
      <c r="E368" s="114">
        <v>2.350832926815711</v>
      </c>
      <c r="F368" s="112" t="s">
        <v>3314</v>
      </c>
      <c r="G368" s="112" t="b">
        <v>1</v>
      </c>
      <c r="H368" s="112" t="b">
        <v>0</v>
      </c>
      <c r="I368" s="112" t="b">
        <v>0</v>
      </c>
      <c r="J368" s="112" t="b">
        <v>0</v>
      </c>
      <c r="K368" s="112" t="b">
        <v>0</v>
      </c>
      <c r="L368" s="112" t="b">
        <v>0</v>
      </c>
    </row>
    <row r="369" spans="1:12" ht="15">
      <c r="A369" s="112" t="s">
        <v>2648</v>
      </c>
      <c r="B369" s="112" t="s">
        <v>2106</v>
      </c>
      <c r="C369" s="112">
        <v>3</v>
      </c>
      <c r="D369" s="114">
        <v>0.0005006759796149353</v>
      </c>
      <c r="E369" s="114">
        <v>2.3761387920804813</v>
      </c>
      <c r="F369" s="112" t="s">
        <v>3314</v>
      </c>
      <c r="G369" s="112" t="b">
        <v>0</v>
      </c>
      <c r="H369" s="112" t="b">
        <v>0</v>
      </c>
      <c r="I369" s="112" t="b">
        <v>0</v>
      </c>
      <c r="J369" s="112" t="b">
        <v>0</v>
      </c>
      <c r="K369" s="112" t="b">
        <v>0</v>
      </c>
      <c r="L369" s="112" t="b">
        <v>0</v>
      </c>
    </row>
    <row r="370" spans="1:12" ht="15">
      <c r="A370" s="112" t="s">
        <v>2313</v>
      </c>
      <c r="B370" s="112" t="s">
        <v>2087</v>
      </c>
      <c r="C370" s="112">
        <v>3</v>
      </c>
      <c r="D370" s="114">
        <v>0.0005006759796149353</v>
      </c>
      <c r="E370" s="114">
        <v>1.6279507650742808</v>
      </c>
      <c r="F370" s="112" t="s">
        <v>3314</v>
      </c>
      <c r="G370" s="112" t="b">
        <v>0</v>
      </c>
      <c r="H370" s="112" t="b">
        <v>0</v>
      </c>
      <c r="I370" s="112" t="b">
        <v>0</v>
      </c>
      <c r="J370" s="112" t="b">
        <v>0</v>
      </c>
      <c r="K370" s="112" t="b">
        <v>0</v>
      </c>
      <c r="L370" s="112" t="b">
        <v>0</v>
      </c>
    </row>
    <row r="371" spans="1:12" ht="15">
      <c r="A371" s="112" t="s">
        <v>2086</v>
      </c>
      <c r="B371" s="112" t="s">
        <v>2098</v>
      </c>
      <c r="C371" s="112">
        <v>3</v>
      </c>
      <c r="D371" s="114">
        <v>0.0005006759796149353</v>
      </c>
      <c r="E371" s="114">
        <v>0.7864125358262443</v>
      </c>
      <c r="F371" s="112" t="s">
        <v>3314</v>
      </c>
      <c r="G371" s="112" t="b">
        <v>0</v>
      </c>
      <c r="H371" s="112" t="b">
        <v>0</v>
      </c>
      <c r="I371" s="112" t="b">
        <v>0</v>
      </c>
      <c r="J371" s="112" t="b">
        <v>1</v>
      </c>
      <c r="K371" s="112" t="b">
        <v>0</v>
      </c>
      <c r="L371" s="112" t="b">
        <v>0</v>
      </c>
    </row>
    <row r="372" spans="1:12" ht="15">
      <c r="A372" s="112" t="s">
        <v>2154</v>
      </c>
      <c r="B372" s="112" t="s">
        <v>2087</v>
      </c>
      <c r="C372" s="112">
        <v>3</v>
      </c>
      <c r="D372" s="114">
        <v>0.0005439203949036586</v>
      </c>
      <c r="E372" s="114">
        <v>1.1693129160486315</v>
      </c>
      <c r="F372" s="112" t="s">
        <v>3314</v>
      </c>
      <c r="G372" s="112" t="b">
        <v>0</v>
      </c>
      <c r="H372" s="112" t="b">
        <v>0</v>
      </c>
      <c r="I372" s="112" t="b">
        <v>0</v>
      </c>
      <c r="J372" s="112" t="b">
        <v>0</v>
      </c>
      <c r="K372" s="112" t="b">
        <v>0</v>
      </c>
      <c r="L372" s="112" t="b">
        <v>0</v>
      </c>
    </row>
    <row r="373" spans="1:12" ht="15">
      <c r="A373" s="112" t="s">
        <v>2446</v>
      </c>
      <c r="B373" s="112" t="s">
        <v>2244</v>
      </c>
      <c r="C373" s="112">
        <v>3</v>
      </c>
      <c r="D373" s="114">
        <v>0.0005006759796149353</v>
      </c>
      <c r="E373" s="114">
        <v>2.8118673616419185</v>
      </c>
      <c r="F373" s="112" t="s">
        <v>3314</v>
      </c>
      <c r="G373" s="112" t="b">
        <v>0</v>
      </c>
      <c r="H373" s="112" t="b">
        <v>1</v>
      </c>
      <c r="I373" s="112" t="b">
        <v>0</v>
      </c>
      <c r="J373" s="112" t="b">
        <v>0</v>
      </c>
      <c r="K373" s="112" t="b">
        <v>0</v>
      </c>
      <c r="L373" s="112" t="b">
        <v>0</v>
      </c>
    </row>
    <row r="374" spans="1:12" ht="15">
      <c r="A374" s="112" t="s">
        <v>2525</v>
      </c>
      <c r="B374" s="112" t="s">
        <v>2213</v>
      </c>
      <c r="C374" s="112">
        <v>3</v>
      </c>
      <c r="D374" s="114">
        <v>0.0006178472111276226</v>
      </c>
      <c r="E374" s="114">
        <v>2.836226707501363</v>
      </c>
      <c r="F374" s="112" t="s">
        <v>3314</v>
      </c>
      <c r="G374" s="112" t="b">
        <v>0</v>
      </c>
      <c r="H374" s="112" t="b">
        <v>0</v>
      </c>
      <c r="I374" s="112" t="b">
        <v>0</v>
      </c>
      <c r="J374" s="112" t="b">
        <v>0</v>
      </c>
      <c r="K374" s="112" t="b">
        <v>1</v>
      </c>
      <c r="L374" s="112" t="b">
        <v>0</v>
      </c>
    </row>
    <row r="375" spans="1:12" ht="15">
      <c r="A375" s="112" t="s">
        <v>2388</v>
      </c>
      <c r="B375" s="112" t="s">
        <v>2078</v>
      </c>
      <c r="C375" s="112">
        <v>3</v>
      </c>
      <c r="D375" s="114">
        <v>0.0005006759796149353</v>
      </c>
      <c r="E375" s="114">
        <v>1.2998625366762637</v>
      </c>
      <c r="F375" s="112" t="s">
        <v>3314</v>
      </c>
      <c r="G375" s="112" t="b">
        <v>1</v>
      </c>
      <c r="H375" s="112" t="b">
        <v>0</v>
      </c>
      <c r="I375" s="112" t="b">
        <v>0</v>
      </c>
      <c r="J375" s="112" t="b">
        <v>0</v>
      </c>
      <c r="K375" s="112" t="b">
        <v>0</v>
      </c>
      <c r="L375" s="112" t="b">
        <v>0</v>
      </c>
    </row>
    <row r="376" spans="1:12" ht="15">
      <c r="A376" s="112" t="s">
        <v>2078</v>
      </c>
      <c r="B376" s="112" t="s">
        <v>2654</v>
      </c>
      <c r="C376" s="112">
        <v>3</v>
      </c>
      <c r="D376" s="114">
        <v>0.0005006759796149353</v>
      </c>
      <c r="E376" s="114">
        <v>1.5754217137980961</v>
      </c>
      <c r="F376" s="112" t="s">
        <v>3314</v>
      </c>
      <c r="G376" s="112" t="b">
        <v>0</v>
      </c>
      <c r="H376" s="112" t="b">
        <v>0</v>
      </c>
      <c r="I376" s="112" t="b">
        <v>0</v>
      </c>
      <c r="J376" s="112" t="b">
        <v>0</v>
      </c>
      <c r="K376" s="112" t="b">
        <v>0</v>
      </c>
      <c r="L376" s="112" t="b">
        <v>0</v>
      </c>
    </row>
    <row r="377" spans="1:12" ht="15">
      <c r="A377" s="112" t="s">
        <v>2654</v>
      </c>
      <c r="B377" s="112" t="s">
        <v>2087</v>
      </c>
      <c r="C377" s="112">
        <v>3</v>
      </c>
      <c r="D377" s="114">
        <v>0.0005006759796149353</v>
      </c>
      <c r="E377" s="114">
        <v>2.0539194973465618</v>
      </c>
      <c r="F377" s="112" t="s">
        <v>3314</v>
      </c>
      <c r="G377" s="112" t="b">
        <v>0</v>
      </c>
      <c r="H377" s="112" t="b">
        <v>0</v>
      </c>
      <c r="I377" s="112" t="b">
        <v>0</v>
      </c>
      <c r="J377" s="112" t="b">
        <v>0</v>
      </c>
      <c r="K377" s="112" t="b">
        <v>0</v>
      </c>
      <c r="L377" s="112" t="b">
        <v>0</v>
      </c>
    </row>
    <row r="378" spans="1:12" ht="15">
      <c r="A378" s="112" t="s">
        <v>2245</v>
      </c>
      <c r="B378" s="112" t="s">
        <v>2245</v>
      </c>
      <c r="C378" s="112">
        <v>3</v>
      </c>
      <c r="D378" s="114">
        <v>0.0005439203949036586</v>
      </c>
      <c r="E378" s="114">
        <v>2.5108373659779373</v>
      </c>
      <c r="F378" s="112" t="s">
        <v>3314</v>
      </c>
      <c r="G378" s="112" t="b">
        <v>0</v>
      </c>
      <c r="H378" s="112" t="b">
        <v>0</v>
      </c>
      <c r="I378" s="112" t="b">
        <v>0</v>
      </c>
      <c r="J378" s="112" t="b">
        <v>0</v>
      </c>
      <c r="K378" s="112" t="b">
        <v>0</v>
      </c>
      <c r="L378" s="112" t="b">
        <v>0</v>
      </c>
    </row>
    <row r="379" spans="1:12" ht="15">
      <c r="A379" s="112" t="s">
        <v>2140</v>
      </c>
      <c r="B379" s="112" t="s">
        <v>2287</v>
      </c>
      <c r="C379" s="112">
        <v>3</v>
      </c>
      <c r="D379" s="114">
        <v>0.0006178472111276226</v>
      </c>
      <c r="E379" s="114">
        <v>2.1355895437978814</v>
      </c>
      <c r="F379" s="112" t="s">
        <v>3314</v>
      </c>
      <c r="G379" s="112" t="b">
        <v>0</v>
      </c>
      <c r="H379" s="112" t="b">
        <v>0</v>
      </c>
      <c r="I379" s="112" t="b">
        <v>0</v>
      </c>
      <c r="J379" s="112" t="b">
        <v>0</v>
      </c>
      <c r="K379" s="112" t="b">
        <v>0</v>
      </c>
      <c r="L379" s="112" t="b">
        <v>0</v>
      </c>
    </row>
    <row r="380" spans="1:12" ht="15">
      <c r="A380" s="112" t="s">
        <v>2077</v>
      </c>
      <c r="B380" s="112" t="s">
        <v>2084</v>
      </c>
      <c r="C380" s="112">
        <v>3</v>
      </c>
      <c r="D380" s="114">
        <v>0.0005439203949036586</v>
      </c>
      <c r="E380" s="114">
        <v>-0.14585308754592752</v>
      </c>
      <c r="F380" s="112" t="s">
        <v>3314</v>
      </c>
      <c r="G380" s="112" t="b">
        <v>0</v>
      </c>
      <c r="H380" s="112" t="b">
        <v>0</v>
      </c>
      <c r="I380" s="112" t="b">
        <v>0</v>
      </c>
      <c r="J380" s="112" t="b">
        <v>0</v>
      </c>
      <c r="K380" s="112" t="b">
        <v>1</v>
      </c>
      <c r="L380" s="112" t="b">
        <v>0</v>
      </c>
    </row>
    <row r="381" spans="1:12" ht="15">
      <c r="A381" s="112" t="s">
        <v>2660</v>
      </c>
      <c r="B381" s="112" t="s">
        <v>2132</v>
      </c>
      <c r="C381" s="112">
        <v>3</v>
      </c>
      <c r="D381" s="114">
        <v>0.0006178472111276226</v>
      </c>
      <c r="E381" s="114">
        <v>2.543629879374245</v>
      </c>
      <c r="F381" s="112" t="s">
        <v>3314</v>
      </c>
      <c r="G381" s="112" t="b">
        <v>0</v>
      </c>
      <c r="H381" s="112" t="b">
        <v>1</v>
      </c>
      <c r="I381" s="112" t="b">
        <v>0</v>
      </c>
      <c r="J381" s="112" t="b">
        <v>0</v>
      </c>
      <c r="K381" s="112" t="b">
        <v>0</v>
      </c>
      <c r="L381" s="112" t="b">
        <v>0</v>
      </c>
    </row>
    <row r="382" spans="1:12" ht="15">
      <c r="A382" s="112" t="s">
        <v>2130</v>
      </c>
      <c r="B382" s="112" t="s">
        <v>2402</v>
      </c>
      <c r="C382" s="112">
        <v>3</v>
      </c>
      <c r="D382" s="114">
        <v>0.0006178472111276226</v>
      </c>
      <c r="E382" s="114">
        <v>2.2177762999852315</v>
      </c>
      <c r="F382" s="112" t="s">
        <v>3314</v>
      </c>
      <c r="G382" s="112" t="b">
        <v>0</v>
      </c>
      <c r="H382" s="112" t="b">
        <v>0</v>
      </c>
      <c r="I382" s="112" t="b">
        <v>0</v>
      </c>
      <c r="J382" s="112" t="b">
        <v>0</v>
      </c>
      <c r="K382" s="112" t="b">
        <v>0</v>
      </c>
      <c r="L382" s="112" t="b">
        <v>0</v>
      </c>
    </row>
    <row r="383" spans="1:12" ht="15">
      <c r="A383" s="112" t="s">
        <v>2179</v>
      </c>
      <c r="B383" s="112" t="s">
        <v>2130</v>
      </c>
      <c r="C383" s="112">
        <v>3</v>
      </c>
      <c r="D383" s="114">
        <v>0.0005006759796149353</v>
      </c>
      <c r="E383" s="114">
        <v>1.7654786289906013</v>
      </c>
      <c r="F383" s="112" t="s">
        <v>3314</v>
      </c>
      <c r="G383" s="112" t="b">
        <v>0</v>
      </c>
      <c r="H383" s="112" t="b">
        <v>1</v>
      </c>
      <c r="I383" s="112" t="b">
        <v>0</v>
      </c>
      <c r="J383" s="112" t="b">
        <v>0</v>
      </c>
      <c r="K383" s="112" t="b">
        <v>0</v>
      </c>
      <c r="L383" s="112" t="b">
        <v>0</v>
      </c>
    </row>
    <row r="384" spans="1:12" ht="15">
      <c r="A384" s="112" t="s">
        <v>2533</v>
      </c>
      <c r="B384" s="112" t="s">
        <v>2130</v>
      </c>
      <c r="C384" s="112">
        <v>3</v>
      </c>
      <c r="D384" s="114">
        <v>0.0005439203949036586</v>
      </c>
      <c r="E384" s="114">
        <v>2.393867559040913</v>
      </c>
      <c r="F384" s="112" t="s">
        <v>3314</v>
      </c>
      <c r="G384" s="112" t="b">
        <v>0</v>
      </c>
      <c r="H384" s="112" t="b">
        <v>0</v>
      </c>
      <c r="I384" s="112" t="b">
        <v>0</v>
      </c>
      <c r="J384" s="112" t="b">
        <v>0</v>
      </c>
      <c r="K384" s="112" t="b">
        <v>0</v>
      </c>
      <c r="L384" s="112" t="b">
        <v>0</v>
      </c>
    </row>
    <row r="385" spans="1:12" ht="15">
      <c r="A385" s="112" t="s">
        <v>2130</v>
      </c>
      <c r="B385" s="112" t="s">
        <v>2144</v>
      </c>
      <c r="C385" s="112">
        <v>3</v>
      </c>
      <c r="D385" s="114">
        <v>0.0005439203949036586</v>
      </c>
      <c r="E385" s="114">
        <v>1.548769519026656</v>
      </c>
      <c r="F385" s="112" t="s">
        <v>3314</v>
      </c>
      <c r="G385" s="112" t="b">
        <v>0</v>
      </c>
      <c r="H385" s="112" t="b">
        <v>0</v>
      </c>
      <c r="I385" s="112" t="b">
        <v>0</v>
      </c>
      <c r="J385" s="112" t="b">
        <v>0</v>
      </c>
      <c r="K385" s="112" t="b">
        <v>0</v>
      </c>
      <c r="L385" s="112" t="b">
        <v>0</v>
      </c>
    </row>
    <row r="386" spans="1:12" ht="15">
      <c r="A386" s="112" t="s">
        <v>2320</v>
      </c>
      <c r="B386" s="112" t="s">
        <v>2662</v>
      </c>
      <c r="C386" s="112">
        <v>3</v>
      </c>
      <c r="D386" s="114">
        <v>0.0006178472111276226</v>
      </c>
      <c r="E386" s="114">
        <v>3.1720188094245563</v>
      </c>
      <c r="F386" s="112" t="s">
        <v>3314</v>
      </c>
      <c r="G386" s="112" t="b">
        <v>0</v>
      </c>
      <c r="H386" s="112" t="b">
        <v>0</v>
      </c>
      <c r="I386" s="112" t="b">
        <v>0</v>
      </c>
      <c r="J386" s="112" t="b">
        <v>0</v>
      </c>
      <c r="K386" s="112" t="b">
        <v>0</v>
      </c>
      <c r="L386" s="112" t="b">
        <v>0</v>
      </c>
    </row>
    <row r="387" spans="1:12" ht="15">
      <c r="A387" s="112" t="s">
        <v>2180</v>
      </c>
      <c r="B387" s="112" t="s">
        <v>2080</v>
      </c>
      <c r="C387" s="112">
        <v>3</v>
      </c>
      <c r="D387" s="114">
        <v>0.0005006759796149353</v>
      </c>
      <c r="E387" s="114">
        <v>1.0812318814752888</v>
      </c>
      <c r="F387" s="112" t="s">
        <v>3314</v>
      </c>
      <c r="G387" s="112" t="b">
        <v>0</v>
      </c>
      <c r="H387" s="112" t="b">
        <v>0</v>
      </c>
      <c r="I387" s="112" t="b">
        <v>0</v>
      </c>
      <c r="J387" s="112" t="b">
        <v>0</v>
      </c>
      <c r="K387" s="112" t="b">
        <v>0</v>
      </c>
      <c r="L387" s="112" t="b">
        <v>0</v>
      </c>
    </row>
    <row r="388" spans="1:12" ht="15">
      <c r="A388" s="112" t="s">
        <v>2117</v>
      </c>
      <c r="B388" s="112" t="s">
        <v>2077</v>
      </c>
      <c r="C388" s="112">
        <v>3</v>
      </c>
      <c r="D388" s="114">
        <v>0.0005006759796149353</v>
      </c>
      <c r="E388" s="114">
        <v>0.3319911712017584</v>
      </c>
      <c r="F388" s="112" t="s">
        <v>3314</v>
      </c>
      <c r="G388" s="112" t="b">
        <v>0</v>
      </c>
      <c r="H388" s="112" t="b">
        <v>0</v>
      </c>
      <c r="I388" s="112" t="b">
        <v>0</v>
      </c>
      <c r="J388" s="112" t="b">
        <v>0</v>
      </c>
      <c r="K388" s="112" t="b">
        <v>0</v>
      </c>
      <c r="L388" s="112" t="b">
        <v>0</v>
      </c>
    </row>
    <row r="389" spans="1:12" ht="15">
      <c r="A389" s="112" t="s">
        <v>2117</v>
      </c>
      <c r="B389" s="112" t="s">
        <v>2277</v>
      </c>
      <c r="C389" s="112">
        <v>3</v>
      </c>
      <c r="D389" s="114">
        <v>0.0005006759796149353</v>
      </c>
      <c r="E389" s="114">
        <v>1.9852036849771022</v>
      </c>
      <c r="F389" s="112" t="s">
        <v>3314</v>
      </c>
      <c r="G389" s="112" t="b">
        <v>0</v>
      </c>
      <c r="H389" s="112" t="b">
        <v>0</v>
      </c>
      <c r="I389" s="112" t="b">
        <v>0</v>
      </c>
      <c r="J389" s="112" t="b">
        <v>0</v>
      </c>
      <c r="K389" s="112" t="b">
        <v>0</v>
      </c>
      <c r="L389" s="112" t="b">
        <v>0</v>
      </c>
    </row>
    <row r="390" spans="1:12" ht="15">
      <c r="A390" s="112" t="s">
        <v>2127</v>
      </c>
      <c r="B390" s="112" t="s">
        <v>2126</v>
      </c>
      <c r="C390" s="112">
        <v>3</v>
      </c>
      <c r="D390" s="114">
        <v>0.0005006759796149353</v>
      </c>
      <c r="E390" s="114">
        <v>1.3373862030884647</v>
      </c>
      <c r="F390" s="112" t="s">
        <v>3314</v>
      </c>
      <c r="G390" s="112" t="b">
        <v>0</v>
      </c>
      <c r="H390" s="112" t="b">
        <v>0</v>
      </c>
      <c r="I390" s="112" t="b">
        <v>0</v>
      </c>
      <c r="J390" s="112" t="b">
        <v>0</v>
      </c>
      <c r="K390" s="112" t="b">
        <v>0</v>
      </c>
      <c r="L390" s="112" t="b">
        <v>0</v>
      </c>
    </row>
    <row r="391" spans="1:12" ht="15">
      <c r="A391" s="112" t="s">
        <v>2208</v>
      </c>
      <c r="B391" s="112" t="s">
        <v>2194</v>
      </c>
      <c r="C391" s="112">
        <v>3</v>
      </c>
      <c r="D391" s="114">
        <v>0.0005439203949036586</v>
      </c>
      <c r="E391" s="114">
        <v>2.234166716173401</v>
      </c>
      <c r="F391" s="112" t="s">
        <v>3314</v>
      </c>
      <c r="G391" s="112" t="b">
        <v>0</v>
      </c>
      <c r="H391" s="112" t="b">
        <v>0</v>
      </c>
      <c r="I391" s="112" t="b">
        <v>0</v>
      </c>
      <c r="J391" s="112" t="b">
        <v>0</v>
      </c>
      <c r="K391" s="112" t="b">
        <v>0</v>
      </c>
      <c r="L391" s="112" t="b">
        <v>0</v>
      </c>
    </row>
    <row r="392" spans="1:12" ht="15">
      <c r="A392" s="112" t="s">
        <v>2194</v>
      </c>
      <c r="B392" s="112" t="s">
        <v>2194</v>
      </c>
      <c r="C392" s="112">
        <v>3</v>
      </c>
      <c r="D392" s="114">
        <v>0.0005439203949036586</v>
      </c>
      <c r="E392" s="114">
        <v>2.1720188094245567</v>
      </c>
      <c r="F392" s="112" t="s">
        <v>3314</v>
      </c>
      <c r="G392" s="112" t="b">
        <v>0</v>
      </c>
      <c r="H392" s="112" t="b">
        <v>0</v>
      </c>
      <c r="I392" s="112" t="b">
        <v>0</v>
      </c>
      <c r="J392" s="112" t="b">
        <v>0</v>
      </c>
      <c r="K392" s="112" t="b">
        <v>0</v>
      </c>
      <c r="L392" s="112" t="b">
        <v>0</v>
      </c>
    </row>
    <row r="393" spans="1:12" ht="15">
      <c r="A393" s="112" t="s">
        <v>2146</v>
      </c>
      <c r="B393" s="112" t="s">
        <v>2188</v>
      </c>
      <c r="C393" s="112">
        <v>3</v>
      </c>
      <c r="D393" s="114">
        <v>0.0005006759796149353</v>
      </c>
      <c r="E393" s="114">
        <v>1.9501700598082001</v>
      </c>
      <c r="F393" s="112" t="s">
        <v>3314</v>
      </c>
      <c r="G393" s="112" t="b">
        <v>0</v>
      </c>
      <c r="H393" s="112" t="b">
        <v>1</v>
      </c>
      <c r="I393" s="112" t="b">
        <v>0</v>
      </c>
      <c r="J393" s="112" t="b">
        <v>0</v>
      </c>
      <c r="K393" s="112" t="b">
        <v>0</v>
      </c>
      <c r="L393" s="112" t="b">
        <v>0</v>
      </c>
    </row>
    <row r="394" spans="1:12" ht="15">
      <c r="A394" s="112" t="s">
        <v>2180</v>
      </c>
      <c r="B394" s="112" t="s">
        <v>2112</v>
      </c>
      <c r="C394" s="112">
        <v>3</v>
      </c>
      <c r="D394" s="114">
        <v>0.0005006759796149353</v>
      </c>
      <c r="E394" s="114">
        <v>1.668568615982545</v>
      </c>
      <c r="F394" s="112" t="s">
        <v>3314</v>
      </c>
      <c r="G394" s="112" t="b">
        <v>0</v>
      </c>
      <c r="H394" s="112" t="b">
        <v>0</v>
      </c>
      <c r="I394" s="112" t="b">
        <v>0</v>
      </c>
      <c r="J394" s="112" t="b">
        <v>0</v>
      </c>
      <c r="K394" s="112" t="b">
        <v>0</v>
      </c>
      <c r="L394" s="112" t="b">
        <v>0</v>
      </c>
    </row>
    <row r="395" spans="1:12" ht="15">
      <c r="A395" s="112" t="s">
        <v>2112</v>
      </c>
      <c r="B395" s="112" t="s">
        <v>2308</v>
      </c>
      <c r="C395" s="112">
        <v>3</v>
      </c>
      <c r="D395" s="114">
        <v>0.0005006759796149353</v>
      </c>
      <c r="E395" s="114">
        <v>2.0056873876580315</v>
      </c>
      <c r="F395" s="112" t="s">
        <v>3314</v>
      </c>
      <c r="G395" s="112" t="b">
        <v>0</v>
      </c>
      <c r="H395" s="112" t="b">
        <v>0</v>
      </c>
      <c r="I395" s="112" t="b">
        <v>0</v>
      </c>
      <c r="J395" s="112" t="b">
        <v>0</v>
      </c>
      <c r="K395" s="112" t="b">
        <v>0</v>
      </c>
      <c r="L395" s="112" t="b">
        <v>0</v>
      </c>
    </row>
    <row r="396" spans="1:12" ht="15">
      <c r="A396" s="112" t="s">
        <v>2536</v>
      </c>
      <c r="B396" s="112" t="s">
        <v>2216</v>
      </c>
      <c r="C396" s="112">
        <v>3</v>
      </c>
      <c r="D396" s="114">
        <v>0.0005439203949036586</v>
      </c>
      <c r="E396" s="114">
        <v>2.9611654441096635</v>
      </c>
      <c r="F396" s="112" t="s">
        <v>3314</v>
      </c>
      <c r="G396" s="112" t="b">
        <v>0</v>
      </c>
      <c r="H396" s="112" t="b">
        <v>0</v>
      </c>
      <c r="I396" s="112" t="b">
        <v>0</v>
      </c>
      <c r="J396" s="112" t="b">
        <v>0</v>
      </c>
      <c r="K396" s="112" t="b">
        <v>1</v>
      </c>
      <c r="L396" s="112" t="b">
        <v>0</v>
      </c>
    </row>
    <row r="397" spans="1:12" ht="15">
      <c r="A397" s="112" t="s">
        <v>2112</v>
      </c>
      <c r="B397" s="112" t="s">
        <v>2666</v>
      </c>
      <c r="C397" s="112">
        <v>3</v>
      </c>
      <c r="D397" s="114">
        <v>0.0005006759796149353</v>
      </c>
      <c r="E397" s="114">
        <v>2.4316561199303126</v>
      </c>
      <c r="F397" s="112" t="s">
        <v>3314</v>
      </c>
      <c r="G397" s="112" t="b">
        <v>0</v>
      </c>
      <c r="H397" s="112" t="b">
        <v>0</v>
      </c>
      <c r="I397" s="112" t="b">
        <v>0</v>
      </c>
      <c r="J397" s="112" t="b">
        <v>0</v>
      </c>
      <c r="K397" s="112" t="b">
        <v>1</v>
      </c>
      <c r="L397" s="112" t="b">
        <v>0</v>
      </c>
    </row>
    <row r="398" spans="1:12" ht="15">
      <c r="A398" s="112" t="s">
        <v>2109</v>
      </c>
      <c r="B398" s="112" t="s">
        <v>2667</v>
      </c>
      <c r="C398" s="112">
        <v>3</v>
      </c>
      <c r="D398" s="114">
        <v>0.0005006759796149353</v>
      </c>
      <c r="E398" s="114">
        <v>2.4316561199303126</v>
      </c>
      <c r="F398" s="112" t="s">
        <v>3314</v>
      </c>
      <c r="G398" s="112" t="b">
        <v>0</v>
      </c>
      <c r="H398" s="112" t="b">
        <v>0</v>
      </c>
      <c r="I398" s="112" t="b">
        <v>0</v>
      </c>
      <c r="J398" s="112" t="b">
        <v>0</v>
      </c>
      <c r="K398" s="112" t="b">
        <v>0</v>
      </c>
      <c r="L398" s="112" t="b">
        <v>0</v>
      </c>
    </row>
    <row r="399" spans="1:12" ht="15">
      <c r="A399" s="112" t="s">
        <v>2667</v>
      </c>
      <c r="B399" s="112" t="s">
        <v>2217</v>
      </c>
      <c r="C399" s="112">
        <v>3</v>
      </c>
      <c r="D399" s="114">
        <v>0.0005006759796149353</v>
      </c>
      <c r="E399" s="114">
        <v>2.9959275503688754</v>
      </c>
      <c r="F399" s="112" t="s">
        <v>3314</v>
      </c>
      <c r="G399" s="112" t="b">
        <v>0</v>
      </c>
      <c r="H399" s="112" t="b">
        <v>0</v>
      </c>
      <c r="I399" s="112" t="b">
        <v>0</v>
      </c>
      <c r="J399" s="112" t="b">
        <v>0</v>
      </c>
      <c r="K399" s="112" t="b">
        <v>1</v>
      </c>
      <c r="L399" s="112" t="b">
        <v>0</v>
      </c>
    </row>
    <row r="400" spans="1:12" ht="15">
      <c r="A400" s="112" t="s">
        <v>2217</v>
      </c>
      <c r="B400" s="112" t="s">
        <v>2537</v>
      </c>
      <c r="C400" s="112">
        <v>3</v>
      </c>
      <c r="D400" s="114">
        <v>0.0005006759796149353</v>
      </c>
      <c r="E400" s="114">
        <v>2.8709888137605755</v>
      </c>
      <c r="F400" s="112" t="s">
        <v>3314</v>
      </c>
      <c r="G400" s="112" t="b">
        <v>0</v>
      </c>
      <c r="H400" s="112" t="b">
        <v>1</v>
      </c>
      <c r="I400" s="112" t="b">
        <v>0</v>
      </c>
      <c r="J400" s="112" t="b">
        <v>0</v>
      </c>
      <c r="K400" s="112" t="b">
        <v>0</v>
      </c>
      <c r="L400" s="112" t="b">
        <v>0</v>
      </c>
    </row>
    <row r="401" spans="1:12" ht="15">
      <c r="A401" s="112" t="s">
        <v>2537</v>
      </c>
      <c r="B401" s="112" t="s">
        <v>2216</v>
      </c>
      <c r="C401" s="112">
        <v>3</v>
      </c>
      <c r="D401" s="114">
        <v>0.0005006759796149353</v>
      </c>
      <c r="E401" s="114">
        <v>2.836226707501363</v>
      </c>
      <c r="F401" s="112" t="s">
        <v>3314</v>
      </c>
      <c r="G401" s="112" t="b">
        <v>0</v>
      </c>
      <c r="H401" s="112" t="b">
        <v>0</v>
      </c>
      <c r="I401" s="112" t="b">
        <v>0</v>
      </c>
      <c r="J401" s="112" t="b">
        <v>0</v>
      </c>
      <c r="K401" s="112" t="b">
        <v>1</v>
      </c>
      <c r="L401" s="112" t="b">
        <v>0</v>
      </c>
    </row>
    <row r="402" spans="1:12" ht="15">
      <c r="A402" s="112" t="s">
        <v>2112</v>
      </c>
      <c r="B402" s="112" t="s">
        <v>2216</v>
      </c>
      <c r="C402" s="112">
        <v>3</v>
      </c>
      <c r="D402" s="114">
        <v>0.0005006759796149353</v>
      </c>
      <c r="E402" s="114">
        <v>1.7948340223431385</v>
      </c>
      <c r="F402" s="112" t="s">
        <v>3314</v>
      </c>
      <c r="G402" s="112" t="b">
        <v>0</v>
      </c>
      <c r="H402" s="112" t="b">
        <v>0</v>
      </c>
      <c r="I402" s="112" t="b">
        <v>0</v>
      </c>
      <c r="J402" s="112" t="b">
        <v>0</v>
      </c>
      <c r="K402" s="112" t="b">
        <v>1</v>
      </c>
      <c r="L402" s="112" t="b">
        <v>0</v>
      </c>
    </row>
    <row r="403" spans="1:12" ht="15">
      <c r="A403" s="112" t="s">
        <v>2159</v>
      </c>
      <c r="B403" s="112" t="s">
        <v>2090</v>
      </c>
      <c r="C403" s="112">
        <v>3</v>
      </c>
      <c r="D403" s="114">
        <v>0.0005006759796149353</v>
      </c>
      <c r="E403" s="114">
        <v>1.3167016042286137</v>
      </c>
      <c r="F403" s="112" t="s">
        <v>3314</v>
      </c>
      <c r="G403" s="112" t="b">
        <v>0</v>
      </c>
      <c r="H403" s="112" t="b">
        <v>0</v>
      </c>
      <c r="I403" s="112" t="b">
        <v>0</v>
      </c>
      <c r="J403" s="112" t="b">
        <v>0</v>
      </c>
      <c r="K403" s="112" t="b">
        <v>0</v>
      </c>
      <c r="L403" s="112" t="b">
        <v>0</v>
      </c>
    </row>
    <row r="404" spans="1:12" ht="15">
      <c r="A404" s="112" t="s">
        <v>2107</v>
      </c>
      <c r="B404" s="112" t="s">
        <v>2539</v>
      </c>
      <c r="C404" s="112">
        <v>3</v>
      </c>
      <c r="D404" s="114">
        <v>0.0005439203949036586</v>
      </c>
      <c r="E404" s="114">
        <v>2.268928822432613</v>
      </c>
      <c r="F404" s="112" t="s">
        <v>3314</v>
      </c>
      <c r="G404" s="112" t="b">
        <v>0</v>
      </c>
      <c r="H404" s="112" t="b">
        <v>0</v>
      </c>
      <c r="I404" s="112" t="b">
        <v>0</v>
      </c>
      <c r="J404" s="112" t="b">
        <v>0</v>
      </c>
      <c r="K404" s="112" t="b">
        <v>0</v>
      </c>
      <c r="L404" s="112" t="b">
        <v>0</v>
      </c>
    </row>
    <row r="405" spans="1:12" ht="15">
      <c r="A405" s="112" t="s">
        <v>2539</v>
      </c>
      <c r="B405" s="112" t="s">
        <v>2107</v>
      </c>
      <c r="C405" s="112">
        <v>3</v>
      </c>
      <c r="D405" s="114">
        <v>0.0005439203949036586</v>
      </c>
      <c r="E405" s="114">
        <v>2.268928822432613</v>
      </c>
      <c r="F405" s="112" t="s">
        <v>3314</v>
      </c>
      <c r="G405" s="112" t="b">
        <v>0</v>
      </c>
      <c r="H405" s="112" t="b">
        <v>0</v>
      </c>
      <c r="I405" s="112" t="b">
        <v>0</v>
      </c>
      <c r="J405" s="112" t="b">
        <v>0</v>
      </c>
      <c r="K405" s="112" t="b">
        <v>0</v>
      </c>
      <c r="L405" s="112" t="b">
        <v>0</v>
      </c>
    </row>
    <row r="406" spans="1:12" ht="15">
      <c r="A406" s="112" t="s">
        <v>2084</v>
      </c>
      <c r="B406" s="112" t="s">
        <v>2107</v>
      </c>
      <c r="C406" s="112">
        <v>3</v>
      </c>
      <c r="D406" s="114">
        <v>0.0005439203949036586</v>
      </c>
      <c r="E406" s="114">
        <v>0.7918075677129505</v>
      </c>
      <c r="F406" s="112" t="s">
        <v>3314</v>
      </c>
      <c r="G406" s="112" t="b">
        <v>0</v>
      </c>
      <c r="H406" s="112" t="b">
        <v>1</v>
      </c>
      <c r="I406" s="112" t="b">
        <v>0</v>
      </c>
      <c r="J406" s="112" t="b">
        <v>0</v>
      </c>
      <c r="K406" s="112" t="b">
        <v>0</v>
      </c>
      <c r="L406" s="112" t="b">
        <v>0</v>
      </c>
    </row>
    <row r="407" spans="1:12" ht="15">
      <c r="A407" s="112" t="s">
        <v>2174</v>
      </c>
      <c r="B407" s="112" t="s">
        <v>2136</v>
      </c>
      <c r="C407" s="112">
        <v>3</v>
      </c>
      <c r="D407" s="114">
        <v>0.0005439203949036586</v>
      </c>
      <c r="E407" s="114">
        <v>1.7918075677129504</v>
      </c>
      <c r="F407" s="112" t="s">
        <v>3314</v>
      </c>
      <c r="G407" s="112" t="b">
        <v>0</v>
      </c>
      <c r="H407" s="112" t="b">
        <v>0</v>
      </c>
      <c r="I407" s="112" t="b">
        <v>0</v>
      </c>
      <c r="J407" s="112" t="b">
        <v>0</v>
      </c>
      <c r="K407" s="112" t="b">
        <v>1</v>
      </c>
      <c r="L407" s="112" t="b">
        <v>0</v>
      </c>
    </row>
    <row r="408" spans="1:12" ht="15">
      <c r="A408" s="112" t="s">
        <v>2136</v>
      </c>
      <c r="B408" s="112" t="s">
        <v>2265</v>
      </c>
      <c r="C408" s="112">
        <v>3</v>
      </c>
      <c r="D408" s="114">
        <v>0.0005439203949036586</v>
      </c>
      <c r="E408" s="114">
        <v>2.0470800728162564</v>
      </c>
      <c r="F408" s="112" t="s">
        <v>3314</v>
      </c>
      <c r="G408" s="112" t="b">
        <v>0</v>
      </c>
      <c r="H408" s="112" t="b">
        <v>1</v>
      </c>
      <c r="I408" s="112" t="b">
        <v>0</v>
      </c>
      <c r="J408" s="112" t="b">
        <v>0</v>
      </c>
      <c r="K408" s="112" t="b">
        <v>0</v>
      </c>
      <c r="L408" s="112" t="b">
        <v>0</v>
      </c>
    </row>
    <row r="409" spans="1:12" ht="15">
      <c r="A409" s="112" t="s">
        <v>2146</v>
      </c>
      <c r="B409" s="112" t="s">
        <v>2136</v>
      </c>
      <c r="C409" s="112">
        <v>3</v>
      </c>
      <c r="D409" s="114">
        <v>0.0005439203949036586</v>
      </c>
      <c r="E409" s="114">
        <v>1.6491400641442189</v>
      </c>
      <c r="F409" s="112" t="s">
        <v>3314</v>
      </c>
      <c r="G409" s="112" t="b">
        <v>0</v>
      </c>
      <c r="H409" s="112" t="b">
        <v>1</v>
      </c>
      <c r="I409" s="112" t="b">
        <v>0</v>
      </c>
      <c r="J409" s="112" t="b">
        <v>0</v>
      </c>
      <c r="K409" s="112" t="b">
        <v>1</v>
      </c>
      <c r="L409" s="112" t="b">
        <v>0</v>
      </c>
    </row>
    <row r="410" spans="1:12" ht="15">
      <c r="A410" s="112" t="s">
        <v>2101</v>
      </c>
      <c r="B410" s="112" t="s">
        <v>2101</v>
      </c>
      <c r="C410" s="112">
        <v>3</v>
      </c>
      <c r="D410" s="114">
        <v>0.0005439203949036586</v>
      </c>
      <c r="E410" s="114">
        <v>1.1119508379005743</v>
      </c>
      <c r="F410" s="112" t="s">
        <v>3314</v>
      </c>
      <c r="G410" s="112" t="b">
        <v>0</v>
      </c>
      <c r="H410" s="112" t="b">
        <v>0</v>
      </c>
      <c r="I410" s="112" t="b">
        <v>0</v>
      </c>
      <c r="J410" s="112" t="b">
        <v>0</v>
      </c>
      <c r="K410" s="112" t="b">
        <v>0</v>
      </c>
      <c r="L410" s="112" t="b">
        <v>0</v>
      </c>
    </row>
    <row r="411" spans="1:12" ht="15">
      <c r="A411" s="112" t="s">
        <v>2101</v>
      </c>
      <c r="B411" s="112" t="s">
        <v>2130</v>
      </c>
      <c r="C411" s="112">
        <v>3</v>
      </c>
      <c r="D411" s="114">
        <v>0.0005006759796149353</v>
      </c>
      <c r="E411" s="114">
        <v>1.2799242067340761</v>
      </c>
      <c r="F411" s="112" t="s">
        <v>3314</v>
      </c>
      <c r="G411" s="112" t="b">
        <v>0</v>
      </c>
      <c r="H411" s="112" t="b">
        <v>0</v>
      </c>
      <c r="I411" s="112" t="b">
        <v>0</v>
      </c>
      <c r="J411" s="112" t="b">
        <v>0</v>
      </c>
      <c r="K411" s="112" t="b">
        <v>0</v>
      </c>
      <c r="L411" s="112" t="b">
        <v>0</v>
      </c>
    </row>
    <row r="412" spans="1:12" ht="15">
      <c r="A412" s="112" t="s">
        <v>2101</v>
      </c>
      <c r="B412" s="112" t="s">
        <v>2451</v>
      </c>
      <c r="C412" s="112">
        <v>3</v>
      </c>
      <c r="D412" s="114">
        <v>0.0005439203949036586</v>
      </c>
      <c r="E412" s="114">
        <v>2.1372567031653444</v>
      </c>
      <c r="F412" s="112" t="s">
        <v>3314</v>
      </c>
      <c r="G412" s="112" t="b">
        <v>0</v>
      </c>
      <c r="H412" s="112" t="b">
        <v>0</v>
      </c>
      <c r="I412" s="112" t="b">
        <v>0</v>
      </c>
      <c r="J412" s="112" t="b">
        <v>0</v>
      </c>
      <c r="K412" s="112" t="b">
        <v>0</v>
      </c>
      <c r="L412" s="112" t="b">
        <v>0</v>
      </c>
    </row>
    <row r="413" spans="1:12" ht="15">
      <c r="A413" s="112" t="s">
        <v>2674</v>
      </c>
      <c r="B413" s="112" t="s">
        <v>2675</v>
      </c>
      <c r="C413" s="112">
        <v>3</v>
      </c>
      <c r="D413" s="114">
        <v>0.0005439203949036586</v>
      </c>
      <c r="E413" s="114">
        <v>3.5979875416968374</v>
      </c>
      <c r="F413" s="112" t="s">
        <v>3314</v>
      </c>
      <c r="G413" s="112" t="b">
        <v>0</v>
      </c>
      <c r="H413" s="112" t="b">
        <v>0</v>
      </c>
      <c r="I413" s="112" t="b">
        <v>0</v>
      </c>
      <c r="J413" s="112" t="b">
        <v>0</v>
      </c>
      <c r="K413" s="112" t="b">
        <v>0</v>
      </c>
      <c r="L413" s="112" t="b">
        <v>0</v>
      </c>
    </row>
    <row r="414" spans="1:12" ht="15">
      <c r="A414" s="112" t="s">
        <v>2675</v>
      </c>
      <c r="B414" s="112" t="s">
        <v>2080</v>
      </c>
      <c r="C414" s="112">
        <v>3</v>
      </c>
      <c r="D414" s="114">
        <v>0.0005439203949036586</v>
      </c>
      <c r="E414" s="114">
        <v>1.8345595481339003</v>
      </c>
      <c r="F414" s="112" t="s">
        <v>3314</v>
      </c>
      <c r="G414" s="112" t="b">
        <v>0</v>
      </c>
      <c r="H414" s="112" t="b">
        <v>0</v>
      </c>
      <c r="I414" s="112" t="b">
        <v>0</v>
      </c>
      <c r="J414" s="112" t="b">
        <v>0</v>
      </c>
      <c r="K414" s="112" t="b">
        <v>0</v>
      </c>
      <c r="L414" s="112" t="b">
        <v>0</v>
      </c>
    </row>
    <row r="415" spans="1:12" ht="15">
      <c r="A415" s="112" t="s">
        <v>2083</v>
      </c>
      <c r="B415" s="112" t="s">
        <v>2078</v>
      </c>
      <c r="C415" s="112">
        <v>3</v>
      </c>
      <c r="D415" s="114">
        <v>0.0005006759796149353</v>
      </c>
      <c r="E415" s="114">
        <v>-0.025789933896049593</v>
      </c>
      <c r="F415" s="112" t="s">
        <v>3314</v>
      </c>
      <c r="G415" s="112" t="b">
        <v>0</v>
      </c>
      <c r="H415" s="112" t="b">
        <v>0</v>
      </c>
      <c r="I415" s="112" t="b">
        <v>0</v>
      </c>
      <c r="J415" s="112" t="b">
        <v>0</v>
      </c>
      <c r="K415" s="112" t="b">
        <v>0</v>
      </c>
      <c r="L415" s="112" t="b">
        <v>0</v>
      </c>
    </row>
    <row r="416" spans="1:12" ht="15">
      <c r="A416" s="112" t="s">
        <v>2199</v>
      </c>
      <c r="B416" s="112" t="s">
        <v>2199</v>
      </c>
      <c r="C416" s="112">
        <v>3</v>
      </c>
      <c r="D416" s="114">
        <v>0.0005006759796149353</v>
      </c>
      <c r="E416" s="114">
        <v>2.2000475330248</v>
      </c>
      <c r="F416" s="112" t="s">
        <v>3314</v>
      </c>
      <c r="G416" s="112" t="b">
        <v>0</v>
      </c>
      <c r="H416" s="112" t="b">
        <v>0</v>
      </c>
      <c r="I416" s="112" t="b">
        <v>0</v>
      </c>
      <c r="J416" s="112" t="b">
        <v>0</v>
      </c>
      <c r="K416" s="112" t="b">
        <v>0</v>
      </c>
      <c r="L416" s="112" t="b">
        <v>0</v>
      </c>
    </row>
    <row r="417" spans="1:12" ht="15">
      <c r="A417" s="112" t="s">
        <v>2324</v>
      </c>
      <c r="B417" s="112" t="s">
        <v>2324</v>
      </c>
      <c r="C417" s="112">
        <v>3</v>
      </c>
      <c r="D417" s="114">
        <v>0.0006178472111276226</v>
      </c>
      <c r="E417" s="114">
        <v>2.7460500771522756</v>
      </c>
      <c r="F417" s="112" t="s">
        <v>3314</v>
      </c>
      <c r="G417" s="112" t="b">
        <v>0</v>
      </c>
      <c r="H417" s="112" t="b">
        <v>0</v>
      </c>
      <c r="I417" s="112" t="b">
        <v>0</v>
      </c>
      <c r="J417" s="112" t="b">
        <v>0</v>
      </c>
      <c r="K417" s="112" t="b">
        <v>0</v>
      </c>
      <c r="L417" s="112" t="b">
        <v>0</v>
      </c>
    </row>
    <row r="418" spans="1:12" ht="15">
      <c r="A418" s="112" t="s">
        <v>2541</v>
      </c>
      <c r="B418" s="112" t="s">
        <v>2091</v>
      </c>
      <c r="C418" s="112">
        <v>3</v>
      </c>
      <c r="D418" s="114">
        <v>0.0006178472111276226</v>
      </c>
      <c r="E418" s="114">
        <v>2.0363562074244834</v>
      </c>
      <c r="F418" s="112" t="s">
        <v>3314</v>
      </c>
      <c r="G418" s="112" t="b">
        <v>0</v>
      </c>
      <c r="H418" s="112" t="b">
        <v>1</v>
      </c>
      <c r="I418" s="112" t="b">
        <v>0</v>
      </c>
      <c r="J418" s="112" t="b">
        <v>0</v>
      </c>
      <c r="K418" s="112" t="b">
        <v>0</v>
      </c>
      <c r="L418" s="112" t="b">
        <v>0</v>
      </c>
    </row>
    <row r="419" spans="1:12" ht="15">
      <c r="A419" s="112" t="s">
        <v>2542</v>
      </c>
      <c r="B419" s="112" t="s">
        <v>2542</v>
      </c>
      <c r="C419" s="112">
        <v>3</v>
      </c>
      <c r="D419" s="114">
        <v>0.0006178472111276226</v>
      </c>
      <c r="E419" s="114">
        <v>3.3481100684802376</v>
      </c>
      <c r="F419" s="112" t="s">
        <v>3314</v>
      </c>
      <c r="G419" s="112" t="b">
        <v>0</v>
      </c>
      <c r="H419" s="112" t="b">
        <v>0</v>
      </c>
      <c r="I419" s="112" t="b">
        <v>0</v>
      </c>
      <c r="J419" s="112" t="b">
        <v>0</v>
      </c>
      <c r="K419" s="112" t="b">
        <v>0</v>
      </c>
      <c r="L419" s="112" t="b">
        <v>0</v>
      </c>
    </row>
    <row r="420" spans="1:12" ht="15">
      <c r="A420" s="112" t="s">
        <v>2540</v>
      </c>
      <c r="B420" s="112" t="s">
        <v>2360</v>
      </c>
      <c r="C420" s="112">
        <v>3</v>
      </c>
      <c r="D420" s="114">
        <v>0.0006178472111276226</v>
      </c>
      <c r="E420" s="114">
        <v>3.105072019793943</v>
      </c>
      <c r="F420" s="112" t="s">
        <v>3314</v>
      </c>
      <c r="G420" s="112" t="b">
        <v>0</v>
      </c>
      <c r="H420" s="112" t="b">
        <v>0</v>
      </c>
      <c r="I420" s="112" t="b">
        <v>0</v>
      </c>
      <c r="J420" s="112" t="b">
        <v>0</v>
      </c>
      <c r="K420" s="112" t="b">
        <v>0</v>
      </c>
      <c r="L420" s="112" t="b">
        <v>0</v>
      </c>
    </row>
    <row r="421" spans="1:12" ht="15">
      <c r="A421" s="112" t="s">
        <v>2091</v>
      </c>
      <c r="B421" s="112" t="s">
        <v>2200</v>
      </c>
      <c r="C421" s="112">
        <v>3</v>
      </c>
      <c r="D421" s="114">
        <v>0.0006178472111276226</v>
      </c>
      <c r="E421" s="114">
        <v>1.4518595060185997</v>
      </c>
      <c r="F421" s="112" t="s">
        <v>3314</v>
      </c>
      <c r="G421" s="112" t="b">
        <v>0</v>
      </c>
      <c r="H421" s="112" t="b">
        <v>0</v>
      </c>
      <c r="I421" s="112" t="b">
        <v>0</v>
      </c>
      <c r="J421" s="112" t="b">
        <v>0</v>
      </c>
      <c r="K421" s="112" t="b">
        <v>0</v>
      </c>
      <c r="L421" s="112" t="b">
        <v>0</v>
      </c>
    </row>
    <row r="422" spans="1:12" ht="15">
      <c r="A422" s="112" t="s">
        <v>2188</v>
      </c>
      <c r="B422" s="112" t="s">
        <v>2199</v>
      </c>
      <c r="C422" s="112">
        <v>3</v>
      </c>
      <c r="D422" s="114">
        <v>0.0005006759796149353</v>
      </c>
      <c r="E422" s="114">
        <v>2.1720188094245567</v>
      </c>
      <c r="F422" s="112" t="s">
        <v>3314</v>
      </c>
      <c r="G422" s="112" t="b">
        <v>0</v>
      </c>
      <c r="H422" s="112" t="b">
        <v>0</v>
      </c>
      <c r="I422" s="112" t="b">
        <v>0</v>
      </c>
      <c r="J422" s="112" t="b">
        <v>0</v>
      </c>
      <c r="K422" s="112" t="b">
        <v>0</v>
      </c>
      <c r="L422" s="112" t="b">
        <v>0</v>
      </c>
    </row>
    <row r="423" spans="1:12" ht="15">
      <c r="A423" s="112" t="s">
        <v>2091</v>
      </c>
      <c r="B423" s="112" t="s">
        <v>2199</v>
      </c>
      <c r="C423" s="112">
        <v>3</v>
      </c>
      <c r="D423" s="114">
        <v>0.0005439203949036586</v>
      </c>
      <c r="E423" s="114">
        <v>1.4518595060185997</v>
      </c>
      <c r="F423" s="112" t="s">
        <v>3314</v>
      </c>
      <c r="G423" s="112" t="b">
        <v>0</v>
      </c>
      <c r="H423" s="112" t="b">
        <v>0</v>
      </c>
      <c r="I423" s="112" t="b">
        <v>0</v>
      </c>
      <c r="J423" s="112" t="b">
        <v>0</v>
      </c>
      <c r="K423" s="112" t="b">
        <v>0</v>
      </c>
      <c r="L423" s="112" t="b">
        <v>0</v>
      </c>
    </row>
    <row r="424" spans="1:12" ht="15">
      <c r="A424" s="112" t="s">
        <v>2090</v>
      </c>
      <c r="B424" s="112" t="s">
        <v>2096</v>
      </c>
      <c r="C424" s="112">
        <v>3</v>
      </c>
      <c r="D424" s="114">
        <v>0.0005006759796149353</v>
      </c>
      <c r="E424" s="114">
        <v>0.8098977687790142</v>
      </c>
      <c r="F424" s="112" t="s">
        <v>3314</v>
      </c>
      <c r="G424" s="112" t="b">
        <v>0</v>
      </c>
      <c r="H424" s="112" t="b">
        <v>0</v>
      </c>
      <c r="I424" s="112" t="b">
        <v>0</v>
      </c>
      <c r="J424" s="112" t="b">
        <v>0</v>
      </c>
      <c r="K424" s="112" t="b">
        <v>0</v>
      </c>
      <c r="L424" s="112" t="b">
        <v>0</v>
      </c>
    </row>
    <row r="425" spans="1:12" ht="15">
      <c r="A425" s="112" t="s">
        <v>2686</v>
      </c>
      <c r="B425" s="112" t="s">
        <v>2687</v>
      </c>
      <c r="C425" s="112">
        <v>3</v>
      </c>
      <c r="D425" s="114">
        <v>0.0005439203949036586</v>
      </c>
      <c r="E425" s="114">
        <v>3.5979875416968374</v>
      </c>
      <c r="F425" s="112" t="s">
        <v>3314</v>
      </c>
      <c r="G425" s="112" t="b">
        <v>0</v>
      </c>
      <c r="H425" s="112" t="b">
        <v>0</v>
      </c>
      <c r="I425" s="112" t="b">
        <v>0</v>
      </c>
      <c r="J425" s="112" t="b">
        <v>0</v>
      </c>
      <c r="K425" s="112" t="b">
        <v>0</v>
      </c>
      <c r="L425" s="112" t="b">
        <v>0</v>
      </c>
    </row>
    <row r="426" spans="1:12" ht="15">
      <c r="A426" s="112" t="s">
        <v>2089</v>
      </c>
      <c r="B426" s="112" t="s">
        <v>2315</v>
      </c>
      <c r="C426" s="112">
        <v>3</v>
      </c>
      <c r="D426" s="114">
        <v>0.0005006759796149353</v>
      </c>
      <c r="E426" s="114">
        <v>1.6900986718231255</v>
      </c>
      <c r="F426" s="112" t="s">
        <v>3314</v>
      </c>
      <c r="G426" s="112" t="b">
        <v>0</v>
      </c>
      <c r="H426" s="112" t="b">
        <v>0</v>
      </c>
      <c r="I426" s="112" t="b">
        <v>0</v>
      </c>
      <c r="J426" s="112" t="b">
        <v>0</v>
      </c>
      <c r="K426" s="112" t="b">
        <v>0</v>
      </c>
      <c r="L426" s="112" t="b">
        <v>0</v>
      </c>
    </row>
    <row r="427" spans="1:12" ht="15">
      <c r="A427" s="112" t="s">
        <v>2168</v>
      </c>
      <c r="B427" s="112" t="s">
        <v>2168</v>
      </c>
      <c r="C427" s="112">
        <v>3</v>
      </c>
      <c r="D427" s="114">
        <v>0.0005006759796149353</v>
      </c>
      <c r="E427" s="114">
        <v>1.9724464545193525</v>
      </c>
      <c r="F427" s="112" t="s">
        <v>3314</v>
      </c>
      <c r="G427" s="112" t="b">
        <v>0</v>
      </c>
      <c r="H427" s="112" t="b">
        <v>1</v>
      </c>
      <c r="I427" s="112" t="b">
        <v>0</v>
      </c>
      <c r="J427" s="112" t="b">
        <v>0</v>
      </c>
      <c r="K427" s="112" t="b">
        <v>1</v>
      </c>
      <c r="L427" s="112" t="b">
        <v>0</v>
      </c>
    </row>
    <row r="428" spans="1:12" ht="15">
      <c r="A428" s="112" t="s">
        <v>2456</v>
      </c>
      <c r="B428" s="112" t="s">
        <v>2210</v>
      </c>
      <c r="C428" s="112">
        <v>3</v>
      </c>
      <c r="D428" s="114">
        <v>0.0005006759796149353</v>
      </c>
      <c r="E428" s="114">
        <v>2.739316694493307</v>
      </c>
      <c r="F428" s="112" t="s">
        <v>3314</v>
      </c>
      <c r="G428" s="112" t="b">
        <v>0</v>
      </c>
      <c r="H428" s="112" t="b">
        <v>0</v>
      </c>
      <c r="I428" s="112" t="b">
        <v>0</v>
      </c>
      <c r="J428" s="112" t="b">
        <v>0</v>
      </c>
      <c r="K428" s="112" t="b">
        <v>0</v>
      </c>
      <c r="L428" s="112" t="b">
        <v>0</v>
      </c>
    </row>
    <row r="429" spans="1:12" ht="15">
      <c r="A429" s="112" t="s">
        <v>2452</v>
      </c>
      <c r="B429" s="112" t="s">
        <v>2083</v>
      </c>
      <c r="C429" s="112">
        <v>3</v>
      </c>
      <c r="D429" s="114">
        <v>0.0005006759796149353</v>
      </c>
      <c r="E429" s="114">
        <v>1.7598383616379087</v>
      </c>
      <c r="F429" s="112" t="s">
        <v>3314</v>
      </c>
      <c r="G429" s="112" t="b">
        <v>0</v>
      </c>
      <c r="H429" s="112" t="b">
        <v>0</v>
      </c>
      <c r="I429" s="112" t="b">
        <v>0</v>
      </c>
      <c r="J429" s="112" t="b">
        <v>0</v>
      </c>
      <c r="K429" s="112" t="b">
        <v>0</v>
      </c>
      <c r="L429" s="112" t="b">
        <v>0</v>
      </c>
    </row>
    <row r="430" spans="1:12" ht="15">
      <c r="A430" s="112" t="s">
        <v>2219</v>
      </c>
      <c r="B430" s="112" t="s">
        <v>2293</v>
      </c>
      <c r="C430" s="112">
        <v>3</v>
      </c>
      <c r="D430" s="114">
        <v>0.0005006759796149353</v>
      </c>
      <c r="E430" s="114">
        <v>2.484044189390001</v>
      </c>
      <c r="F430" s="112" t="s">
        <v>3314</v>
      </c>
      <c r="G430" s="112" t="b">
        <v>0</v>
      </c>
      <c r="H430" s="112" t="b">
        <v>0</v>
      </c>
      <c r="I430" s="112" t="b">
        <v>0</v>
      </c>
      <c r="J430" s="112" t="b">
        <v>0</v>
      </c>
      <c r="K430" s="112" t="b">
        <v>0</v>
      </c>
      <c r="L430" s="112" t="b">
        <v>0</v>
      </c>
    </row>
    <row r="431" spans="1:12" ht="15">
      <c r="A431" s="112" t="s">
        <v>2295</v>
      </c>
      <c r="B431" s="112" t="s">
        <v>2173</v>
      </c>
      <c r="C431" s="112">
        <v>3</v>
      </c>
      <c r="D431" s="114">
        <v>0.0005006759796149353</v>
      </c>
      <c r="E431" s="114">
        <v>2.3675386203185638</v>
      </c>
      <c r="F431" s="112" t="s">
        <v>3314</v>
      </c>
      <c r="G431" s="112" t="b">
        <v>0</v>
      </c>
      <c r="H431" s="112" t="b">
        <v>0</v>
      </c>
      <c r="I431" s="112" t="b">
        <v>0</v>
      </c>
      <c r="J431" s="112" t="b">
        <v>0</v>
      </c>
      <c r="K431" s="112" t="b">
        <v>0</v>
      </c>
      <c r="L431" s="112" t="b">
        <v>0</v>
      </c>
    </row>
    <row r="432" spans="1:12" ht="15">
      <c r="A432" s="112" t="s">
        <v>2410</v>
      </c>
      <c r="B432" s="112" t="s">
        <v>2168</v>
      </c>
      <c r="C432" s="112">
        <v>3</v>
      </c>
      <c r="D432" s="114">
        <v>0.0005439203949036586</v>
      </c>
      <c r="E432" s="114">
        <v>2.49532519979969</v>
      </c>
      <c r="F432" s="112" t="s">
        <v>3314</v>
      </c>
      <c r="G432" s="112" t="b">
        <v>0</v>
      </c>
      <c r="H432" s="112" t="b">
        <v>0</v>
      </c>
      <c r="I432" s="112" t="b">
        <v>0</v>
      </c>
      <c r="J432" s="112" t="b">
        <v>0</v>
      </c>
      <c r="K432" s="112" t="b">
        <v>1</v>
      </c>
      <c r="L432" s="112" t="b">
        <v>0</v>
      </c>
    </row>
    <row r="433" spans="1:12" ht="15">
      <c r="A433" s="112" t="s">
        <v>2225</v>
      </c>
      <c r="B433" s="112" t="s">
        <v>2094</v>
      </c>
      <c r="C433" s="112">
        <v>3</v>
      </c>
      <c r="D433" s="114">
        <v>0.0005006759796149353</v>
      </c>
      <c r="E433" s="114">
        <v>1.6279507650742808</v>
      </c>
      <c r="F433" s="112" t="s">
        <v>3314</v>
      </c>
      <c r="G433" s="112" t="b">
        <v>0</v>
      </c>
      <c r="H433" s="112" t="b">
        <v>0</v>
      </c>
      <c r="I433" s="112" t="b">
        <v>0</v>
      </c>
      <c r="J433" s="112" t="b">
        <v>0</v>
      </c>
      <c r="K433" s="112" t="b">
        <v>0</v>
      </c>
      <c r="L433" s="112" t="b">
        <v>0</v>
      </c>
    </row>
    <row r="434" spans="1:12" ht="15">
      <c r="A434" s="112" t="s">
        <v>2694</v>
      </c>
      <c r="B434" s="112" t="s">
        <v>2695</v>
      </c>
      <c r="C434" s="112">
        <v>3</v>
      </c>
      <c r="D434" s="114">
        <v>0.0006178472111276226</v>
      </c>
      <c r="E434" s="114">
        <v>3.5979875416968374</v>
      </c>
      <c r="F434" s="112" t="s">
        <v>3314</v>
      </c>
      <c r="G434" s="112" t="b">
        <v>0</v>
      </c>
      <c r="H434" s="112" t="b">
        <v>0</v>
      </c>
      <c r="I434" s="112" t="b">
        <v>0</v>
      </c>
      <c r="J434" s="112" t="b">
        <v>0</v>
      </c>
      <c r="K434" s="112" t="b">
        <v>0</v>
      </c>
      <c r="L434" s="112" t="b">
        <v>0</v>
      </c>
    </row>
    <row r="435" spans="1:12" ht="15">
      <c r="A435" s="112" t="s">
        <v>2364</v>
      </c>
      <c r="B435" s="112" t="s">
        <v>2089</v>
      </c>
      <c r="C435" s="112">
        <v>3</v>
      </c>
      <c r="D435" s="114">
        <v>0.0005439203949036586</v>
      </c>
      <c r="E435" s="114">
        <v>1.7248607780823373</v>
      </c>
      <c r="F435" s="112" t="s">
        <v>3314</v>
      </c>
      <c r="G435" s="112" t="b">
        <v>0</v>
      </c>
      <c r="H435" s="112" t="b">
        <v>0</v>
      </c>
      <c r="I435" s="112" t="b">
        <v>0</v>
      </c>
      <c r="J435" s="112" t="b">
        <v>0</v>
      </c>
      <c r="K435" s="112" t="b">
        <v>0</v>
      </c>
      <c r="L435" s="112" t="b">
        <v>0</v>
      </c>
    </row>
    <row r="436" spans="1:12" ht="15">
      <c r="A436" s="112" t="s">
        <v>2330</v>
      </c>
      <c r="B436" s="112" t="s">
        <v>2090</v>
      </c>
      <c r="C436" s="112">
        <v>3</v>
      </c>
      <c r="D436" s="114">
        <v>0.0005439203949036586</v>
      </c>
      <c r="E436" s="114">
        <v>1.7146416129006512</v>
      </c>
      <c r="F436" s="112" t="s">
        <v>3314</v>
      </c>
      <c r="G436" s="112" t="b">
        <v>0</v>
      </c>
      <c r="H436" s="112" t="b">
        <v>1</v>
      </c>
      <c r="I436" s="112" t="b">
        <v>0</v>
      </c>
      <c r="J436" s="112" t="b">
        <v>0</v>
      </c>
      <c r="K436" s="112" t="b">
        <v>0</v>
      </c>
      <c r="L436" s="112" t="b">
        <v>0</v>
      </c>
    </row>
    <row r="437" spans="1:12" ht="15">
      <c r="A437" s="112" t="s">
        <v>2096</v>
      </c>
      <c r="B437" s="112" t="s">
        <v>2293</v>
      </c>
      <c r="C437" s="112">
        <v>3</v>
      </c>
      <c r="D437" s="114">
        <v>0.0005006759796149353</v>
      </c>
      <c r="E437" s="114">
        <v>1.7591384509595822</v>
      </c>
      <c r="F437" s="112" t="s">
        <v>3314</v>
      </c>
      <c r="G437" s="112" t="b">
        <v>0</v>
      </c>
      <c r="H437" s="112" t="b">
        <v>0</v>
      </c>
      <c r="I437" s="112" t="b">
        <v>0</v>
      </c>
      <c r="J437" s="112" t="b">
        <v>0</v>
      </c>
      <c r="K437" s="112" t="b">
        <v>0</v>
      </c>
      <c r="L437" s="112" t="b">
        <v>0</v>
      </c>
    </row>
    <row r="438" spans="1:12" ht="15">
      <c r="A438" s="112" t="s">
        <v>2096</v>
      </c>
      <c r="B438" s="112" t="s">
        <v>2183</v>
      </c>
      <c r="C438" s="112">
        <v>3</v>
      </c>
      <c r="D438" s="114">
        <v>0.0005439203949036586</v>
      </c>
      <c r="E438" s="114">
        <v>1.4829320390206333</v>
      </c>
      <c r="F438" s="112" t="s">
        <v>3314</v>
      </c>
      <c r="G438" s="112" t="b">
        <v>0</v>
      </c>
      <c r="H438" s="112" t="b">
        <v>0</v>
      </c>
      <c r="I438" s="112" t="b">
        <v>0</v>
      </c>
      <c r="J438" s="112" t="b">
        <v>0</v>
      </c>
      <c r="K438" s="112" t="b">
        <v>1</v>
      </c>
      <c r="L438" s="112" t="b">
        <v>0</v>
      </c>
    </row>
    <row r="439" spans="1:12" ht="15">
      <c r="A439" s="112" t="s">
        <v>2094</v>
      </c>
      <c r="B439" s="112" t="s">
        <v>2090</v>
      </c>
      <c r="C439" s="112">
        <v>3</v>
      </c>
      <c r="D439" s="114">
        <v>0.0005006759796149353</v>
      </c>
      <c r="E439" s="114">
        <v>0.7664732511735194</v>
      </c>
      <c r="F439" s="112" t="s">
        <v>3314</v>
      </c>
      <c r="G439" s="112" t="b">
        <v>0</v>
      </c>
      <c r="H439" s="112" t="b">
        <v>0</v>
      </c>
      <c r="I439" s="112" t="b">
        <v>0</v>
      </c>
      <c r="J439" s="112" t="b">
        <v>0</v>
      </c>
      <c r="K439" s="112" t="b">
        <v>0</v>
      </c>
      <c r="L439" s="112" t="b">
        <v>0</v>
      </c>
    </row>
    <row r="440" spans="1:12" ht="15">
      <c r="A440" s="112" t="s">
        <v>2126</v>
      </c>
      <c r="B440" s="112" t="s">
        <v>2083</v>
      </c>
      <c r="C440" s="112">
        <v>3</v>
      </c>
      <c r="D440" s="114">
        <v>0.0005006759796149353</v>
      </c>
      <c r="E440" s="114">
        <v>0.8567483746459651</v>
      </c>
      <c r="F440" s="112" t="s">
        <v>3314</v>
      </c>
      <c r="G440" s="112" t="b">
        <v>0</v>
      </c>
      <c r="H440" s="112" t="b">
        <v>0</v>
      </c>
      <c r="I440" s="112" t="b">
        <v>0</v>
      </c>
      <c r="J440" s="112" t="b">
        <v>0</v>
      </c>
      <c r="K440" s="112" t="b">
        <v>0</v>
      </c>
      <c r="L440" s="112" t="b">
        <v>0</v>
      </c>
    </row>
    <row r="441" spans="1:12" ht="15">
      <c r="A441" s="112" t="s">
        <v>2094</v>
      </c>
      <c r="B441" s="112" t="s">
        <v>2204</v>
      </c>
      <c r="C441" s="112">
        <v>3</v>
      </c>
      <c r="D441" s="114">
        <v>0.0005006759796149353</v>
      </c>
      <c r="E441" s="114">
        <v>1.5548436667388492</v>
      </c>
      <c r="F441" s="112" t="s">
        <v>3314</v>
      </c>
      <c r="G441" s="112" t="b">
        <v>0</v>
      </c>
      <c r="H441" s="112" t="b">
        <v>0</v>
      </c>
      <c r="I441" s="112" t="b">
        <v>0</v>
      </c>
      <c r="J441" s="112" t="b">
        <v>0</v>
      </c>
      <c r="K441" s="112" t="b">
        <v>0</v>
      </c>
      <c r="L441" s="112" t="b">
        <v>0</v>
      </c>
    </row>
    <row r="442" spans="1:12" ht="15">
      <c r="A442" s="112" t="s">
        <v>2126</v>
      </c>
      <c r="B442" s="112" t="s">
        <v>2294</v>
      </c>
      <c r="C442" s="112">
        <v>3</v>
      </c>
      <c r="D442" s="114">
        <v>0.0005439203949036586</v>
      </c>
      <c r="E442" s="114">
        <v>1.9959275503688751</v>
      </c>
      <c r="F442" s="112" t="s">
        <v>3314</v>
      </c>
      <c r="G442" s="112" t="b">
        <v>0</v>
      </c>
      <c r="H442" s="112" t="b">
        <v>0</v>
      </c>
      <c r="I442" s="112" t="b">
        <v>0</v>
      </c>
      <c r="J442" s="112" t="b">
        <v>0</v>
      </c>
      <c r="K442" s="112" t="b">
        <v>0</v>
      </c>
      <c r="L442" s="112" t="b">
        <v>0</v>
      </c>
    </row>
    <row r="443" spans="1:12" ht="15">
      <c r="A443" s="112" t="s">
        <v>2084</v>
      </c>
      <c r="B443" s="112" t="s">
        <v>2093</v>
      </c>
      <c r="C443" s="112">
        <v>3</v>
      </c>
      <c r="D443" s="114">
        <v>0.0005439203949036586</v>
      </c>
      <c r="E443" s="114">
        <v>0.543629879374245</v>
      </c>
      <c r="F443" s="112" t="s">
        <v>3314</v>
      </c>
      <c r="G443" s="112" t="b">
        <v>0</v>
      </c>
      <c r="H443" s="112" t="b">
        <v>1</v>
      </c>
      <c r="I443" s="112" t="b">
        <v>0</v>
      </c>
      <c r="J443" s="112" t="b">
        <v>0</v>
      </c>
      <c r="K443" s="112" t="b">
        <v>0</v>
      </c>
      <c r="L443" s="112" t="b">
        <v>0</v>
      </c>
    </row>
    <row r="444" spans="1:12" ht="15">
      <c r="A444" s="112" t="s">
        <v>2077</v>
      </c>
      <c r="B444" s="112" t="s">
        <v>2465</v>
      </c>
      <c r="C444" s="112">
        <v>3</v>
      </c>
      <c r="D444" s="114">
        <v>0.0006178472111276226</v>
      </c>
      <c r="E444" s="114">
        <v>1.241536738792802</v>
      </c>
      <c r="F444" s="112" t="s">
        <v>3314</v>
      </c>
      <c r="G444" s="112" t="b">
        <v>0</v>
      </c>
      <c r="H444" s="112" t="b">
        <v>0</v>
      </c>
      <c r="I444" s="112" t="b">
        <v>0</v>
      </c>
      <c r="J444" s="112" t="b">
        <v>0</v>
      </c>
      <c r="K444" s="112" t="b">
        <v>0</v>
      </c>
      <c r="L444" s="112" t="b">
        <v>0</v>
      </c>
    </row>
    <row r="445" spans="1:12" ht="15">
      <c r="A445" s="112" t="s">
        <v>2706</v>
      </c>
      <c r="B445" s="112" t="s">
        <v>2077</v>
      </c>
      <c r="C445" s="112">
        <v>3</v>
      </c>
      <c r="D445" s="114">
        <v>0.0006178472111276226</v>
      </c>
      <c r="E445" s="114">
        <v>1.4676537732018315</v>
      </c>
      <c r="F445" s="112" t="s">
        <v>3314</v>
      </c>
      <c r="G445" s="112" t="b">
        <v>0</v>
      </c>
      <c r="H445" s="112" t="b">
        <v>0</v>
      </c>
      <c r="I445" s="112" t="b">
        <v>0</v>
      </c>
      <c r="J445" s="112" t="b">
        <v>0</v>
      </c>
      <c r="K445" s="112" t="b">
        <v>0</v>
      </c>
      <c r="L445" s="112" t="b">
        <v>0</v>
      </c>
    </row>
    <row r="446" spans="1:12" ht="15">
      <c r="A446" s="112" t="s">
        <v>2077</v>
      </c>
      <c r="B446" s="112" t="s">
        <v>2416</v>
      </c>
      <c r="C446" s="112">
        <v>3</v>
      </c>
      <c r="D446" s="114">
        <v>0.0006178472111276226</v>
      </c>
      <c r="E446" s="114">
        <v>1.1623554927451771</v>
      </c>
      <c r="F446" s="112" t="s">
        <v>3314</v>
      </c>
      <c r="G446" s="112" t="b">
        <v>0</v>
      </c>
      <c r="H446" s="112" t="b">
        <v>0</v>
      </c>
      <c r="I446" s="112" t="b">
        <v>0</v>
      </c>
      <c r="J446" s="112" t="b">
        <v>0</v>
      </c>
      <c r="K446" s="112" t="b">
        <v>0</v>
      </c>
      <c r="L446" s="112" t="b">
        <v>0</v>
      </c>
    </row>
    <row r="447" spans="1:12" ht="15">
      <c r="A447" s="112" t="s">
        <v>2466</v>
      </c>
      <c r="B447" s="112" t="s">
        <v>2077</v>
      </c>
      <c r="C447" s="112">
        <v>3</v>
      </c>
      <c r="D447" s="114">
        <v>0.0006178472111276226</v>
      </c>
      <c r="E447" s="114">
        <v>1.2458050235854752</v>
      </c>
      <c r="F447" s="112" t="s">
        <v>3314</v>
      </c>
      <c r="G447" s="112" t="b">
        <v>0</v>
      </c>
      <c r="H447" s="112" t="b">
        <v>0</v>
      </c>
      <c r="I447" s="112" t="b">
        <v>0</v>
      </c>
      <c r="J447" s="112" t="b">
        <v>0</v>
      </c>
      <c r="K447" s="112" t="b">
        <v>0</v>
      </c>
      <c r="L447" s="112" t="b">
        <v>0</v>
      </c>
    </row>
    <row r="448" spans="1:12" ht="15">
      <c r="A448" s="112" t="s">
        <v>2564</v>
      </c>
      <c r="B448" s="112" t="s">
        <v>2707</v>
      </c>
      <c r="C448" s="112">
        <v>3</v>
      </c>
      <c r="D448" s="114">
        <v>0.0005439203949036586</v>
      </c>
      <c r="E448" s="114">
        <v>3.4730488050885375</v>
      </c>
      <c r="F448" s="112" t="s">
        <v>3314</v>
      </c>
      <c r="G448" s="112" t="b">
        <v>0</v>
      </c>
      <c r="H448" s="112" t="b">
        <v>0</v>
      </c>
      <c r="I448" s="112" t="b">
        <v>0</v>
      </c>
      <c r="J448" s="112" t="b">
        <v>0</v>
      </c>
      <c r="K448" s="112" t="b">
        <v>0</v>
      </c>
      <c r="L448" s="112" t="b">
        <v>0</v>
      </c>
    </row>
    <row r="449" spans="1:12" ht="15">
      <c r="A449" s="112" t="s">
        <v>2368</v>
      </c>
      <c r="B449" s="112" t="s">
        <v>2077</v>
      </c>
      <c r="C449" s="112">
        <v>3</v>
      </c>
      <c r="D449" s="114">
        <v>0.0005006759796149353</v>
      </c>
      <c r="E449" s="114">
        <v>1.099676987907237</v>
      </c>
      <c r="F449" s="112" t="s">
        <v>3314</v>
      </c>
      <c r="G449" s="112" t="b">
        <v>0</v>
      </c>
      <c r="H449" s="112" t="b">
        <v>0</v>
      </c>
      <c r="I449" s="112" t="b">
        <v>0</v>
      </c>
      <c r="J449" s="112" t="b">
        <v>0</v>
      </c>
      <c r="K449" s="112" t="b">
        <v>0</v>
      </c>
      <c r="L449" s="112" t="b">
        <v>0</v>
      </c>
    </row>
    <row r="450" spans="1:12" ht="15">
      <c r="A450" s="112" t="s">
        <v>2202</v>
      </c>
      <c r="B450" s="112" t="s">
        <v>2142</v>
      </c>
      <c r="C450" s="112">
        <v>3</v>
      </c>
      <c r="D450" s="114">
        <v>0.0005006759796149353</v>
      </c>
      <c r="E450" s="114">
        <v>1.9137407941815252</v>
      </c>
      <c r="F450" s="112" t="s">
        <v>3314</v>
      </c>
      <c r="G450" s="112" t="b">
        <v>0</v>
      </c>
      <c r="H450" s="112" t="b">
        <v>0</v>
      </c>
      <c r="I450" s="112" t="b">
        <v>0</v>
      </c>
      <c r="J450" s="112" t="b">
        <v>0</v>
      </c>
      <c r="K450" s="112" t="b">
        <v>0</v>
      </c>
      <c r="L450" s="112" t="b">
        <v>0</v>
      </c>
    </row>
    <row r="451" spans="1:12" ht="15">
      <c r="A451" s="112" t="s">
        <v>2710</v>
      </c>
      <c r="B451" s="112" t="s">
        <v>2300</v>
      </c>
      <c r="C451" s="112">
        <v>3</v>
      </c>
      <c r="D451" s="114">
        <v>0.0005006759796149353</v>
      </c>
      <c r="E451" s="114">
        <v>3.1208662869771753</v>
      </c>
      <c r="F451" s="112" t="s">
        <v>3314</v>
      </c>
      <c r="G451" s="112" t="b">
        <v>0</v>
      </c>
      <c r="H451" s="112" t="b">
        <v>0</v>
      </c>
      <c r="I451" s="112" t="b">
        <v>0</v>
      </c>
      <c r="J451" s="112" t="b">
        <v>0</v>
      </c>
      <c r="K451" s="112" t="b">
        <v>0</v>
      </c>
      <c r="L451" s="112" t="b">
        <v>0</v>
      </c>
    </row>
    <row r="452" spans="1:12" ht="15">
      <c r="A452" s="112" t="s">
        <v>2571</v>
      </c>
      <c r="B452" s="112" t="s">
        <v>2370</v>
      </c>
      <c r="C452" s="112">
        <v>3</v>
      </c>
      <c r="D452" s="114">
        <v>0.0005006759796149353</v>
      </c>
      <c r="E452" s="114">
        <v>3.105072019793943</v>
      </c>
      <c r="F452" s="112" t="s">
        <v>3314</v>
      </c>
      <c r="G452" s="112" t="b">
        <v>0</v>
      </c>
      <c r="H452" s="112" t="b">
        <v>0</v>
      </c>
      <c r="I452" s="112" t="b">
        <v>0</v>
      </c>
      <c r="J452" s="112" t="b">
        <v>0</v>
      </c>
      <c r="K452" s="112" t="b">
        <v>0</v>
      </c>
      <c r="L452" s="112" t="b">
        <v>0</v>
      </c>
    </row>
    <row r="453" spans="1:12" ht="15">
      <c r="A453" s="112" t="s">
        <v>2196</v>
      </c>
      <c r="B453" s="112" t="s">
        <v>2196</v>
      </c>
      <c r="C453" s="112">
        <v>3</v>
      </c>
      <c r="D453" s="114">
        <v>0.0005006759796149353</v>
      </c>
      <c r="E453" s="114">
        <v>2.2000475330248</v>
      </c>
      <c r="F453" s="112" t="s">
        <v>3314</v>
      </c>
      <c r="G453" s="112" t="b">
        <v>0</v>
      </c>
      <c r="H453" s="112" t="b">
        <v>0</v>
      </c>
      <c r="I453" s="112" t="b">
        <v>0</v>
      </c>
      <c r="J453" s="112" t="b">
        <v>0</v>
      </c>
      <c r="K453" s="112" t="b">
        <v>0</v>
      </c>
      <c r="L453" s="112" t="b">
        <v>0</v>
      </c>
    </row>
    <row r="454" spans="1:12" ht="15">
      <c r="A454" s="112" t="s">
        <v>2715</v>
      </c>
      <c r="B454" s="112" t="s">
        <v>2716</v>
      </c>
      <c r="C454" s="112">
        <v>3</v>
      </c>
      <c r="D454" s="114">
        <v>0.0006178472111276226</v>
      </c>
      <c r="E454" s="114">
        <v>3.5979875416968374</v>
      </c>
      <c r="F454" s="112" t="s">
        <v>3314</v>
      </c>
      <c r="G454" s="112" t="b">
        <v>0</v>
      </c>
      <c r="H454" s="112" t="b">
        <v>1</v>
      </c>
      <c r="I454" s="112" t="b">
        <v>0</v>
      </c>
      <c r="J454" s="112" t="b">
        <v>0</v>
      </c>
      <c r="K454" s="112" t="b">
        <v>0</v>
      </c>
      <c r="L454" s="112" t="b">
        <v>0</v>
      </c>
    </row>
    <row r="455" spans="1:12" ht="15">
      <c r="A455" s="112" t="s">
        <v>2574</v>
      </c>
      <c r="B455" s="112" t="s">
        <v>2557</v>
      </c>
      <c r="C455" s="112">
        <v>3</v>
      </c>
      <c r="D455" s="114">
        <v>0.0005006759796149353</v>
      </c>
      <c r="E455" s="114">
        <v>3.3481100684802376</v>
      </c>
      <c r="F455" s="112" t="s">
        <v>3314</v>
      </c>
      <c r="G455" s="112" t="b">
        <v>0</v>
      </c>
      <c r="H455" s="112" t="b">
        <v>0</v>
      </c>
      <c r="I455" s="112" t="b">
        <v>0</v>
      </c>
      <c r="J455" s="112" t="b">
        <v>0</v>
      </c>
      <c r="K455" s="112" t="b">
        <v>0</v>
      </c>
      <c r="L455" s="112" t="b">
        <v>0</v>
      </c>
    </row>
    <row r="456" spans="1:12" ht="15">
      <c r="A456" s="112" t="s">
        <v>2170</v>
      </c>
      <c r="B456" s="112" t="s">
        <v>2085</v>
      </c>
      <c r="C456" s="112">
        <v>3</v>
      </c>
      <c r="D456" s="114">
        <v>0.0006178472111276226</v>
      </c>
      <c r="E456" s="114">
        <v>1.3984151867916335</v>
      </c>
      <c r="F456" s="112" t="s">
        <v>3314</v>
      </c>
      <c r="G456" s="112" t="b">
        <v>0</v>
      </c>
      <c r="H456" s="112" t="b">
        <v>0</v>
      </c>
      <c r="I456" s="112" t="b">
        <v>0</v>
      </c>
      <c r="J456" s="112" t="b">
        <v>0</v>
      </c>
      <c r="K456" s="112" t="b">
        <v>0</v>
      </c>
      <c r="L456" s="112" t="b">
        <v>0</v>
      </c>
    </row>
    <row r="457" spans="1:12" ht="15">
      <c r="A457" s="112" t="s">
        <v>2170</v>
      </c>
      <c r="B457" s="112" t="s">
        <v>2169</v>
      </c>
      <c r="C457" s="112">
        <v>3</v>
      </c>
      <c r="D457" s="114">
        <v>0.0006178472111276226</v>
      </c>
      <c r="E457" s="114">
        <v>2.0182039450800273</v>
      </c>
      <c r="F457" s="112" t="s">
        <v>3314</v>
      </c>
      <c r="G457" s="112" t="b">
        <v>0</v>
      </c>
      <c r="H457" s="112" t="b">
        <v>0</v>
      </c>
      <c r="I457" s="112" t="b">
        <v>0</v>
      </c>
      <c r="J457" s="112" t="b">
        <v>0</v>
      </c>
      <c r="K457" s="112" t="b">
        <v>0</v>
      </c>
      <c r="L457" s="112" t="b">
        <v>0</v>
      </c>
    </row>
    <row r="458" spans="1:12" ht="15">
      <c r="A458" s="112" t="s">
        <v>2170</v>
      </c>
      <c r="B458" s="112" t="s">
        <v>2472</v>
      </c>
      <c r="C458" s="112">
        <v>3</v>
      </c>
      <c r="D458" s="114">
        <v>0.0005439203949036586</v>
      </c>
      <c r="E458" s="114">
        <v>2.5745064458473146</v>
      </c>
      <c r="F458" s="112" t="s">
        <v>3314</v>
      </c>
      <c r="G458" s="112" t="b">
        <v>0</v>
      </c>
      <c r="H458" s="112" t="b">
        <v>0</v>
      </c>
      <c r="I458" s="112" t="b">
        <v>0</v>
      </c>
      <c r="J458" s="112" t="b">
        <v>0</v>
      </c>
      <c r="K458" s="112" t="b">
        <v>0</v>
      </c>
      <c r="L458" s="112" t="b">
        <v>0</v>
      </c>
    </row>
    <row r="459" spans="1:12" ht="15">
      <c r="A459" s="112" t="s">
        <v>2088</v>
      </c>
      <c r="B459" s="112" t="s">
        <v>2170</v>
      </c>
      <c r="C459" s="112">
        <v>3</v>
      </c>
      <c r="D459" s="114">
        <v>0.0006178472111276226</v>
      </c>
      <c r="E459" s="114">
        <v>1.2555648608746315</v>
      </c>
      <c r="F459" s="112" t="s">
        <v>3314</v>
      </c>
      <c r="G459" s="112" t="b">
        <v>0</v>
      </c>
      <c r="H459" s="112" t="b">
        <v>0</v>
      </c>
      <c r="I459" s="112" t="b">
        <v>0</v>
      </c>
      <c r="J459" s="112" t="b">
        <v>0</v>
      </c>
      <c r="K459" s="112" t="b">
        <v>0</v>
      </c>
      <c r="L459" s="112" t="b">
        <v>0</v>
      </c>
    </row>
    <row r="460" spans="1:12" ht="15">
      <c r="A460" s="112" t="s">
        <v>2349</v>
      </c>
      <c r="B460" s="112" t="s">
        <v>2722</v>
      </c>
      <c r="C460" s="112">
        <v>3</v>
      </c>
      <c r="D460" s="114">
        <v>0.0005439203949036586</v>
      </c>
      <c r="E460" s="114">
        <v>3.230010756402243</v>
      </c>
      <c r="F460" s="112" t="s">
        <v>3314</v>
      </c>
      <c r="G460" s="112" t="b">
        <v>0</v>
      </c>
      <c r="H460" s="112" t="b">
        <v>1</v>
      </c>
      <c r="I460" s="112" t="b">
        <v>0</v>
      </c>
      <c r="J460" s="112" t="b">
        <v>0</v>
      </c>
      <c r="K460" s="112" t="b">
        <v>0</v>
      </c>
      <c r="L460" s="112" t="b">
        <v>0</v>
      </c>
    </row>
    <row r="461" spans="1:12" ht="15">
      <c r="A461" s="112" t="s">
        <v>2184</v>
      </c>
      <c r="B461" s="112" t="s">
        <v>2153</v>
      </c>
      <c r="C461" s="112">
        <v>3</v>
      </c>
      <c r="D461" s="114">
        <v>0.0005006759796149353</v>
      </c>
      <c r="E461" s="114">
        <v>1.923841121085851</v>
      </c>
      <c r="F461" s="112" t="s">
        <v>3314</v>
      </c>
      <c r="G461" s="112" t="b">
        <v>0</v>
      </c>
      <c r="H461" s="112" t="b">
        <v>0</v>
      </c>
      <c r="I461" s="112" t="b">
        <v>0</v>
      </c>
      <c r="J461" s="112" t="b">
        <v>0</v>
      </c>
      <c r="K461" s="112" t="b">
        <v>0</v>
      </c>
      <c r="L461" s="112" t="b">
        <v>0</v>
      </c>
    </row>
    <row r="462" spans="1:12" ht="15">
      <c r="A462" s="112" t="s">
        <v>2099</v>
      </c>
      <c r="B462" s="112" t="s">
        <v>2099</v>
      </c>
      <c r="C462" s="112">
        <v>3</v>
      </c>
      <c r="D462" s="114">
        <v>0.0005006759796149353</v>
      </c>
      <c r="E462" s="114">
        <v>1.1208662869771753</v>
      </c>
      <c r="F462" s="112" t="s">
        <v>3314</v>
      </c>
      <c r="G462" s="112" t="b">
        <v>0</v>
      </c>
      <c r="H462" s="112" t="b">
        <v>0</v>
      </c>
      <c r="I462" s="112" t="b">
        <v>0</v>
      </c>
      <c r="J462" s="112" t="b">
        <v>0</v>
      </c>
      <c r="K462" s="112" t="b">
        <v>0</v>
      </c>
      <c r="L462" s="112" t="b">
        <v>0</v>
      </c>
    </row>
    <row r="463" spans="1:12" ht="15">
      <c r="A463" s="112" t="s">
        <v>2099</v>
      </c>
      <c r="B463" s="112" t="s">
        <v>2334</v>
      </c>
      <c r="C463" s="112">
        <v>3</v>
      </c>
      <c r="D463" s="114">
        <v>0.0005006759796149353</v>
      </c>
      <c r="E463" s="114">
        <v>1.9167463043212505</v>
      </c>
      <c r="F463" s="112" t="s">
        <v>3314</v>
      </c>
      <c r="G463" s="112" t="b">
        <v>0</v>
      </c>
      <c r="H463" s="112" t="b">
        <v>0</v>
      </c>
      <c r="I463" s="112" t="b">
        <v>0</v>
      </c>
      <c r="J463" s="112" t="b">
        <v>0</v>
      </c>
      <c r="K463" s="112" t="b">
        <v>0</v>
      </c>
      <c r="L463" s="112" t="b">
        <v>0</v>
      </c>
    </row>
    <row r="464" spans="1:12" ht="15">
      <c r="A464" s="112" t="s">
        <v>2184</v>
      </c>
      <c r="B464" s="112" t="s">
        <v>2726</v>
      </c>
      <c r="C464" s="112">
        <v>3</v>
      </c>
      <c r="D464" s="114">
        <v>0.0005006759796149353</v>
      </c>
      <c r="E464" s="114">
        <v>2.8446598750382264</v>
      </c>
      <c r="F464" s="112" t="s">
        <v>3314</v>
      </c>
      <c r="G464" s="112" t="b">
        <v>0</v>
      </c>
      <c r="H464" s="112" t="b">
        <v>0</v>
      </c>
      <c r="I464" s="112" t="b">
        <v>0</v>
      </c>
      <c r="J464" s="112" t="b">
        <v>0</v>
      </c>
      <c r="K464" s="112" t="b">
        <v>0</v>
      </c>
      <c r="L464" s="112" t="b">
        <v>0</v>
      </c>
    </row>
    <row r="465" spans="1:12" ht="15">
      <c r="A465" s="112" t="s">
        <v>2726</v>
      </c>
      <c r="B465" s="112" t="s">
        <v>2184</v>
      </c>
      <c r="C465" s="112">
        <v>3</v>
      </c>
      <c r="D465" s="114">
        <v>0.0005006759796149353</v>
      </c>
      <c r="E465" s="114">
        <v>2.8446598750382264</v>
      </c>
      <c r="F465" s="112" t="s">
        <v>3314</v>
      </c>
      <c r="G465" s="112" t="b">
        <v>0</v>
      </c>
      <c r="H465" s="112" t="b">
        <v>0</v>
      </c>
      <c r="I465" s="112" t="b">
        <v>0</v>
      </c>
      <c r="J465" s="112" t="b">
        <v>0</v>
      </c>
      <c r="K465" s="112" t="b">
        <v>0</v>
      </c>
      <c r="L465" s="112" t="b">
        <v>0</v>
      </c>
    </row>
    <row r="466" spans="1:12" ht="15">
      <c r="A466" s="112" t="s">
        <v>2184</v>
      </c>
      <c r="B466" s="112" t="s">
        <v>2184</v>
      </c>
      <c r="C466" s="112">
        <v>3</v>
      </c>
      <c r="D466" s="114">
        <v>0.0005006759796149353</v>
      </c>
      <c r="E466" s="114">
        <v>2.091332208379615</v>
      </c>
      <c r="F466" s="112" t="s">
        <v>3314</v>
      </c>
      <c r="G466" s="112" t="b">
        <v>0</v>
      </c>
      <c r="H466" s="112" t="b">
        <v>0</v>
      </c>
      <c r="I466" s="112" t="b">
        <v>0</v>
      </c>
      <c r="J466" s="112" t="b">
        <v>0</v>
      </c>
      <c r="K466" s="112" t="b">
        <v>0</v>
      </c>
      <c r="L466" s="112" t="b">
        <v>0</v>
      </c>
    </row>
    <row r="467" spans="1:12" ht="15">
      <c r="A467" s="112" t="s">
        <v>2184</v>
      </c>
      <c r="B467" s="112" t="s">
        <v>2173</v>
      </c>
      <c r="C467" s="112">
        <v>3</v>
      </c>
      <c r="D467" s="114">
        <v>0.0005006759796149353</v>
      </c>
      <c r="E467" s="114">
        <v>2.091332208379615</v>
      </c>
      <c r="F467" s="112" t="s">
        <v>3314</v>
      </c>
      <c r="G467" s="112" t="b">
        <v>0</v>
      </c>
      <c r="H467" s="112" t="b">
        <v>0</v>
      </c>
      <c r="I467" s="112" t="b">
        <v>0</v>
      </c>
      <c r="J467" s="112" t="b">
        <v>0</v>
      </c>
      <c r="K467" s="112" t="b">
        <v>0</v>
      </c>
      <c r="L467" s="112" t="b">
        <v>0</v>
      </c>
    </row>
    <row r="468" spans="1:12" ht="15">
      <c r="A468" s="112" t="s">
        <v>2173</v>
      </c>
      <c r="B468" s="112" t="s">
        <v>2727</v>
      </c>
      <c r="C468" s="112">
        <v>3</v>
      </c>
      <c r="D468" s="114">
        <v>0.0005006759796149353</v>
      </c>
      <c r="E468" s="114">
        <v>2.819836291313194</v>
      </c>
      <c r="F468" s="112" t="s">
        <v>3314</v>
      </c>
      <c r="G468" s="112" t="b">
        <v>0</v>
      </c>
      <c r="H468" s="112" t="b">
        <v>0</v>
      </c>
      <c r="I468" s="112" t="b">
        <v>0</v>
      </c>
      <c r="J468" s="112" t="b">
        <v>0</v>
      </c>
      <c r="K468" s="112" t="b">
        <v>0</v>
      </c>
      <c r="L468" s="112" t="b">
        <v>0</v>
      </c>
    </row>
    <row r="469" spans="1:12" ht="15">
      <c r="A469" s="112" t="s">
        <v>2727</v>
      </c>
      <c r="B469" s="112" t="s">
        <v>2369</v>
      </c>
      <c r="C469" s="112">
        <v>3</v>
      </c>
      <c r="D469" s="114">
        <v>0.0005006759796149353</v>
      </c>
      <c r="E469" s="114">
        <v>3.230010756402243</v>
      </c>
      <c r="F469" s="112" t="s">
        <v>3314</v>
      </c>
      <c r="G469" s="112" t="b">
        <v>0</v>
      </c>
      <c r="H469" s="112" t="b">
        <v>0</v>
      </c>
      <c r="I469" s="112" t="b">
        <v>0</v>
      </c>
      <c r="J469" s="112" t="b">
        <v>0</v>
      </c>
      <c r="K469" s="112" t="b">
        <v>0</v>
      </c>
      <c r="L469" s="112" t="b">
        <v>0</v>
      </c>
    </row>
    <row r="470" spans="1:12" ht="15">
      <c r="A470" s="112" t="s">
        <v>2369</v>
      </c>
      <c r="B470" s="112" t="s">
        <v>2099</v>
      </c>
      <c r="C470" s="112">
        <v>3</v>
      </c>
      <c r="D470" s="114">
        <v>0.0005006759796149353</v>
      </c>
      <c r="E470" s="114">
        <v>2.008162006785887</v>
      </c>
      <c r="F470" s="112" t="s">
        <v>3314</v>
      </c>
      <c r="G470" s="112" t="b">
        <v>0</v>
      </c>
      <c r="H470" s="112" t="b">
        <v>0</v>
      </c>
      <c r="I470" s="112" t="b">
        <v>0</v>
      </c>
      <c r="J470" s="112" t="b">
        <v>0</v>
      </c>
      <c r="K470" s="112" t="b">
        <v>0</v>
      </c>
      <c r="L470" s="112" t="b">
        <v>0</v>
      </c>
    </row>
    <row r="471" spans="1:12" ht="15">
      <c r="A471" s="112" t="s">
        <v>2100</v>
      </c>
      <c r="B471" s="112" t="s">
        <v>2123</v>
      </c>
      <c r="C471" s="112">
        <v>3</v>
      </c>
      <c r="D471" s="114">
        <v>0.0005006759796149353</v>
      </c>
      <c r="E471" s="114">
        <v>1.1965870009152937</v>
      </c>
      <c r="F471" s="112" t="s">
        <v>3314</v>
      </c>
      <c r="G471" s="112" t="b">
        <v>0</v>
      </c>
      <c r="H471" s="112" t="b">
        <v>0</v>
      </c>
      <c r="I471" s="112" t="b">
        <v>0</v>
      </c>
      <c r="J471" s="112" t="b">
        <v>0</v>
      </c>
      <c r="K471" s="112" t="b">
        <v>0</v>
      </c>
      <c r="L471" s="112" t="b">
        <v>0</v>
      </c>
    </row>
    <row r="472" spans="1:12" ht="15">
      <c r="A472" s="112" t="s">
        <v>2123</v>
      </c>
      <c r="B472" s="112" t="s">
        <v>2092</v>
      </c>
      <c r="C472" s="112">
        <v>3</v>
      </c>
      <c r="D472" s="114">
        <v>0.0005006759796149353</v>
      </c>
      <c r="E472" s="114">
        <v>0.9995618350239694</v>
      </c>
      <c r="F472" s="112" t="s">
        <v>3314</v>
      </c>
      <c r="G472" s="112" t="b">
        <v>0</v>
      </c>
      <c r="H472" s="112" t="b">
        <v>0</v>
      </c>
      <c r="I472" s="112" t="b">
        <v>0</v>
      </c>
      <c r="J472" s="112" t="b">
        <v>0</v>
      </c>
      <c r="K472" s="112" t="b">
        <v>0</v>
      </c>
      <c r="L472" s="112" t="b">
        <v>0</v>
      </c>
    </row>
    <row r="473" spans="1:12" ht="15">
      <c r="A473" s="112" t="s">
        <v>2092</v>
      </c>
      <c r="B473" s="112" t="s">
        <v>2364</v>
      </c>
      <c r="C473" s="112">
        <v>3</v>
      </c>
      <c r="D473" s="114">
        <v>0.0005006759796149353</v>
      </c>
      <c r="E473" s="114">
        <v>1.923841121085851</v>
      </c>
      <c r="F473" s="112" t="s">
        <v>3314</v>
      </c>
      <c r="G473" s="112" t="b">
        <v>0</v>
      </c>
      <c r="H473" s="112" t="b">
        <v>0</v>
      </c>
      <c r="I473" s="112" t="b">
        <v>0</v>
      </c>
      <c r="J473" s="112" t="b">
        <v>0</v>
      </c>
      <c r="K473" s="112" t="b">
        <v>0</v>
      </c>
      <c r="L473" s="112" t="b">
        <v>0</v>
      </c>
    </row>
    <row r="474" spans="1:12" ht="15">
      <c r="A474" s="112" t="s">
        <v>2364</v>
      </c>
      <c r="B474" s="112" t="s">
        <v>2579</v>
      </c>
      <c r="C474" s="112">
        <v>3</v>
      </c>
      <c r="D474" s="114">
        <v>0.0005006759796149353</v>
      </c>
      <c r="E474" s="114">
        <v>3.105072019793943</v>
      </c>
      <c r="F474" s="112" t="s">
        <v>3314</v>
      </c>
      <c r="G474" s="112" t="b">
        <v>0</v>
      </c>
      <c r="H474" s="112" t="b">
        <v>0</v>
      </c>
      <c r="I474" s="112" t="b">
        <v>0</v>
      </c>
      <c r="J474" s="112" t="b">
        <v>0</v>
      </c>
      <c r="K474" s="112" t="b">
        <v>1</v>
      </c>
      <c r="L474" s="112" t="b">
        <v>0</v>
      </c>
    </row>
    <row r="475" spans="1:12" ht="15">
      <c r="A475" s="112" t="s">
        <v>2579</v>
      </c>
      <c r="B475" s="112" t="s">
        <v>2313</v>
      </c>
      <c r="C475" s="112">
        <v>3</v>
      </c>
      <c r="D475" s="114">
        <v>0.0005006759796149353</v>
      </c>
      <c r="E475" s="114">
        <v>3.0470800728162564</v>
      </c>
      <c r="F475" s="112" t="s">
        <v>3314</v>
      </c>
      <c r="G475" s="112" t="b">
        <v>0</v>
      </c>
      <c r="H475" s="112" t="b">
        <v>1</v>
      </c>
      <c r="I475" s="112" t="b">
        <v>0</v>
      </c>
      <c r="J475" s="112" t="b">
        <v>0</v>
      </c>
      <c r="K475" s="112" t="b">
        <v>0</v>
      </c>
      <c r="L475" s="112" t="b">
        <v>0</v>
      </c>
    </row>
    <row r="476" spans="1:12" ht="15">
      <c r="A476" s="112" t="s">
        <v>2313</v>
      </c>
      <c r="B476" s="112" t="s">
        <v>2084</v>
      </c>
      <c r="C476" s="112">
        <v>3</v>
      </c>
      <c r="D476" s="114">
        <v>0.0005006759796149353</v>
      </c>
      <c r="E476" s="114">
        <v>1.5627802334694707</v>
      </c>
      <c r="F476" s="112" t="s">
        <v>3314</v>
      </c>
      <c r="G476" s="112" t="b">
        <v>0</v>
      </c>
      <c r="H476" s="112" t="b">
        <v>0</v>
      </c>
      <c r="I476" s="112" t="b">
        <v>0</v>
      </c>
      <c r="J476" s="112" t="b">
        <v>0</v>
      </c>
      <c r="K476" s="112" t="b">
        <v>1</v>
      </c>
      <c r="L476" s="112" t="b">
        <v>0</v>
      </c>
    </row>
    <row r="477" spans="1:12" ht="15">
      <c r="A477" s="112" t="s">
        <v>2084</v>
      </c>
      <c r="B477" s="112" t="s">
        <v>2240</v>
      </c>
      <c r="C477" s="112">
        <v>3</v>
      </c>
      <c r="D477" s="114">
        <v>0.0005006759796149353</v>
      </c>
      <c r="E477" s="114">
        <v>1.4316561199303126</v>
      </c>
      <c r="F477" s="112" t="s">
        <v>3314</v>
      </c>
      <c r="G477" s="112" t="b">
        <v>0</v>
      </c>
      <c r="H477" s="112" t="b">
        <v>1</v>
      </c>
      <c r="I477" s="112" t="b">
        <v>0</v>
      </c>
      <c r="J477" s="112" t="b">
        <v>0</v>
      </c>
      <c r="K477" s="112" t="b">
        <v>0</v>
      </c>
      <c r="L477" s="112" t="b">
        <v>0</v>
      </c>
    </row>
    <row r="478" spans="1:12" ht="15">
      <c r="A478" s="112" t="s">
        <v>2240</v>
      </c>
      <c r="B478" s="112" t="s">
        <v>2098</v>
      </c>
      <c r="C478" s="112">
        <v>3</v>
      </c>
      <c r="D478" s="114">
        <v>0.0005006759796149353</v>
      </c>
      <c r="E478" s="114">
        <v>1.7784436061549689</v>
      </c>
      <c r="F478" s="112" t="s">
        <v>3314</v>
      </c>
      <c r="G478" s="112" t="b">
        <v>0</v>
      </c>
      <c r="H478" s="112" t="b">
        <v>0</v>
      </c>
      <c r="I478" s="112" t="b">
        <v>0</v>
      </c>
      <c r="J478" s="112" t="b">
        <v>1</v>
      </c>
      <c r="K478" s="112" t="b">
        <v>0</v>
      </c>
      <c r="L478" s="112" t="b">
        <v>0</v>
      </c>
    </row>
    <row r="479" spans="1:12" ht="15">
      <c r="A479" s="112" t="s">
        <v>2098</v>
      </c>
      <c r="B479" s="112" t="s">
        <v>2196</v>
      </c>
      <c r="C479" s="112">
        <v>3</v>
      </c>
      <c r="D479" s="114">
        <v>0.0005006759796149353</v>
      </c>
      <c r="E479" s="114">
        <v>1.6518629224796921</v>
      </c>
      <c r="F479" s="112" t="s">
        <v>3314</v>
      </c>
      <c r="G479" s="112" t="b">
        <v>1</v>
      </c>
      <c r="H479" s="112" t="b">
        <v>0</v>
      </c>
      <c r="I479" s="112" t="b">
        <v>0</v>
      </c>
      <c r="J479" s="112" t="b">
        <v>0</v>
      </c>
      <c r="K479" s="112" t="b">
        <v>0</v>
      </c>
      <c r="L479" s="112" t="b">
        <v>0</v>
      </c>
    </row>
    <row r="480" spans="1:12" ht="15">
      <c r="A480" s="112" t="s">
        <v>2196</v>
      </c>
      <c r="B480" s="112" t="s">
        <v>2728</v>
      </c>
      <c r="C480" s="112">
        <v>3</v>
      </c>
      <c r="D480" s="114">
        <v>0.0005006759796149353</v>
      </c>
      <c r="E480" s="114">
        <v>2.8990175373608187</v>
      </c>
      <c r="F480" s="112" t="s">
        <v>3314</v>
      </c>
      <c r="G480" s="112" t="b">
        <v>0</v>
      </c>
      <c r="H480" s="112" t="b">
        <v>0</v>
      </c>
      <c r="I480" s="112" t="b">
        <v>0</v>
      </c>
      <c r="J480" s="112" t="b">
        <v>1</v>
      </c>
      <c r="K480" s="112" t="b">
        <v>0</v>
      </c>
      <c r="L480" s="112" t="b">
        <v>0</v>
      </c>
    </row>
    <row r="481" spans="1:12" ht="15">
      <c r="A481" s="112" t="s">
        <v>2580</v>
      </c>
      <c r="B481" s="112" t="s">
        <v>2126</v>
      </c>
      <c r="C481" s="112">
        <v>3</v>
      </c>
      <c r="D481" s="114">
        <v>0.0005006759796149353</v>
      </c>
      <c r="E481" s="114">
        <v>2.3373862030884647</v>
      </c>
      <c r="F481" s="112" t="s">
        <v>3314</v>
      </c>
      <c r="G481" s="112" t="b">
        <v>0</v>
      </c>
      <c r="H481" s="112" t="b">
        <v>0</v>
      </c>
      <c r="I481" s="112" t="b">
        <v>0</v>
      </c>
      <c r="J481" s="112" t="b">
        <v>0</v>
      </c>
      <c r="K481" s="112" t="b">
        <v>0</v>
      </c>
      <c r="L481" s="112" t="b">
        <v>0</v>
      </c>
    </row>
    <row r="482" spans="1:12" ht="15">
      <c r="A482" s="112" t="s">
        <v>2272</v>
      </c>
      <c r="B482" s="112" t="s">
        <v>2089</v>
      </c>
      <c r="C482" s="112">
        <v>3</v>
      </c>
      <c r="D482" s="114">
        <v>0.0005006759796149353</v>
      </c>
      <c r="E482" s="114">
        <v>1.569958818096594</v>
      </c>
      <c r="F482" s="112" t="s">
        <v>3314</v>
      </c>
      <c r="G482" s="112" t="b">
        <v>0</v>
      </c>
      <c r="H482" s="112" t="b">
        <v>0</v>
      </c>
      <c r="I482" s="112" t="b">
        <v>0</v>
      </c>
      <c r="J482" s="112" t="b">
        <v>0</v>
      </c>
      <c r="K482" s="112" t="b">
        <v>0</v>
      </c>
      <c r="L482" s="112" t="b">
        <v>0</v>
      </c>
    </row>
    <row r="483" spans="1:12" ht="15">
      <c r="A483" s="112" t="s">
        <v>2089</v>
      </c>
      <c r="B483" s="112" t="s">
        <v>2730</v>
      </c>
      <c r="C483" s="112">
        <v>3</v>
      </c>
      <c r="D483" s="114">
        <v>0.0005006759796149353</v>
      </c>
      <c r="E483" s="114">
        <v>2.1160674040954066</v>
      </c>
      <c r="F483" s="112" t="s">
        <v>3314</v>
      </c>
      <c r="G483" s="112" t="b">
        <v>0</v>
      </c>
      <c r="H483" s="112" t="b">
        <v>0</v>
      </c>
      <c r="I483" s="112" t="b">
        <v>0</v>
      </c>
      <c r="J483" s="112" t="b">
        <v>0</v>
      </c>
      <c r="K483" s="112" t="b">
        <v>0</v>
      </c>
      <c r="L483" s="112" t="b">
        <v>0</v>
      </c>
    </row>
    <row r="484" spans="1:12" ht="15">
      <c r="A484" s="112" t="s">
        <v>2730</v>
      </c>
      <c r="B484" s="112" t="s">
        <v>2272</v>
      </c>
      <c r="C484" s="112">
        <v>3</v>
      </c>
      <c r="D484" s="114">
        <v>0.0005006759796149353</v>
      </c>
      <c r="E484" s="114">
        <v>3.0751087964165</v>
      </c>
      <c r="F484" s="112" t="s">
        <v>3314</v>
      </c>
      <c r="G484" s="112" t="b">
        <v>0</v>
      </c>
      <c r="H484" s="112" t="b">
        <v>0</v>
      </c>
      <c r="I484" s="112" t="b">
        <v>0</v>
      </c>
      <c r="J484" s="112" t="b">
        <v>0</v>
      </c>
      <c r="K484" s="112" t="b">
        <v>0</v>
      </c>
      <c r="L484" s="112" t="b">
        <v>0</v>
      </c>
    </row>
    <row r="485" spans="1:12" ht="15">
      <c r="A485" s="112" t="s">
        <v>2272</v>
      </c>
      <c r="B485" s="112" t="s">
        <v>2272</v>
      </c>
      <c r="C485" s="112">
        <v>3</v>
      </c>
      <c r="D485" s="114">
        <v>0.0005006759796149353</v>
      </c>
      <c r="E485" s="114">
        <v>2.5522300511361626</v>
      </c>
      <c r="F485" s="112" t="s">
        <v>3314</v>
      </c>
      <c r="G485" s="112" t="b">
        <v>0</v>
      </c>
      <c r="H485" s="112" t="b">
        <v>0</v>
      </c>
      <c r="I485" s="112" t="b">
        <v>0</v>
      </c>
      <c r="J485" s="112" t="b">
        <v>0</v>
      </c>
      <c r="K485" s="112" t="b">
        <v>0</v>
      </c>
      <c r="L485" s="112" t="b">
        <v>0</v>
      </c>
    </row>
    <row r="486" spans="1:12" ht="15">
      <c r="A486" s="112" t="s">
        <v>2272</v>
      </c>
      <c r="B486" s="112" t="s">
        <v>2289</v>
      </c>
      <c r="C486" s="112">
        <v>3</v>
      </c>
      <c r="D486" s="114">
        <v>0.0005006759796149353</v>
      </c>
      <c r="E486" s="114">
        <v>2.5979875416968374</v>
      </c>
      <c r="F486" s="112" t="s">
        <v>3314</v>
      </c>
      <c r="G486" s="112" t="b">
        <v>0</v>
      </c>
      <c r="H486" s="112" t="b">
        <v>0</v>
      </c>
      <c r="I486" s="112" t="b">
        <v>0</v>
      </c>
      <c r="J486" s="112" t="b">
        <v>0</v>
      </c>
      <c r="K486" s="112" t="b">
        <v>0</v>
      </c>
      <c r="L486" s="112" t="b">
        <v>0</v>
      </c>
    </row>
    <row r="487" spans="1:12" ht="15">
      <c r="A487" s="112" t="s">
        <v>2218</v>
      </c>
      <c r="B487" s="112" t="s">
        <v>2732</v>
      </c>
      <c r="C487" s="112">
        <v>3</v>
      </c>
      <c r="D487" s="114">
        <v>0.0005006759796149353</v>
      </c>
      <c r="E487" s="114">
        <v>2.9611654441096635</v>
      </c>
      <c r="F487" s="112" t="s">
        <v>3314</v>
      </c>
      <c r="G487" s="112" t="b">
        <v>0</v>
      </c>
      <c r="H487" s="112" t="b">
        <v>0</v>
      </c>
      <c r="I487" s="112" t="b">
        <v>0</v>
      </c>
      <c r="J487" s="112" t="b">
        <v>0</v>
      </c>
      <c r="K487" s="112" t="b">
        <v>0</v>
      </c>
      <c r="L487" s="112" t="b">
        <v>0</v>
      </c>
    </row>
    <row r="488" spans="1:12" ht="15">
      <c r="A488" s="112" t="s">
        <v>2247</v>
      </c>
      <c r="B488" s="112" t="s">
        <v>2094</v>
      </c>
      <c r="C488" s="112">
        <v>3</v>
      </c>
      <c r="D488" s="114">
        <v>0.0006178472111276226</v>
      </c>
      <c r="E488" s="114">
        <v>1.6657393259636806</v>
      </c>
      <c r="F488" s="112" t="s">
        <v>3314</v>
      </c>
      <c r="G488" s="112" t="b">
        <v>0</v>
      </c>
      <c r="H488" s="112" t="b">
        <v>0</v>
      </c>
      <c r="I488" s="112" t="b">
        <v>0</v>
      </c>
      <c r="J488" s="112" t="b">
        <v>0</v>
      </c>
      <c r="K488" s="112" t="b">
        <v>0</v>
      </c>
      <c r="L488" s="112" t="b">
        <v>0</v>
      </c>
    </row>
    <row r="489" spans="1:12" ht="15">
      <c r="A489" s="112" t="s">
        <v>2585</v>
      </c>
      <c r="B489" s="112" t="s">
        <v>2734</v>
      </c>
      <c r="C489" s="112">
        <v>3</v>
      </c>
      <c r="D489" s="114">
        <v>0.0005439203949036586</v>
      </c>
      <c r="E489" s="114">
        <v>3.4730488050885375</v>
      </c>
      <c r="F489" s="112" t="s">
        <v>3314</v>
      </c>
      <c r="G489" s="112" t="b">
        <v>0</v>
      </c>
      <c r="H489" s="112" t="b">
        <v>0</v>
      </c>
      <c r="I489" s="112" t="b">
        <v>0</v>
      </c>
      <c r="J489" s="112" t="b">
        <v>0</v>
      </c>
      <c r="K489" s="112" t="b">
        <v>0</v>
      </c>
      <c r="L489" s="112" t="b">
        <v>0</v>
      </c>
    </row>
    <row r="490" spans="1:12" ht="15">
      <c r="A490" s="112" t="s">
        <v>2096</v>
      </c>
      <c r="B490" s="112" t="s">
        <v>2096</v>
      </c>
      <c r="C490" s="112">
        <v>3</v>
      </c>
      <c r="D490" s="114">
        <v>0.0005006759796149353</v>
      </c>
      <c r="E490" s="114">
        <v>0.9004676037560516</v>
      </c>
      <c r="F490" s="112" t="s">
        <v>3314</v>
      </c>
      <c r="G490" s="112" t="b">
        <v>0</v>
      </c>
      <c r="H490" s="112" t="b">
        <v>0</v>
      </c>
      <c r="I490" s="112" t="b">
        <v>0</v>
      </c>
      <c r="J490" s="112" t="b">
        <v>0</v>
      </c>
      <c r="K490" s="112" t="b">
        <v>0</v>
      </c>
      <c r="L490" s="112" t="b">
        <v>0</v>
      </c>
    </row>
    <row r="491" spans="1:12" ht="15">
      <c r="A491" s="112" t="s">
        <v>2083</v>
      </c>
      <c r="B491" s="112" t="s">
        <v>2086</v>
      </c>
      <c r="C491" s="112">
        <v>3</v>
      </c>
      <c r="D491" s="114">
        <v>0.0005006759796149353</v>
      </c>
      <c r="E491" s="114">
        <v>0.4109998322395821</v>
      </c>
      <c r="F491" s="112" t="s">
        <v>3314</v>
      </c>
      <c r="G491" s="112" t="b">
        <v>0</v>
      </c>
      <c r="H491" s="112" t="b">
        <v>0</v>
      </c>
      <c r="I491" s="112" t="b">
        <v>0</v>
      </c>
      <c r="J491" s="112" t="b">
        <v>0</v>
      </c>
      <c r="K491" s="112" t="b">
        <v>0</v>
      </c>
      <c r="L491" s="112" t="b">
        <v>0</v>
      </c>
    </row>
    <row r="492" spans="1:12" ht="15">
      <c r="A492" s="112" t="s">
        <v>2094</v>
      </c>
      <c r="B492" s="112" t="s">
        <v>2096</v>
      </c>
      <c r="C492" s="112">
        <v>3</v>
      </c>
      <c r="D492" s="114">
        <v>0.0005006759796149353</v>
      </c>
      <c r="E492" s="114">
        <v>0.8880583457742316</v>
      </c>
      <c r="F492" s="112" t="s">
        <v>3314</v>
      </c>
      <c r="G492" s="112" t="b">
        <v>0</v>
      </c>
      <c r="H492" s="112" t="b">
        <v>0</v>
      </c>
      <c r="I492" s="112" t="b">
        <v>0</v>
      </c>
      <c r="J492" s="112" t="b">
        <v>0</v>
      </c>
      <c r="K492" s="112" t="b">
        <v>0</v>
      </c>
      <c r="L492" s="112" t="b">
        <v>0</v>
      </c>
    </row>
    <row r="493" spans="1:12" ht="15">
      <c r="A493" s="112" t="s">
        <v>2096</v>
      </c>
      <c r="B493" s="112" t="s">
        <v>2243</v>
      </c>
      <c r="C493" s="112">
        <v>3</v>
      </c>
      <c r="D493" s="114">
        <v>0.0005006759796149353</v>
      </c>
      <c r="E493" s="114">
        <v>1.671988275240682</v>
      </c>
      <c r="F493" s="112" t="s">
        <v>3314</v>
      </c>
      <c r="G493" s="112" t="b">
        <v>0</v>
      </c>
      <c r="H493" s="112" t="b">
        <v>0</v>
      </c>
      <c r="I493" s="112" t="b">
        <v>0</v>
      </c>
      <c r="J493" s="112" t="b">
        <v>0</v>
      </c>
      <c r="K493" s="112" t="b">
        <v>1</v>
      </c>
      <c r="L493" s="112" t="b">
        <v>0</v>
      </c>
    </row>
    <row r="494" spans="1:12" ht="15">
      <c r="A494" s="112" t="s">
        <v>2243</v>
      </c>
      <c r="B494" s="112" t="s">
        <v>2096</v>
      </c>
      <c r="C494" s="112">
        <v>3</v>
      </c>
      <c r="D494" s="114">
        <v>0.0005006759796149353</v>
      </c>
      <c r="E494" s="114">
        <v>1.739316694493307</v>
      </c>
      <c r="F494" s="112" t="s">
        <v>3314</v>
      </c>
      <c r="G494" s="112" t="b">
        <v>0</v>
      </c>
      <c r="H494" s="112" t="b">
        <v>1</v>
      </c>
      <c r="I494" s="112" t="b">
        <v>0</v>
      </c>
      <c r="J494" s="112" t="b">
        <v>0</v>
      </c>
      <c r="K494" s="112" t="b">
        <v>0</v>
      </c>
      <c r="L494" s="112" t="b">
        <v>0</v>
      </c>
    </row>
    <row r="495" spans="1:12" ht="15">
      <c r="A495" s="112" t="s">
        <v>2241</v>
      </c>
      <c r="B495" s="112" t="s">
        <v>2325</v>
      </c>
      <c r="C495" s="112">
        <v>3</v>
      </c>
      <c r="D495" s="114">
        <v>0.0005439203949036586</v>
      </c>
      <c r="E495" s="114">
        <v>2.607747378985994</v>
      </c>
      <c r="F495" s="112" t="s">
        <v>3314</v>
      </c>
      <c r="G495" s="112" t="b">
        <v>0</v>
      </c>
      <c r="H495" s="112" t="b">
        <v>0</v>
      </c>
      <c r="I495" s="112" t="b">
        <v>0</v>
      </c>
      <c r="J495" s="112" t="b">
        <v>0</v>
      </c>
      <c r="K495" s="112" t="b">
        <v>0</v>
      </c>
      <c r="L495" s="112" t="b">
        <v>0</v>
      </c>
    </row>
    <row r="496" spans="1:12" ht="15">
      <c r="A496" s="112" t="s">
        <v>2325</v>
      </c>
      <c r="B496" s="112" t="s">
        <v>2738</v>
      </c>
      <c r="C496" s="112">
        <v>3</v>
      </c>
      <c r="D496" s="114">
        <v>0.0005439203949036586</v>
      </c>
      <c r="E496" s="114">
        <v>3.1720188094245563</v>
      </c>
      <c r="F496" s="112" t="s">
        <v>3314</v>
      </c>
      <c r="G496" s="112" t="b">
        <v>0</v>
      </c>
      <c r="H496" s="112" t="b">
        <v>0</v>
      </c>
      <c r="I496" s="112" t="b">
        <v>0</v>
      </c>
      <c r="J496" s="112" t="b">
        <v>0</v>
      </c>
      <c r="K496" s="112" t="b">
        <v>0</v>
      </c>
      <c r="L496" s="112" t="b">
        <v>0</v>
      </c>
    </row>
    <row r="497" spans="1:12" ht="15">
      <c r="A497" s="112" t="s">
        <v>2301</v>
      </c>
      <c r="B497" s="112" t="s">
        <v>2096</v>
      </c>
      <c r="C497" s="112">
        <v>3</v>
      </c>
      <c r="D497" s="114">
        <v>0.0005439203949036586</v>
      </c>
      <c r="E497" s="114">
        <v>1.8362267075013634</v>
      </c>
      <c r="F497" s="112" t="s">
        <v>3314</v>
      </c>
      <c r="G497" s="112" t="b">
        <v>0</v>
      </c>
      <c r="H497" s="112" t="b">
        <v>0</v>
      </c>
      <c r="I497" s="112" t="b">
        <v>0</v>
      </c>
      <c r="J497" s="112" t="b">
        <v>0</v>
      </c>
      <c r="K497" s="112" t="b">
        <v>0</v>
      </c>
      <c r="L497" s="112" t="b">
        <v>0</v>
      </c>
    </row>
    <row r="498" spans="1:12" ht="15">
      <c r="A498" s="112" t="s">
        <v>2083</v>
      </c>
      <c r="B498" s="112" t="s">
        <v>2219</v>
      </c>
      <c r="C498" s="112">
        <v>3</v>
      </c>
      <c r="D498" s="114">
        <v>0.0005006759796149353</v>
      </c>
      <c r="E498" s="114">
        <v>1.334482977873369</v>
      </c>
      <c r="F498" s="112" t="s">
        <v>3314</v>
      </c>
      <c r="G498" s="112" t="b">
        <v>0</v>
      </c>
      <c r="H498" s="112" t="b">
        <v>0</v>
      </c>
      <c r="I498" s="112" t="b">
        <v>0</v>
      </c>
      <c r="J498" s="112" t="b">
        <v>0</v>
      </c>
      <c r="K498" s="112" t="b">
        <v>0</v>
      </c>
      <c r="L498" s="112" t="b">
        <v>0</v>
      </c>
    </row>
    <row r="499" spans="1:12" ht="15">
      <c r="A499" s="112" t="s">
        <v>2420</v>
      </c>
      <c r="B499" s="112" t="s">
        <v>2096</v>
      </c>
      <c r="C499" s="112">
        <v>3</v>
      </c>
      <c r="D499" s="114">
        <v>0.0005006759796149353</v>
      </c>
      <c r="E499" s="114">
        <v>1.9611654441096633</v>
      </c>
      <c r="F499" s="112" t="s">
        <v>3314</v>
      </c>
      <c r="G499" s="112" t="b">
        <v>0</v>
      </c>
      <c r="H499" s="112" t="b">
        <v>0</v>
      </c>
      <c r="I499" s="112" t="b">
        <v>0</v>
      </c>
      <c r="J499" s="112" t="b">
        <v>0</v>
      </c>
      <c r="K499" s="112" t="b">
        <v>0</v>
      </c>
      <c r="L499" s="112" t="b">
        <v>0</v>
      </c>
    </row>
    <row r="500" spans="1:12" ht="15">
      <c r="A500" s="112" t="s">
        <v>2089</v>
      </c>
      <c r="B500" s="112" t="s">
        <v>2290</v>
      </c>
      <c r="C500" s="112">
        <v>3</v>
      </c>
      <c r="D500" s="114">
        <v>0.0005439203949036586</v>
      </c>
      <c r="E500" s="114">
        <v>1.638946149375744</v>
      </c>
      <c r="F500" s="112" t="s">
        <v>3314</v>
      </c>
      <c r="G500" s="112" t="b">
        <v>0</v>
      </c>
      <c r="H500" s="112" t="b">
        <v>0</v>
      </c>
      <c r="I500" s="112" t="b">
        <v>0</v>
      </c>
      <c r="J500" s="112" t="b">
        <v>0</v>
      </c>
      <c r="K500" s="112" t="b">
        <v>1</v>
      </c>
      <c r="L500" s="112" t="b">
        <v>0</v>
      </c>
    </row>
    <row r="501" spans="1:12" ht="15">
      <c r="A501" s="112" t="s">
        <v>2374</v>
      </c>
      <c r="B501" s="112" t="s">
        <v>2089</v>
      </c>
      <c r="C501" s="112">
        <v>3</v>
      </c>
      <c r="D501" s="114">
        <v>0.0005439203949036586</v>
      </c>
      <c r="E501" s="114">
        <v>1.7248607780823373</v>
      </c>
      <c r="F501" s="112" t="s">
        <v>3314</v>
      </c>
      <c r="G501" s="112" t="b">
        <v>0</v>
      </c>
      <c r="H501" s="112" t="b">
        <v>0</v>
      </c>
      <c r="I501" s="112" t="b">
        <v>0</v>
      </c>
      <c r="J501" s="112" t="b">
        <v>0</v>
      </c>
      <c r="K501" s="112" t="b">
        <v>0</v>
      </c>
      <c r="L501" s="112" t="b">
        <v>0</v>
      </c>
    </row>
    <row r="502" spans="1:12" ht="15">
      <c r="A502" s="112" t="s">
        <v>2142</v>
      </c>
      <c r="B502" s="112" t="s">
        <v>2142</v>
      </c>
      <c r="C502" s="112">
        <v>3</v>
      </c>
      <c r="D502" s="114">
        <v>0.0005006759796149353</v>
      </c>
      <c r="E502" s="114">
        <v>1.6426740218949871</v>
      </c>
      <c r="F502" s="112" t="s">
        <v>3314</v>
      </c>
      <c r="G502" s="112" t="b">
        <v>0</v>
      </c>
      <c r="H502" s="112" t="b">
        <v>0</v>
      </c>
      <c r="I502" s="112" t="b">
        <v>0</v>
      </c>
      <c r="J502" s="112" t="b">
        <v>0</v>
      </c>
      <c r="K502" s="112" t="b">
        <v>0</v>
      </c>
      <c r="L502" s="112" t="b">
        <v>0</v>
      </c>
    </row>
    <row r="503" spans="1:12" ht="15">
      <c r="A503" s="112" t="s">
        <v>2297</v>
      </c>
      <c r="B503" s="112" t="s">
        <v>2221</v>
      </c>
      <c r="C503" s="112">
        <v>3</v>
      </c>
      <c r="D503" s="114">
        <v>0.0006178472111276226</v>
      </c>
      <c r="E503" s="114">
        <v>2.7460500771522756</v>
      </c>
      <c r="F503" s="112" t="s">
        <v>3314</v>
      </c>
      <c r="G503" s="112" t="b">
        <v>0</v>
      </c>
      <c r="H503" s="112" t="b">
        <v>0</v>
      </c>
      <c r="I503" s="112" t="b">
        <v>0</v>
      </c>
      <c r="J503" s="112" t="b">
        <v>0</v>
      </c>
      <c r="K503" s="112" t="b">
        <v>0</v>
      </c>
      <c r="L503" s="112" t="b">
        <v>0</v>
      </c>
    </row>
    <row r="504" spans="1:12" ht="15">
      <c r="A504" s="112" t="s">
        <v>2376</v>
      </c>
      <c r="B504" s="112" t="s">
        <v>2754</v>
      </c>
      <c r="C504" s="112">
        <v>3</v>
      </c>
      <c r="D504" s="114">
        <v>0.0006178472111276226</v>
      </c>
      <c r="E504" s="114">
        <v>3.230010756402243</v>
      </c>
      <c r="F504" s="112" t="s">
        <v>3314</v>
      </c>
      <c r="G504" s="112" t="b">
        <v>0</v>
      </c>
      <c r="H504" s="112" t="b">
        <v>0</v>
      </c>
      <c r="I504" s="112" t="b">
        <v>0</v>
      </c>
      <c r="J504" s="112" t="b">
        <v>0</v>
      </c>
      <c r="K504" s="112" t="b">
        <v>0</v>
      </c>
      <c r="L504" s="112" t="b">
        <v>0</v>
      </c>
    </row>
    <row r="505" spans="1:12" ht="15">
      <c r="A505" s="112" t="s">
        <v>2222</v>
      </c>
      <c r="B505" s="112" t="s">
        <v>2082</v>
      </c>
      <c r="C505" s="112">
        <v>3</v>
      </c>
      <c r="D505" s="114">
        <v>0.0005006759796149353</v>
      </c>
      <c r="E505" s="114">
        <v>1.3379161537117628</v>
      </c>
      <c r="F505" s="112" t="s">
        <v>3314</v>
      </c>
      <c r="G505" s="112" t="b">
        <v>0</v>
      </c>
      <c r="H505" s="112" t="b">
        <v>0</v>
      </c>
      <c r="I505" s="112" t="b">
        <v>0</v>
      </c>
      <c r="J505" s="112" t="b">
        <v>0</v>
      </c>
      <c r="K505" s="112" t="b">
        <v>0</v>
      </c>
      <c r="L505" s="112" t="b">
        <v>0</v>
      </c>
    </row>
    <row r="506" spans="1:12" ht="15">
      <c r="A506" s="112" t="s">
        <v>2226</v>
      </c>
      <c r="B506" s="112" t="s">
        <v>2190</v>
      </c>
      <c r="C506" s="112">
        <v>3</v>
      </c>
      <c r="D506" s="114">
        <v>0.0005006759796149353</v>
      </c>
      <c r="E506" s="114">
        <v>2.268928822432613</v>
      </c>
      <c r="F506" s="112" t="s">
        <v>3314</v>
      </c>
      <c r="G506" s="112" t="b">
        <v>0</v>
      </c>
      <c r="H506" s="112" t="b">
        <v>0</v>
      </c>
      <c r="I506" s="112" t="b">
        <v>0</v>
      </c>
      <c r="J506" s="112" t="b">
        <v>0</v>
      </c>
      <c r="K506" s="112" t="b">
        <v>0</v>
      </c>
      <c r="L506" s="112" t="b">
        <v>0</v>
      </c>
    </row>
    <row r="507" spans="1:12" ht="15">
      <c r="A507" s="112" t="s">
        <v>2762</v>
      </c>
      <c r="B507" s="112" t="s">
        <v>2763</v>
      </c>
      <c r="C507" s="112">
        <v>3</v>
      </c>
      <c r="D507" s="114">
        <v>0.0005006759796149353</v>
      </c>
      <c r="E507" s="114">
        <v>3.5979875416968374</v>
      </c>
      <c r="F507" s="112" t="s">
        <v>3314</v>
      </c>
      <c r="G507" s="112" t="b">
        <v>0</v>
      </c>
      <c r="H507" s="112" t="b">
        <v>0</v>
      </c>
      <c r="I507" s="112" t="b">
        <v>0</v>
      </c>
      <c r="J507" s="112" t="b">
        <v>0</v>
      </c>
      <c r="K507" s="112" t="b">
        <v>0</v>
      </c>
      <c r="L507" s="112" t="b">
        <v>0</v>
      </c>
    </row>
    <row r="508" spans="1:12" ht="15">
      <c r="A508" s="112" t="s">
        <v>2765</v>
      </c>
      <c r="B508" s="112" t="s">
        <v>2766</v>
      </c>
      <c r="C508" s="112">
        <v>3</v>
      </c>
      <c r="D508" s="114">
        <v>0.0006178472111276226</v>
      </c>
      <c r="E508" s="114">
        <v>3.5979875416968374</v>
      </c>
      <c r="F508" s="112" t="s">
        <v>3314</v>
      </c>
      <c r="G508" s="112" t="b">
        <v>0</v>
      </c>
      <c r="H508" s="112" t="b">
        <v>0</v>
      </c>
      <c r="I508" s="112" t="b">
        <v>0</v>
      </c>
      <c r="J508" s="112" t="b">
        <v>0</v>
      </c>
      <c r="K508" s="112" t="b">
        <v>0</v>
      </c>
      <c r="L508" s="112" t="b">
        <v>0</v>
      </c>
    </row>
    <row r="509" spans="1:12" ht="15">
      <c r="A509" s="112" t="s">
        <v>2082</v>
      </c>
      <c r="B509" s="112" t="s">
        <v>2280</v>
      </c>
      <c r="C509" s="112">
        <v>3</v>
      </c>
      <c r="D509" s="114">
        <v>0.0005006759796149353</v>
      </c>
      <c r="E509" s="114">
        <v>1.47088274333203</v>
      </c>
      <c r="F509" s="112" t="s">
        <v>3314</v>
      </c>
      <c r="G509" s="112" t="b">
        <v>0</v>
      </c>
      <c r="H509" s="112" t="b">
        <v>0</v>
      </c>
      <c r="I509" s="112" t="b">
        <v>0</v>
      </c>
      <c r="J509" s="112" t="b">
        <v>0</v>
      </c>
      <c r="K509" s="112" t="b">
        <v>0</v>
      </c>
      <c r="L509" s="112" t="b">
        <v>0</v>
      </c>
    </row>
    <row r="510" spans="1:12" ht="15">
      <c r="A510" s="112" t="s">
        <v>2782</v>
      </c>
      <c r="B510" s="112" t="s">
        <v>2338</v>
      </c>
      <c r="C510" s="112">
        <v>3</v>
      </c>
      <c r="D510" s="114">
        <v>0.0006178472111276226</v>
      </c>
      <c r="E510" s="114">
        <v>3.1720188094245563</v>
      </c>
      <c r="F510" s="112" t="s">
        <v>3314</v>
      </c>
      <c r="G510" s="112" t="b">
        <v>0</v>
      </c>
      <c r="H510" s="112" t="b">
        <v>0</v>
      </c>
      <c r="I510" s="112" t="b">
        <v>0</v>
      </c>
      <c r="J510" s="112" t="b">
        <v>0</v>
      </c>
      <c r="K510" s="112" t="b">
        <v>1</v>
      </c>
      <c r="L510" s="112" t="b">
        <v>0</v>
      </c>
    </row>
    <row r="511" spans="1:12" ht="15">
      <c r="A511" s="112" t="s">
        <v>2609</v>
      </c>
      <c r="B511" s="112" t="s">
        <v>2336</v>
      </c>
      <c r="C511" s="112">
        <v>3</v>
      </c>
      <c r="D511" s="114">
        <v>0.0005006759796149353</v>
      </c>
      <c r="E511" s="114">
        <v>3.0470800728162564</v>
      </c>
      <c r="F511" s="112" t="s">
        <v>3314</v>
      </c>
      <c r="G511" s="112" t="b">
        <v>0</v>
      </c>
      <c r="H511" s="112" t="b">
        <v>0</v>
      </c>
      <c r="I511" s="112" t="b">
        <v>0</v>
      </c>
      <c r="J511" s="112" t="b">
        <v>0</v>
      </c>
      <c r="K511" s="112" t="b">
        <v>0</v>
      </c>
      <c r="L511" s="112" t="b">
        <v>0</v>
      </c>
    </row>
    <row r="512" spans="1:12" ht="15">
      <c r="A512" s="112" t="s">
        <v>2493</v>
      </c>
      <c r="B512" s="112" t="s">
        <v>2300</v>
      </c>
      <c r="C512" s="112">
        <v>3</v>
      </c>
      <c r="D512" s="114">
        <v>0.0005439203949036586</v>
      </c>
      <c r="E512" s="114">
        <v>2.8990175373608187</v>
      </c>
      <c r="F512" s="112" t="s">
        <v>3314</v>
      </c>
      <c r="G512" s="112" t="b">
        <v>0</v>
      </c>
      <c r="H512" s="112" t="b">
        <v>0</v>
      </c>
      <c r="I512" s="112" t="b">
        <v>0</v>
      </c>
      <c r="J512" s="112" t="b">
        <v>0</v>
      </c>
      <c r="K512" s="112" t="b">
        <v>0</v>
      </c>
      <c r="L512" s="112" t="b">
        <v>0</v>
      </c>
    </row>
    <row r="513" spans="1:12" ht="15">
      <c r="A513" s="112" t="s">
        <v>2376</v>
      </c>
      <c r="B513" s="112" t="s">
        <v>2273</v>
      </c>
      <c r="C513" s="112">
        <v>3</v>
      </c>
      <c r="D513" s="114">
        <v>0.0006178472111276226</v>
      </c>
      <c r="E513" s="114">
        <v>2.7071320111219057</v>
      </c>
      <c r="F513" s="112" t="s">
        <v>3314</v>
      </c>
      <c r="G513" s="112" t="b">
        <v>0</v>
      </c>
      <c r="H513" s="112" t="b">
        <v>0</v>
      </c>
      <c r="I513" s="112" t="b">
        <v>0</v>
      </c>
      <c r="J513" s="112" t="b">
        <v>0</v>
      </c>
      <c r="K513" s="112" t="b">
        <v>0</v>
      </c>
      <c r="L513" s="112" t="b">
        <v>0</v>
      </c>
    </row>
    <row r="514" spans="1:12" ht="15">
      <c r="A514" s="112" t="s">
        <v>2488</v>
      </c>
      <c r="B514" s="112" t="s">
        <v>2457</v>
      </c>
      <c r="C514" s="112">
        <v>3</v>
      </c>
      <c r="D514" s="114">
        <v>0.0006178472111276226</v>
      </c>
      <c r="E514" s="114">
        <v>3.1542900424641247</v>
      </c>
      <c r="F514" s="112" t="s">
        <v>3314</v>
      </c>
      <c r="G514" s="112" t="b">
        <v>0</v>
      </c>
      <c r="H514" s="112" t="b">
        <v>0</v>
      </c>
      <c r="I514" s="112" t="b">
        <v>0</v>
      </c>
      <c r="J514" s="112" t="b">
        <v>0</v>
      </c>
      <c r="K514" s="112" t="b">
        <v>0</v>
      </c>
      <c r="L514" s="112" t="b">
        <v>0</v>
      </c>
    </row>
    <row r="515" spans="1:12" ht="15">
      <c r="A515" s="112" t="s">
        <v>2457</v>
      </c>
      <c r="B515" s="112" t="s">
        <v>2612</v>
      </c>
      <c r="C515" s="112">
        <v>3</v>
      </c>
      <c r="D515" s="114">
        <v>0.0006178472111276226</v>
      </c>
      <c r="E515" s="114">
        <v>3.2512000554721814</v>
      </c>
      <c r="F515" s="112" t="s">
        <v>3314</v>
      </c>
      <c r="G515" s="112" t="b">
        <v>0</v>
      </c>
      <c r="H515" s="112" t="b">
        <v>0</v>
      </c>
      <c r="I515" s="112" t="b">
        <v>0</v>
      </c>
      <c r="J515" s="112" t="b">
        <v>0</v>
      </c>
      <c r="K515" s="112" t="b">
        <v>0</v>
      </c>
      <c r="L515" s="112" t="b">
        <v>0</v>
      </c>
    </row>
    <row r="516" spans="1:12" ht="15">
      <c r="A516" s="112" t="s">
        <v>2249</v>
      </c>
      <c r="B516" s="112" t="s">
        <v>2500</v>
      </c>
      <c r="C516" s="112">
        <v>3</v>
      </c>
      <c r="D516" s="114">
        <v>0.0006178472111276226</v>
      </c>
      <c r="E516" s="114">
        <v>2.8118673616419185</v>
      </c>
      <c r="F516" s="112" t="s">
        <v>3314</v>
      </c>
      <c r="G516" s="112" t="b">
        <v>0</v>
      </c>
      <c r="H516" s="112" t="b">
        <v>0</v>
      </c>
      <c r="I516" s="112" t="b">
        <v>0</v>
      </c>
      <c r="J516" s="112" t="b">
        <v>0</v>
      </c>
      <c r="K516" s="112" t="b">
        <v>0</v>
      </c>
      <c r="L516" s="112" t="b">
        <v>0</v>
      </c>
    </row>
    <row r="517" spans="1:12" ht="15">
      <c r="A517" s="112" t="s">
        <v>2243</v>
      </c>
      <c r="B517" s="112" t="s">
        <v>2249</v>
      </c>
      <c r="C517" s="112">
        <v>3</v>
      </c>
      <c r="D517" s="114">
        <v>0.0006178472111276226</v>
      </c>
      <c r="E517" s="114">
        <v>2.5108373659779373</v>
      </c>
      <c r="F517" s="112" t="s">
        <v>3314</v>
      </c>
      <c r="G517" s="112" t="b">
        <v>0</v>
      </c>
      <c r="H517" s="112" t="b">
        <v>1</v>
      </c>
      <c r="I517" s="112" t="b">
        <v>0</v>
      </c>
      <c r="J517" s="112" t="b">
        <v>0</v>
      </c>
      <c r="K517" s="112" t="b">
        <v>0</v>
      </c>
      <c r="L517" s="112" t="b">
        <v>0</v>
      </c>
    </row>
    <row r="518" spans="1:12" ht="15">
      <c r="A518" s="112" t="s">
        <v>2249</v>
      </c>
      <c r="B518" s="112" t="s">
        <v>2243</v>
      </c>
      <c r="C518" s="112">
        <v>3</v>
      </c>
      <c r="D518" s="114">
        <v>0.0006178472111276226</v>
      </c>
      <c r="E518" s="114">
        <v>2.4694446808197124</v>
      </c>
      <c r="F518" s="112" t="s">
        <v>3314</v>
      </c>
      <c r="G518" s="112" t="b">
        <v>0</v>
      </c>
      <c r="H518" s="112" t="b">
        <v>0</v>
      </c>
      <c r="I518" s="112" t="b">
        <v>0</v>
      </c>
      <c r="J518" s="112" t="b">
        <v>0</v>
      </c>
      <c r="K518" s="112" t="b">
        <v>1</v>
      </c>
      <c r="L518" s="112" t="b">
        <v>0</v>
      </c>
    </row>
    <row r="519" spans="1:12" ht="15">
      <c r="A519" s="112" t="s">
        <v>2333</v>
      </c>
      <c r="B519" s="112" t="s">
        <v>2812</v>
      </c>
      <c r="C519" s="112">
        <v>3</v>
      </c>
      <c r="D519" s="114">
        <v>0.0005439203949036586</v>
      </c>
      <c r="E519" s="114">
        <v>3.1720188094245563</v>
      </c>
      <c r="F519" s="112" t="s">
        <v>3314</v>
      </c>
      <c r="G519" s="112" t="b">
        <v>0</v>
      </c>
      <c r="H519" s="112" t="b">
        <v>0</v>
      </c>
      <c r="I519" s="112" t="b">
        <v>0</v>
      </c>
      <c r="J519" s="112" t="b">
        <v>0</v>
      </c>
      <c r="K519" s="112" t="b">
        <v>0</v>
      </c>
      <c r="L519" s="112" t="b">
        <v>0</v>
      </c>
    </row>
    <row r="520" spans="1:12" ht="15">
      <c r="A520" s="112" t="s">
        <v>2140</v>
      </c>
      <c r="B520" s="112" t="s">
        <v>2082</v>
      </c>
      <c r="C520" s="112">
        <v>3</v>
      </c>
      <c r="D520" s="114">
        <v>0.0005006759796149353</v>
      </c>
      <c r="E520" s="114">
        <v>0.9894615081196435</v>
      </c>
      <c r="F520" s="112" t="s">
        <v>3314</v>
      </c>
      <c r="G520" s="112" t="b">
        <v>0</v>
      </c>
      <c r="H520" s="112" t="b">
        <v>0</v>
      </c>
      <c r="I520" s="112" t="b">
        <v>0</v>
      </c>
      <c r="J520" s="112" t="b">
        <v>0</v>
      </c>
      <c r="K520" s="112" t="b">
        <v>0</v>
      </c>
      <c r="L520" s="112" t="b">
        <v>0</v>
      </c>
    </row>
    <row r="521" spans="1:12" ht="15">
      <c r="A521" s="112" t="s">
        <v>2817</v>
      </c>
      <c r="B521" s="112" t="s">
        <v>2818</v>
      </c>
      <c r="C521" s="112">
        <v>3</v>
      </c>
      <c r="D521" s="114">
        <v>0.0006178472111276226</v>
      </c>
      <c r="E521" s="114">
        <v>3.5979875416968374</v>
      </c>
      <c r="F521" s="112" t="s">
        <v>3314</v>
      </c>
      <c r="G521" s="112" t="b">
        <v>0</v>
      </c>
      <c r="H521" s="112" t="b">
        <v>0</v>
      </c>
      <c r="I521" s="112" t="b">
        <v>0</v>
      </c>
      <c r="J521" s="112" t="b">
        <v>0</v>
      </c>
      <c r="K521" s="112" t="b">
        <v>0</v>
      </c>
      <c r="L521" s="112" t="b">
        <v>0</v>
      </c>
    </row>
    <row r="522" spans="1:12" ht="15">
      <c r="A522" s="112" t="s">
        <v>2187</v>
      </c>
      <c r="B522" s="112" t="s">
        <v>2148</v>
      </c>
      <c r="C522" s="112">
        <v>3</v>
      </c>
      <c r="D522" s="114">
        <v>0.0005006759796149353</v>
      </c>
      <c r="E522" s="114">
        <v>2.091332208379615</v>
      </c>
      <c r="F522" s="112" t="s">
        <v>3314</v>
      </c>
      <c r="G522" s="112" t="b">
        <v>0</v>
      </c>
      <c r="H522" s="112" t="b">
        <v>0</v>
      </c>
      <c r="I522" s="112" t="b">
        <v>0</v>
      </c>
      <c r="J522" s="112" t="b">
        <v>0</v>
      </c>
      <c r="K522" s="112" t="b">
        <v>0</v>
      </c>
      <c r="L522" s="112" t="b">
        <v>0</v>
      </c>
    </row>
    <row r="523" spans="1:12" ht="15">
      <c r="A523" s="112" t="s">
        <v>2341</v>
      </c>
      <c r="B523" s="112" t="s">
        <v>2094</v>
      </c>
      <c r="C523" s="112">
        <v>2</v>
      </c>
      <c r="D523" s="114">
        <v>0.00036261359660243913</v>
      </c>
      <c r="E523" s="114">
        <v>1.6859427120519677</v>
      </c>
      <c r="F523" s="112" t="s">
        <v>3314</v>
      </c>
      <c r="G523" s="112" t="b">
        <v>0</v>
      </c>
      <c r="H523" s="112" t="b">
        <v>0</v>
      </c>
      <c r="I523" s="112" t="b">
        <v>0</v>
      </c>
      <c r="J523" s="112" t="b">
        <v>0</v>
      </c>
      <c r="K523" s="112" t="b">
        <v>0</v>
      </c>
      <c r="L523" s="112" t="b">
        <v>0</v>
      </c>
    </row>
    <row r="524" spans="1:12" ht="15">
      <c r="A524" s="112" t="s">
        <v>2204</v>
      </c>
      <c r="B524" s="112" t="s">
        <v>2083</v>
      </c>
      <c r="C524" s="112">
        <v>2</v>
      </c>
      <c r="D524" s="114">
        <v>0.00036261359660243913</v>
      </c>
      <c r="E524" s="114">
        <v>1.2035358608706215</v>
      </c>
      <c r="F524" s="112" t="s">
        <v>3314</v>
      </c>
      <c r="G524" s="112" t="b">
        <v>0</v>
      </c>
      <c r="H524" s="112" t="b">
        <v>0</v>
      </c>
      <c r="I524" s="112" t="b">
        <v>0</v>
      </c>
      <c r="J524" s="112" t="b">
        <v>0</v>
      </c>
      <c r="K524" s="112" t="b">
        <v>0</v>
      </c>
      <c r="L524" s="112" t="b">
        <v>0</v>
      </c>
    </row>
    <row r="525" spans="1:12" ht="15">
      <c r="A525" s="112" t="s">
        <v>2223</v>
      </c>
      <c r="B525" s="112" t="s">
        <v>2079</v>
      </c>
      <c r="C525" s="112">
        <v>2</v>
      </c>
      <c r="D525" s="114">
        <v>0.00036261359660243913</v>
      </c>
      <c r="E525" s="114">
        <v>0.9299123903023181</v>
      </c>
      <c r="F525" s="112" t="s">
        <v>3314</v>
      </c>
      <c r="G525" s="112" t="b">
        <v>0</v>
      </c>
      <c r="H525" s="112" t="b">
        <v>0</v>
      </c>
      <c r="I525" s="112" t="b">
        <v>0</v>
      </c>
      <c r="J525" s="112" t="b">
        <v>0</v>
      </c>
      <c r="K525" s="112" t="b">
        <v>0</v>
      </c>
      <c r="L525" s="112" t="b">
        <v>0</v>
      </c>
    </row>
    <row r="526" spans="1:12" ht="15">
      <c r="A526" s="112" t="s">
        <v>2234</v>
      </c>
      <c r="B526" s="112" t="s">
        <v>2078</v>
      </c>
      <c r="C526" s="112">
        <v>2</v>
      </c>
      <c r="D526" s="114">
        <v>0.0004118981407517484</v>
      </c>
      <c r="E526" s="114">
        <v>0.860529842846001</v>
      </c>
      <c r="F526" s="112" t="s">
        <v>3314</v>
      </c>
      <c r="G526" s="112" t="b">
        <v>0</v>
      </c>
      <c r="H526" s="112" t="b">
        <v>0</v>
      </c>
      <c r="I526" s="112" t="b">
        <v>0</v>
      </c>
      <c r="J526" s="112" t="b">
        <v>0</v>
      </c>
      <c r="K526" s="112" t="b">
        <v>0</v>
      </c>
      <c r="L526" s="112" t="b">
        <v>0</v>
      </c>
    </row>
    <row r="527" spans="1:12" ht="15">
      <c r="A527" s="112" t="s">
        <v>2079</v>
      </c>
      <c r="B527" s="112" t="s">
        <v>2234</v>
      </c>
      <c r="C527" s="112">
        <v>2</v>
      </c>
      <c r="D527" s="114">
        <v>0.0004118981407517484</v>
      </c>
      <c r="E527" s="114">
        <v>0.9333455661407121</v>
      </c>
      <c r="F527" s="112" t="s">
        <v>3314</v>
      </c>
      <c r="G527" s="112" t="b">
        <v>0</v>
      </c>
      <c r="H527" s="112" t="b">
        <v>0</v>
      </c>
      <c r="I527" s="112" t="b">
        <v>0</v>
      </c>
      <c r="J527" s="112" t="b">
        <v>0</v>
      </c>
      <c r="K527" s="112" t="b">
        <v>0</v>
      </c>
      <c r="L527" s="112" t="b">
        <v>0</v>
      </c>
    </row>
    <row r="528" spans="1:12" ht="15">
      <c r="A528" s="112" t="s">
        <v>2078</v>
      </c>
      <c r="B528" s="112" t="s">
        <v>2131</v>
      </c>
      <c r="C528" s="112">
        <v>2</v>
      </c>
      <c r="D528" s="114">
        <v>0.00036261359660243913</v>
      </c>
      <c r="E528" s="114">
        <v>0.3323836651118018</v>
      </c>
      <c r="F528" s="112" t="s">
        <v>3314</v>
      </c>
      <c r="G528" s="112" t="b">
        <v>0</v>
      </c>
      <c r="H528" s="112" t="b">
        <v>0</v>
      </c>
      <c r="I528" s="112" t="b">
        <v>0</v>
      </c>
      <c r="J528" s="112" t="b">
        <v>0</v>
      </c>
      <c r="K528" s="112" t="b">
        <v>0</v>
      </c>
      <c r="L528" s="112" t="b">
        <v>0</v>
      </c>
    </row>
    <row r="529" spans="1:12" ht="15">
      <c r="A529" s="112" t="s">
        <v>2825</v>
      </c>
      <c r="B529" s="112" t="s">
        <v>2826</v>
      </c>
      <c r="C529" s="112">
        <v>2</v>
      </c>
      <c r="D529" s="114">
        <v>0.0004118981407517484</v>
      </c>
      <c r="E529" s="114">
        <v>3.774078800752519</v>
      </c>
      <c r="F529" s="112" t="s">
        <v>3314</v>
      </c>
      <c r="G529" s="112" t="b">
        <v>0</v>
      </c>
      <c r="H529" s="112" t="b">
        <v>0</v>
      </c>
      <c r="I529" s="112" t="b">
        <v>0</v>
      </c>
      <c r="J529" s="112" t="b">
        <v>0</v>
      </c>
      <c r="K529" s="112" t="b">
        <v>1</v>
      </c>
      <c r="L529" s="112" t="b">
        <v>0</v>
      </c>
    </row>
    <row r="530" spans="1:12" ht="15">
      <c r="A530" s="112" t="s">
        <v>2234</v>
      </c>
      <c r="B530" s="112" t="s">
        <v>2090</v>
      </c>
      <c r="C530" s="112">
        <v>2</v>
      </c>
      <c r="D530" s="114">
        <v>0.0004118981407517484</v>
      </c>
      <c r="E530" s="114">
        <v>1.4002476556786885</v>
      </c>
      <c r="F530" s="112" t="s">
        <v>3314</v>
      </c>
      <c r="G530" s="112" t="b">
        <v>0</v>
      </c>
      <c r="H530" s="112" t="b">
        <v>0</v>
      </c>
      <c r="I530" s="112" t="b">
        <v>0</v>
      </c>
      <c r="J530" s="112" t="b">
        <v>0</v>
      </c>
      <c r="K530" s="112" t="b">
        <v>0</v>
      </c>
      <c r="L530" s="112" t="b">
        <v>0</v>
      </c>
    </row>
    <row r="531" spans="1:12" ht="15">
      <c r="A531" s="112" t="s">
        <v>2078</v>
      </c>
      <c r="B531" s="112" t="s">
        <v>2306</v>
      </c>
      <c r="C531" s="112">
        <v>2</v>
      </c>
      <c r="D531" s="114">
        <v>0.00036261359660243913</v>
      </c>
      <c r="E531" s="114">
        <v>0.9733617224701338</v>
      </c>
      <c r="F531" s="112" t="s">
        <v>3314</v>
      </c>
      <c r="G531" s="112" t="b">
        <v>0</v>
      </c>
      <c r="H531" s="112" t="b">
        <v>0</v>
      </c>
      <c r="I531" s="112" t="b">
        <v>0</v>
      </c>
      <c r="J531" s="112" t="b">
        <v>0</v>
      </c>
      <c r="K531" s="112" t="b">
        <v>0</v>
      </c>
      <c r="L531" s="112" t="b">
        <v>0</v>
      </c>
    </row>
    <row r="532" spans="1:12" ht="15">
      <c r="A532" s="112" t="s">
        <v>2234</v>
      </c>
      <c r="B532" s="112" t="s">
        <v>2830</v>
      </c>
      <c r="C532" s="112">
        <v>2</v>
      </c>
      <c r="D532" s="114">
        <v>0.0004118981407517484</v>
      </c>
      <c r="E532" s="114">
        <v>3.033716111258275</v>
      </c>
      <c r="F532" s="112" t="s">
        <v>3314</v>
      </c>
      <c r="G532" s="112" t="b">
        <v>0</v>
      </c>
      <c r="H532" s="112" t="b">
        <v>0</v>
      </c>
      <c r="I532" s="112" t="b">
        <v>0</v>
      </c>
      <c r="J532" s="112" t="b">
        <v>0</v>
      </c>
      <c r="K532" s="112" t="b">
        <v>0</v>
      </c>
      <c r="L532" s="112" t="b">
        <v>0</v>
      </c>
    </row>
    <row r="533" spans="1:12" ht="15">
      <c r="A533" s="112" t="s">
        <v>2078</v>
      </c>
      <c r="B533" s="112" t="s">
        <v>2205</v>
      </c>
      <c r="C533" s="112">
        <v>2</v>
      </c>
      <c r="D533" s="114">
        <v>0.00036261359660243913</v>
      </c>
      <c r="E533" s="114">
        <v>0.7303236737838393</v>
      </c>
      <c r="F533" s="112" t="s">
        <v>3314</v>
      </c>
      <c r="G533" s="112" t="b">
        <v>0</v>
      </c>
      <c r="H533" s="112" t="b">
        <v>0</v>
      </c>
      <c r="I533" s="112" t="b">
        <v>0</v>
      </c>
      <c r="J533" s="112" t="b">
        <v>0</v>
      </c>
      <c r="K533" s="112" t="b">
        <v>0</v>
      </c>
      <c r="L533" s="112" t="b">
        <v>0</v>
      </c>
    </row>
    <row r="534" spans="1:12" ht="15">
      <c r="A534" s="112" t="s">
        <v>2135</v>
      </c>
      <c r="B534" s="112" t="s">
        <v>2081</v>
      </c>
      <c r="C534" s="112">
        <v>2</v>
      </c>
      <c r="D534" s="114">
        <v>0.00036261359660243913</v>
      </c>
      <c r="E534" s="114">
        <v>0.6456795320347125</v>
      </c>
      <c r="F534" s="112" t="s">
        <v>3314</v>
      </c>
      <c r="G534" s="112" t="b">
        <v>0</v>
      </c>
      <c r="H534" s="112" t="b">
        <v>0</v>
      </c>
      <c r="I534" s="112" t="b">
        <v>0</v>
      </c>
      <c r="J534" s="112" t="b">
        <v>0</v>
      </c>
      <c r="K534" s="112" t="b">
        <v>0</v>
      </c>
      <c r="L534" s="112" t="b">
        <v>0</v>
      </c>
    </row>
    <row r="535" spans="1:12" ht="15">
      <c r="A535" s="112" t="s">
        <v>2079</v>
      </c>
      <c r="B535" s="112" t="s">
        <v>2205</v>
      </c>
      <c r="C535" s="112">
        <v>2</v>
      </c>
      <c r="D535" s="114">
        <v>0.0004118981407517484</v>
      </c>
      <c r="E535" s="114">
        <v>0.8286102156206991</v>
      </c>
      <c r="F535" s="112" t="s">
        <v>3314</v>
      </c>
      <c r="G535" s="112" t="b">
        <v>0</v>
      </c>
      <c r="H535" s="112" t="b">
        <v>0</v>
      </c>
      <c r="I535" s="112" t="b">
        <v>0</v>
      </c>
      <c r="J535" s="112" t="b">
        <v>0</v>
      </c>
      <c r="K535" s="112" t="b">
        <v>0</v>
      </c>
      <c r="L535" s="112" t="b">
        <v>0</v>
      </c>
    </row>
    <row r="536" spans="1:12" ht="15">
      <c r="A536" s="112" t="s">
        <v>2078</v>
      </c>
      <c r="B536" s="112" t="s">
        <v>2344</v>
      </c>
      <c r="C536" s="112">
        <v>2</v>
      </c>
      <c r="D536" s="114">
        <v>0.00036261359660243913</v>
      </c>
      <c r="E536" s="114">
        <v>1.0313536694478205</v>
      </c>
      <c r="F536" s="112" t="s">
        <v>3314</v>
      </c>
      <c r="G536" s="112" t="b">
        <v>0</v>
      </c>
      <c r="H536" s="112" t="b">
        <v>0</v>
      </c>
      <c r="I536" s="112" t="b">
        <v>0</v>
      </c>
      <c r="J536" s="112" t="b">
        <v>0</v>
      </c>
      <c r="K536" s="112" t="b">
        <v>0</v>
      </c>
      <c r="L536" s="112" t="b">
        <v>0</v>
      </c>
    </row>
    <row r="537" spans="1:12" ht="15">
      <c r="A537" s="112" t="s">
        <v>2344</v>
      </c>
      <c r="B537" s="112" t="s">
        <v>2149</v>
      </c>
      <c r="C537" s="112">
        <v>2</v>
      </c>
      <c r="D537" s="114">
        <v>0.00036261359660243913</v>
      </c>
      <c r="E537" s="114">
        <v>2.1508295103546184</v>
      </c>
      <c r="F537" s="112" t="s">
        <v>3314</v>
      </c>
      <c r="G537" s="112" t="b">
        <v>0</v>
      </c>
      <c r="H537" s="112" t="b">
        <v>0</v>
      </c>
      <c r="I537" s="112" t="b">
        <v>0</v>
      </c>
      <c r="J537" s="112" t="b">
        <v>0</v>
      </c>
      <c r="K537" s="112" t="b">
        <v>0</v>
      </c>
      <c r="L537" s="112" t="b">
        <v>0</v>
      </c>
    </row>
    <row r="538" spans="1:12" ht="15">
      <c r="A538" s="112" t="s">
        <v>2165</v>
      </c>
      <c r="B538" s="112" t="s">
        <v>2084</v>
      </c>
      <c r="C538" s="112">
        <v>2</v>
      </c>
      <c r="D538" s="114">
        <v>0.00036261359660243913</v>
      </c>
      <c r="E538" s="114">
        <v>0.9887489657417519</v>
      </c>
      <c r="F538" s="112" t="s">
        <v>3314</v>
      </c>
      <c r="G538" s="112" t="b">
        <v>0</v>
      </c>
      <c r="H538" s="112" t="b">
        <v>0</v>
      </c>
      <c r="I538" s="112" t="b">
        <v>0</v>
      </c>
      <c r="J538" s="112" t="b">
        <v>0</v>
      </c>
      <c r="K538" s="112" t="b">
        <v>1</v>
      </c>
      <c r="L538" s="112" t="b">
        <v>0</v>
      </c>
    </row>
    <row r="539" spans="1:12" ht="15">
      <c r="A539" s="112" t="s">
        <v>2432</v>
      </c>
      <c r="B539" s="112" t="s">
        <v>2081</v>
      </c>
      <c r="C539" s="112">
        <v>2</v>
      </c>
      <c r="D539" s="114">
        <v>0.00036261359660243913</v>
      </c>
      <c r="E539" s="114">
        <v>1.4518595060185997</v>
      </c>
      <c r="F539" s="112" t="s">
        <v>3314</v>
      </c>
      <c r="G539" s="112" t="b">
        <v>0</v>
      </c>
      <c r="H539" s="112" t="b">
        <v>0</v>
      </c>
      <c r="I539" s="112" t="b">
        <v>0</v>
      </c>
      <c r="J539" s="112" t="b">
        <v>0</v>
      </c>
      <c r="K539" s="112" t="b">
        <v>0</v>
      </c>
      <c r="L539" s="112" t="b">
        <v>0</v>
      </c>
    </row>
    <row r="540" spans="1:12" ht="15">
      <c r="A540" s="112" t="s">
        <v>2308</v>
      </c>
      <c r="B540" s="112" t="s">
        <v>2149</v>
      </c>
      <c r="C540" s="112">
        <v>2</v>
      </c>
      <c r="D540" s="114">
        <v>0.0004118981407517484</v>
      </c>
      <c r="E540" s="114">
        <v>2.0928375633769316</v>
      </c>
      <c r="F540" s="112" t="s">
        <v>3314</v>
      </c>
      <c r="G540" s="112" t="b">
        <v>0</v>
      </c>
      <c r="H540" s="112" t="b">
        <v>0</v>
      </c>
      <c r="I540" s="112" t="b">
        <v>0</v>
      </c>
      <c r="J540" s="112" t="b">
        <v>0</v>
      </c>
      <c r="K540" s="112" t="b">
        <v>0</v>
      </c>
      <c r="L540" s="112" t="b">
        <v>0</v>
      </c>
    </row>
    <row r="541" spans="1:12" ht="15">
      <c r="A541" s="112" t="s">
        <v>2078</v>
      </c>
      <c r="B541" s="112" t="s">
        <v>2149</v>
      </c>
      <c r="C541" s="112">
        <v>2</v>
      </c>
      <c r="D541" s="114">
        <v>0.0004118981407517484</v>
      </c>
      <c r="E541" s="114">
        <v>0.49624046775047137</v>
      </c>
      <c r="F541" s="112" t="s">
        <v>3314</v>
      </c>
      <c r="G541" s="112" t="b">
        <v>0</v>
      </c>
      <c r="H541" s="112" t="b">
        <v>0</v>
      </c>
      <c r="I541" s="112" t="b">
        <v>0</v>
      </c>
      <c r="J541" s="112" t="b">
        <v>0</v>
      </c>
      <c r="K541" s="112" t="b">
        <v>0</v>
      </c>
      <c r="L541" s="112" t="b">
        <v>0</v>
      </c>
    </row>
    <row r="542" spans="1:12" ht="15">
      <c r="A542" s="112" t="s">
        <v>2086</v>
      </c>
      <c r="B542" s="112" t="s">
        <v>2162</v>
      </c>
      <c r="C542" s="112">
        <v>2</v>
      </c>
      <c r="D542" s="114">
        <v>0.00036261359660243913</v>
      </c>
      <c r="E542" s="114">
        <v>1.0204957418596123</v>
      </c>
      <c r="F542" s="112" t="s">
        <v>3314</v>
      </c>
      <c r="G542" s="112" t="b">
        <v>0</v>
      </c>
      <c r="H542" s="112" t="b">
        <v>0</v>
      </c>
      <c r="I542" s="112" t="b">
        <v>0</v>
      </c>
      <c r="J542" s="112" t="b">
        <v>0</v>
      </c>
      <c r="K542" s="112" t="b">
        <v>0</v>
      </c>
      <c r="L542" s="112" t="b">
        <v>0</v>
      </c>
    </row>
    <row r="543" spans="1:12" ht="15">
      <c r="A543" s="112" t="s">
        <v>2106</v>
      </c>
      <c r="B543" s="112" t="s">
        <v>2081</v>
      </c>
      <c r="C543" s="112">
        <v>2</v>
      </c>
      <c r="D543" s="114">
        <v>0.00036261359660243913</v>
      </c>
      <c r="E543" s="114">
        <v>0.4787316524189009</v>
      </c>
      <c r="F543" s="112" t="s">
        <v>3314</v>
      </c>
      <c r="G543" s="112" t="b">
        <v>0</v>
      </c>
      <c r="H543" s="112" t="b">
        <v>0</v>
      </c>
      <c r="I543" s="112" t="b">
        <v>0</v>
      </c>
      <c r="J543" s="112" t="b">
        <v>0</v>
      </c>
      <c r="K543" s="112" t="b">
        <v>0</v>
      </c>
      <c r="L543" s="112" t="b">
        <v>0</v>
      </c>
    </row>
    <row r="544" spans="1:12" ht="15">
      <c r="A544" s="112" t="s">
        <v>2079</v>
      </c>
      <c r="B544" s="112" t="s">
        <v>2223</v>
      </c>
      <c r="C544" s="112">
        <v>2</v>
      </c>
      <c r="D544" s="114">
        <v>0.00036261359660243913</v>
      </c>
      <c r="E544" s="114">
        <v>0.8955570052513123</v>
      </c>
      <c r="F544" s="112" t="s">
        <v>3314</v>
      </c>
      <c r="G544" s="112" t="b">
        <v>0</v>
      </c>
      <c r="H544" s="112" t="b">
        <v>0</v>
      </c>
      <c r="I544" s="112" t="b">
        <v>0</v>
      </c>
      <c r="J544" s="112" t="b">
        <v>0</v>
      </c>
      <c r="K544" s="112" t="b">
        <v>0</v>
      </c>
      <c r="L544" s="112" t="b">
        <v>0</v>
      </c>
    </row>
    <row r="545" spans="1:12" ht="15">
      <c r="A545" s="112" t="s">
        <v>2079</v>
      </c>
      <c r="B545" s="112" t="s">
        <v>2508</v>
      </c>
      <c r="C545" s="112">
        <v>2</v>
      </c>
      <c r="D545" s="114">
        <v>0.0004118981407517484</v>
      </c>
      <c r="E545" s="114">
        <v>1.3726782599709748</v>
      </c>
      <c r="F545" s="112" t="s">
        <v>3314</v>
      </c>
      <c r="G545" s="112" t="b">
        <v>0</v>
      </c>
      <c r="H545" s="112" t="b">
        <v>0</v>
      </c>
      <c r="I545" s="112" t="b">
        <v>0</v>
      </c>
      <c r="J545" s="112" t="b">
        <v>0</v>
      </c>
      <c r="K545" s="112" t="b">
        <v>0</v>
      </c>
      <c r="L545" s="112" t="b">
        <v>0</v>
      </c>
    </row>
    <row r="546" spans="1:12" ht="15">
      <c r="A546" s="112" t="s">
        <v>2509</v>
      </c>
      <c r="B546" s="112" t="s">
        <v>2106</v>
      </c>
      <c r="C546" s="112">
        <v>2</v>
      </c>
      <c r="D546" s="114">
        <v>0.00036261359660243913</v>
      </c>
      <c r="E546" s="114">
        <v>2.0751087964165</v>
      </c>
      <c r="F546" s="112" t="s">
        <v>3314</v>
      </c>
      <c r="G546" s="112" t="b">
        <v>0</v>
      </c>
      <c r="H546" s="112" t="b">
        <v>0</v>
      </c>
      <c r="I546" s="112" t="b">
        <v>0</v>
      </c>
      <c r="J546" s="112" t="b">
        <v>0</v>
      </c>
      <c r="K546" s="112" t="b">
        <v>0</v>
      </c>
      <c r="L546" s="112" t="b">
        <v>0</v>
      </c>
    </row>
    <row r="547" spans="1:12" ht="15">
      <c r="A547" s="112" t="s">
        <v>2626</v>
      </c>
      <c r="B547" s="112" t="s">
        <v>2433</v>
      </c>
      <c r="C547" s="112">
        <v>2</v>
      </c>
      <c r="D547" s="114">
        <v>0.0004118981407517484</v>
      </c>
      <c r="E547" s="114">
        <v>3.2000475330248</v>
      </c>
      <c r="F547" s="112" t="s">
        <v>3314</v>
      </c>
      <c r="G547" s="112" t="b">
        <v>0</v>
      </c>
      <c r="H547" s="112" t="b">
        <v>0</v>
      </c>
      <c r="I547" s="112" t="b">
        <v>0</v>
      </c>
      <c r="J547" s="112" t="b">
        <v>0</v>
      </c>
      <c r="K547" s="112" t="b">
        <v>0</v>
      </c>
      <c r="L547" s="112" t="b">
        <v>0</v>
      </c>
    </row>
    <row r="548" spans="1:12" ht="15">
      <c r="A548" s="112" t="s">
        <v>2306</v>
      </c>
      <c r="B548" s="112" t="s">
        <v>2207</v>
      </c>
      <c r="C548" s="112">
        <v>2</v>
      </c>
      <c r="D548" s="114">
        <v>0.00036261359660243913</v>
      </c>
      <c r="E548" s="114">
        <v>2.359105452781701</v>
      </c>
      <c r="F548" s="112" t="s">
        <v>3314</v>
      </c>
      <c r="G548" s="112" t="b">
        <v>0</v>
      </c>
      <c r="H548" s="112" t="b">
        <v>0</v>
      </c>
      <c r="I548" s="112" t="b">
        <v>0</v>
      </c>
      <c r="J548" s="112" t="b">
        <v>0</v>
      </c>
      <c r="K548" s="112" t="b">
        <v>0</v>
      </c>
      <c r="L548" s="112" t="b">
        <v>0</v>
      </c>
    </row>
    <row r="549" spans="1:12" ht="15">
      <c r="A549" s="112" t="s">
        <v>2237</v>
      </c>
      <c r="B549" s="112" t="s">
        <v>2309</v>
      </c>
      <c r="C549" s="112">
        <v>2</v>
      </c>
      <c r="D549" s="114">
        <v>0.00036261359660243913</v>
      </c>
      <c r="E549" s="114">
        <v>2.4316561199303126</v>
      </c>
      <c r="F549" s="112" t="s">
        <v>3314</v>
      </c>
      <c r="G549" s="112" t="b">
        <v>0</v>
      </c>
      <c r="H549" s="112" t="b">
        <v>0</v>
      </c>
      <c r="I549" s="112" t="b">
        <v>0</v>
      </c>
      <c r="J549" s="112" t="b">
        <v>0</v>
      </c>
      <c r="K549" s="112" t="b">
        <v>0</v>
      </c>
      <c r="L549" s="112" t="b">
        <v>0</v>
      </c>
    </row>
    <row r="550" spans="1:12" ht="15">
      <c r="A550" s="112" t="s">
        <v>2154</v>
      </c>
      <c r="B550" s="112" t="s">
        <v>2237</v>
      </c>
      <c r="C550" s="112">
        <v>2</v>
      </c>
      <c r="D550" s="114">
        <v>0.00036261359660243913</v>
      </c>
      <c r="E550" s="114">
        <v>1.9730182709046633</v>
      </c>
      <c r="F550" s="112" t="s">
        <v>3314</v>
      </c>
      <c r="G550" s="112" t="b">
        <v>0</v>
      </c>
      <c r="H550" s="112" t="b">
        <v>0</v>
      </c>
      <c r="I550" s="112" t="b">
        <v>0</v>
      </c>
      <c r="J550" s="112" t="b">
        <v>0</v>
      </c>
      <c r="K550" s="112" t="b">
        <v>0</v>
      </c>
      <c r="L550" s="112" t="b">
        <v>0</v>
      </c>
    </row>
    <row r="551" spans="1:12" ht="15">
      <c r="A551" s="112" t="s">
        <v>2078</v>
      </c>
      <c r="B551" s="112" t="s">
        <v>2207</v>
      </c>
      <c r="C551" s="112">
        <v>2</v>
      </c>
      <c r="D551" s="114">
        <v>0.00036261359660243913</v>
      </c>
      <c r="E551" s="114">
        <v>0.7625083571552407</v>
      </c>
      <c r="F551" s="112" t="s">
        <v>3314</v>
      </c>
      <c r="G551" s="112" t="b">
        <v>0</v>
      </c>
      <c r="H551" s="112" t="b">
        <v>0</v>
      </c>
      <c r="I551" s="112" t="b">
        <v>0</v>
      </c>
      <c r="J551" s="112" t="b">
        <v>0</v>
      </c>
      <c r="K551" s="112" t="b">
        <v>0</v>
      </c>
      <c r="L551" s="112" t="b">
        <v>0</v>
      </c>
    </row>
    <row r="552" spans="1:12" ht="15">
      <c r="A552" s="112" t="s">
        <v>2512</v>
      </c>
      <c r="B552" s="112" t="s">
        <v>2087</v>
      </c>
      <c r="C552" s="112">
        <v>2</v>
      </c>
      <c r="D552" s="114">
        <v>0.0004118981407517484</v>
      </c>
      <c r="E552" s="114">
        <v>1.7528895016825807</v>
      </c>
      <c r="F552" s="112" t="s">
        <v>3314</v>
      </c>
      <c r="G552" s="112" t="b">
        <v>0</v>
      </c>
      <c r="H552" s="112" t="b">
        <v>0</v>
      </c>
      <c r="I552" s="112" t="b">
        <v>0</v>
      </c>
      <c r="J552" s="112" t="b">
        <v>0</v>
      </c>
      <c r="K552" s="112" t="b">
        <v>0</v>
      </c>
      <c r="L552" s="112" t="b">
        <v>0</v>
      </c>
    </row>
    <row r="553" spans="1:12" ht="15">
      <c r="A553" s="112" t="s">
        <v>2385</v>
      </c>
      <c r="B553" s="112" t="s">
        <v>2310</v>
      </c>
      <c r="C553" s="112">
        <v>2</v>
      </c>
      <c r="D553" s="114">
        <v>0.0004118981407517484</v>
      </c>
      <c r="E553" s="114">
        <v>2.752889501682581</v>
      </c>
      <c r="F553" s="112" t="s">
        <v>3314</v>
      </c>
      <c r="G553" s="112" t="b">
        <v>0</v>
      </c>
      <c r="H553" s="112" t="b">
        <v>0</v>
      </c>
      <c r="I553" s="112" t="b">
        <v>0</v>
      </c>
      <c r="J553" s="112" t="b">
        <v>0</v>
      </c>
      <c r="K553" s="112" t="b">
        <v>0</v>
      </c>
      <c r="L553" s="112" t="b">
        <v>0</v>
      </c>
    </row>
    <row r="554" spans="1:12" ht="15">
      <c r="A554" s="112" t="s">
        <v>2143</v>
      </c>
      <c r="B554" s="112" t="s">
        <v>2385</v>
      </c>
      <c r="C554" s="112">
        <v>2</v>
      </c>
      <c r="D554" s="114">
        <v>0.0004118981407517484</v>
      </c>
      <c r="E554" s="114">
        <v>2.230010756402243</v>
      </c>
      <c r="F554" s="112" t="s">
        <v>3314</v>
      </c>
      <c r="G554" s="112" t="b">
        <v>0</v>
      </c>
      <c r="H554" s="112" t="b">
        <v>0</v>
      </c>
      <c r="I554" s="112" t="b">
        <v>0</v>
      </c>
      <c r="J554" s="112" t="b">
        <v>0</v>
      </c>
      <c r="K554" s="112" t="b">
        <v>0</v>
      </c>
      <c r="L554" s="112" t="b">
        <v>0</v>
      </c>
    </row>
    <row r="555" spans="1:12" ht="15">
      <c r="A555" s="112" t="s">
        <v>2207</v>
      </c>
      <c r="B555" s="112" t="s">
        <v>2177</v>
      </c>
      <c r="C555" s="112">
        <v>2</v>
      </c>
      <c r="D555" s="114">
        <v>0.00036261359660243913</v>
      </c>
      <c r="E555" s="114">
        <v>1.9995618350239692</v>
      </c>
      <c r="F555" s="112" t="s">
        <v>3314</v>
      </c>
      <c r="G555" s="112" t="b">
        <v>0</v>
      </c>
      <c r="H555" s="112" t="b">
        <v>0</v>
      </c>
      <c r="I555" s="112" t="b">
        <v>0</v>
      </c>
      <c r="J555" s="112" t="b">
        <v>0</v>
      </c>
      <c r="K555" s="112" t="b">
        <v>0</v>
      </c>
      <c r="L555" s="112" t="b">
        <v>0</v>
      </c>
    </row>
    <row r="556" spans="1:12" ht="15">
      <c r="A556" s="112" t="s">
        <v>2227</v>
      </c>
      <c r="B556" s="112" t="s">
        <v>2227</v>
      </c>
      <c r="C556" s="112">
        <v>2</v>
      </c>
      <c r="D556" s="114">
        <v>0.0004118981407517484</v>
      </c>
      <c r="E556" s="114">
        <v>2.2177762999852315</v>
      </c>
      <c r="F556" s="112" t="s">
        <v>3314</v>
      </c>
      <c r="G556" s="112" t="b">
        <v>0</v>
      </c>
      <c r="H556" s="112" t="b">
        <v>0</v>
      </c>
      <c r="I556" s="112" t="b">
        <v>0</v>
      </c>
      <c r="J556" s="112" t="b">
        <v>0</v>
      </c>
      <c r="K556" s="112" t="b">
        <v>0</v>
      </c>
      <c r="L556" s="112" t="b">
        <v>0</v>
      </c>
    </row>
    <row r="557" spans="1:12" ht="15">
      <c r="A557" s="112" t="s">
        <v>2078</v>
      </c>
      <c r="B557" s="112" t="s">
        <v>2506</v>
      </c>
      <c r="C557" s="112">
        <v>2</v>
      </c>
      <c r="D557" s="114">
        <v>0.00036261359660243913</v>
      </c>
      <c r="E557" s="114">
        <v>1.274391718134115</v>
      </c>
      <c r="F557" s="112" t="s">
        <v>3314</v>
      </c>
      <c r="G557" s="112" t="b">
        <v>0</v>
      </c>
      <c r="H557" s="112" t="b">
        <v>0</v>
      </c>
      <c r="I557" s="112" t="b">
        <v>0</v>
      </c>
      <c r="J557" s="112" t="b">
        <v>0</v>
      </c>
      <c r="K557" s="112" t="b">
        <v>0</v>
      </c>
      <c r="L557" s="112" t="b">
        <v>0</v>
      </c>
    </row>
    <row r="558" spans="1:12" ht="15">
      <c r="A558" s="112" t="s">
        <v>2176</v>
      </c>
      <c r="B558" s="112" t="s">
        <v>2078</v>
      </c>
      <c r="C558" s="112">
        <v>2</v>
      </c>
      <c r="D558" s="114">
        <v>0.00036261359660243913</v>
      </c>
      <c r="E558" s="114">
        <v>0.6714736066259521</v>
      </c>
      <c r="F558" s="112" t="s">
        <v>3314</v>
      </c>
      <c r="G558" s="112" t="b">
        <v>0</v>
      </c>
      <c r="H558" s="112" t="b">
        <v>0</v>
      </c>
      <c r="I558" s="112" t="b">
        <v>0</v>
      </c>
      <c r="J558" s="112" t="b">
        <v>0</v>
      </c>
      <c r="K558" s="112" t="b">
        <v>0</v>
      </c>
      <c r="L558" s="112" t="b">
        <v>0</v>
      </c>
    </row>
    <row r="559" spans="1:12" ht="15">
      <c r="A559" s="112" t="s">
        <v>2436</v>
      </c>
      <c r="B559" s="112" t="s">
        <v>2516</v>
      </c>
      <c r="C559" s="112">
        <v>2</v>
      </c>
      <c r="D559" s="114">
        <v>0.0004118981407517484</v>
      </c>
      <c r="E559" s="114">
        <v>3.0751087964165</v>
      </c>
      <c r="F559" s="112" t="s">
        <v>3314</v>
      </c>
      <c r="G559" s="112" t="b">
        <v>0</v>
      </c>
      <c r="H559" s="112" t="b">
        <v>0</v>
      </c>
      <c r="I559" s="112" t="b">
        <v>0</v>
      </c>
      <c r="J559" s="112" t="b">
        <v>0</v>
      </c>
      <c r="K559" s="112" t="b">
        <v>0</v>
      </c>
      <c r="L559" s="112" t="b">
        <v>0</v>
      </c>
    </row>
    <row r="560" spans="1:12" ht="15">
      <c r="A560" s="112" t="s">
        <v>2348</v>
      </c>
      <c r="B560" s="112" t="s">
        <v>2632</v>
      </c>
      <c r="C560" s="112">
        <v>2</v>
      </c>
      <c r="D560" s="114">
        <v>0.00036261359660243913</v>
      </c>
      <c r="E560" s="114">
        <v>3.053919497346562</v>
      </c>
      <c r="F560" s="112" t="s">
        <v>3314</v>
      </c>
      <c r="G560" s="112" t="b">
        <v>0</v>
      </c>
      <c r="H560" s="112" t="b">
        <v>0</v>
      </c>
      <c r="I560" s="112" t="b">
        <v>0</v>
      </c>
      <c r="J560" s="112" t="b">
        <v>0</v>
      </c>
      <c r="K560" s="112" t="b">
        <v>0</v>
      </c>
      <c r="L560" s="112" t="b">
        <v>0</v>
      </c>
    </row>
    <row r="561" spans="1:12" ht="15">
      <c r="A561" s="112" t="s">
        <v>2097</v>
      </c>
      <c r="B561" s="112" t="s">
        <v>2081</v>
      </c>
      <c r="C561" s="112">
        <v>2</v>
      </c>
      <c r="D561" s="114">
        <v>0.00036261359660243913</v>
      </c>
      <c r="E561" s="114">
        <v>0.4026414833484181</v>
      </c>
      <c r="F561" s="112" t="s">
        <v>3314</v>
      </c>
      <c r="G561" s="112" t="b">
        <v>0</v>
      </c>
      <c r="H561" s="112" t="b">
        <v>0</v>
      </c>
      <c r="I561" s="112" t="b">
        <v>0</v>
      </c>
      <c r="J561" s="112" t="b">
        <v>0</v>
      </c>
      <c r="K561" s="112" t="b">
        <v>0</v>
      </c>
      <c r="L561" s="112" t="b">
        <v>0</v>
      </c>
    </row>
    <row r="562" spans="1:12" ht="15">
      <c r="A562" s="112" t="s">
        <v>2258</v>
      </c>
      <c r="B562" s="112" t="s">
        <v>2078</v>
      </c>
      <c r="C562" s="112">
        <v>2</v>
      </c>
      <c r="D562" s="114">
        <v>0.00036261359660243913</v>
      </c>
      <c r="E562" s="114">
        <v>0.901922528004226</v>
      </c>
      <c r="F562" s="112" t="s">
        <v>3314</v>
      </c>
      <c r="G562" s="112" t="b">
        <v>0</v>
      </c>
      <c r="H562" s="112" t="b">
        <v>0</v>
      </c>
      <c r="I562" s="112" t="b">
        <v>0</v>
      </c>
      <c r="J562" s="112" t="b">
        <v>0</v>
      </c>
      <c r="K562" s="112" t="b">
        <v>0</v>
      </c>
      <c r="L562" s="112" t="b">
        <v>0</v>
      </c>
    </row>
    <row r="563" spans="1:12" ht="15">
      <c r="A563" s="112" t="s">
        <v>2097</v>
      </c>
      <c r="B563" s="112" t="s">
        <v>2087</v>
      </c>
      <c r="C563" s="112">
        <v>2</v>
      </c>
      <c r="D563" s="114">
        <v>0.00036261359660243913</v>
      </c>
      <c r="E563" s="114">
        <v>0.6067614660043427</v>
      </c>
      <c r="F563" s="112" t="s">
        <v>3314</v>
      </c>
      <c r="G563" s="112" t="b">
        <v>0</v>
      </c>
      <c r="H563" s="112" t="b">
        <v>0</v>
      </c>
      <c r="I563" s="112" t="b">
        <v>0</v>
      </c>
      <c r="J563" s="112" t="b">
        <v>0</v>
      </c>
      <c r="K563" s="112" t="b">
        <v>0</v>
      </c>
      <c r="L563" s="112" t="b">
        <v>0</v>
      </c>
    </row>
    <row r="564" spans="1:12" ht="15">
      <c r="A564" s="112" t="s">
        <v>2152</v>
      </c>
      <c r="B564" s="112" t="s">
        <v>2151</v>
      </c>
      <c r="C564" s="112">
        <v>2</v>
      </c>
      <c r="D564" s="114">
        <v>0.00036261359660243913</v>
      </c>
      <c r="E564" s="114">
        <v>1.6157163086572692</v>
      </c>
      <c r="F564" s="112" t="s">
        <v>3314</v>
      </c>
      <c r="G564" s="112" t="b">
        <v>0</v>
      </c>
      <c r="H564" s="112" t="b">
        <v>0</v>
      </c>
      <c r="I564" s="112" t="b">
        <v>0</v>
      </c>
      <c r="J564" s="112" t="b">
        <v>0</v>
      </c>
      <c r="K564" s="112" t="b">
        <v>0</v>
      </c>
      <c r="L564" s="112" t="b">
        <v>0</v>
      </c>
    </row>
    <row r="565" spans="1:12" ht="15">
      <c r="A565" s="112" t="s">
        <v>2206</v>
      </c>
      <c r="B565" s="112" t="s">
        <v>2086</v>
      </c>
      <c r="C565" s="112">
        <v>2</v>
      </c>
      <c r="D565" s="114">
        <v>0.00036261359660243913</v>
      </c>
      <c r="E565" s="114">
        <v>1.1925842584616198</v>
      </c>
      <c r="F565" s="112" t="s">
        <v>3314</v>
      </c>
      <c r="G565" s="112" t="b">
        <v>1</v>
      </c>
      <c r="H565" s="112" t="b">
        <v>0</v>
      </c>
      <c r="I565" s="112" t="b">
        <v>0</v>
      </c>
      <c r="J565" s="112" t="b">
        <v>0</v>
      </c>
      <c r="K565" s="112" t="b">
        <v>0</v>
      </c>
      <c r="L565" s="112" t="b">
        <v>0</v>
      </c>
    </row>
    <row r="566" spans="1:12" ht="15">
      <c r="A566" s="112" t="s">
        <v>2197</v>
      </c>
      <c r="B566" s="112" t="s">
        <v>2108</v>
      </c>
      <c r="C566" s="112">
        <v>2</v>
      </c>
      <c r="D566" s="114">
        <v>0.0004118981407517484</v>
      </c>
      <c r="E566" s="114">
        <v>1.5579128984665256</v>
      </c>
      <c r="F566" s="112" t="s">
        <v>3314</v>
      </c>
      <c r="G566" s="112" t="b">
        <v>0</v>
      </c>
      <c r="H566" s="112" t="b">
        <v>0</v>
      </c>
      <c r="I566" s="112" t="b">
        <v>0</v>
      </c>
      <c r="J566" s="112" t="b">
        <v>0</v>
      </c>
      <c r="K566" s="112" t="b">
        <v>0</v>
      </c>
      <c r="L566" s="112" t="b">
        <v>0</v>
      </c>
    </row>
    <row r="567" spans="1:12" ht="15">
      <c r="A567" s="112" t="s">
        <v>2197</v>
      </c>
      <c r="B567" s="112" t="s">
        <v>2197</v>
      </c>
      <c r="C567" s="112">
        <v>2</v>
      </c>
      <c r="D567" s="114">
        <v>0.0004118981407517484</v>
      </c>
      <c r="E567" s="114">
        <v>2.053919497346562</v>
      </c>
      <c r="F567" s="112" t="s">
        <v>3314</v>
      </c>
      <c r="G567" s="112" t="b">
        <v>0</v>
      </c>
      <c r="H567" s="112" t="b">
        <v>0</v>
      </c>
      <c r="I567" s="112" t="b">
        <v>0</v>
      </c>
      <c r="J567" s="112" t="b">
        <v>0</v>
      </c>
      <c r="K567" s="112" t="b">
        <v>0</v>
      </c>
      <c r="L567" s="112" t="b">
        <v>0</v>
      </c>
    </row>
    <row r="568" spans="1:12" ht="15">
      <c r="A568" s="112" t="s">
        <v>2197</v>
      </c>
      <c r="B568" s="112" t="s">
        <v>2144</v>
      </c>
      <c r="C568" s="112">
        <v>2</v>
      </c>
      <c r="D568" s="114">
        <v>0.0004118981407517484</v>
      </c>
      <c r="E568" s="114">
        <v>1.7828527250600241</v>
      </c>
      <c r="F568" s="112" t="s">
        <v>3314</v>
      </c>
      <c r="G568" s="112" t="b">
        <v>0</v>
      </c>
      <c r="H568" s="112" t="b">
        <v>0</v>
      </c>
      <c r="I568" s="112" t="b">
        <v>0</v>
      </c>
      <c r="J568" s="112" t="b">
        <v>0</v>
      </c>
      <c r="K568" s="112" t="b">
        <v>0</v>
      </c>
      <c r="L568" s="112" t="b">
        <v>0</v>
      </c>
    </row>
    <row r="569" spans="1:12" ht="15">
      <c r="A569" s="112" t="s">
        <v>2095</v>
      </c>
      <c r="B569" s="112" t="s">
        <v>2312</v>
      </c>
      <c r="C569" s="112">
        <v>2</v>
      </c>
      <c r="D569" s="114">
        <v>0.00036261359660243913</v>
      </c>
      <c r="E569" s="114">
        <v>1.6341997143512823</v>
      </c>
      <c r="F569" s="112" t="s">
        <v>3314</v>
      </c>
      <c r="G569" s="112" t="b">
        <v>0</v>
      </c>
      <c r="H569" s="112" t="b">
        <v>0</v>
      </c>
      <c r="I569" s="112" t="b">
        <v>0</v>
      </c>
      <c r="J569" s="112" t="b">
        <v>0</v>
      </c>
      <c r="K569" s="112" t="b">
        <v>0</v>
      </c>
      <c r="L569" s="112" t="b">
        <v>0</v>
      </c>
    </row>
    <row r="570" spans="1:12" ht="15">
      <c r="A570" s="112" t="s">
        <v>2087</v>
      </c>
      <c r="B570" s="112" t="s">
        <v>2149</v>
      </c>
      <c r="C570" s="112">
        <v>2</v>
      </c>
      <c r="D570" s="114">
        <v>0.0004118981407517484</v>
      </c>
      <c r="E570" s="114">
        <v>0.9625037948819256</v>
      </c>
      <c r="F570" s="112" t="s">
        <v>3314</v>
      </c>
      <c r="G570" s="112" t="b">
        <v>0</v>
      </c>
      <c r="H570" s="112" t="b">
        <v>0</v>
      </c>
      <c r="I570" s="112" t="b">
        <v>0</v>
      </c>
      <c r="J570" s="112" t="b">
        <v>0</v>
      </c>
      <c r="K570" s="112" t="b">
        <v>0</v>
      </c>
      <c r="L570" s="112" t="b">
        <v>0</v>
      </c>
    </row>
    <row r="571" spans="1:12" ht="15">
      <c r="A571" s="112" t="s">
        <v>2344</v>
      </c>
      <c r="B571" s="112" t="s">
        <v>2086</v>
      </c>
      <c r="C571" s="112">
        <v>2</v>
      </c>
      <c r="D571" s="114">
        <v>0.0004118981407517484</v>
      </c>
      <c r="E571" s="114">
        <v>1.4936142541256008</v>
      </c>
      <c r="F571" s="112" t="s">
        <v>3314</v>
      </c>
      <c r="G571" s="112" t="b">
        <v>0</v>
      </c>
      <c r="H571" s="112" t="b">
        <v>0</v>
      </c>
      <c r="I571" s="112" t="b">
        <v>0</v>
      </c>
      <c r="J571" s="112" t="b">
        <v>0</v>
      </c>
      <c r="K571" s="112" t="b">
        <v>0</v>
      </c>
      <c r="L571" s="112" t="b">
        <v>0</v>
      </c>
    </row>
    <row r="572" spans="1:12" ht="15">
      <c r="A572" s="112" t="s">
        <v>2086</v>
      </c>
      <c r="B572" s="112" t="s">
        <v>2235</v>
      </c>
      <c r="C572" s="112">
        <v>2</v>
      </c>
      <c r="D572" s="114">
        <v>0.00036261359660243913</v>
      </c>
      <c r="E572" s="114">
        <v>1.3013223514353065</v>
      </c>
      <c r="F572" s="112" t="s">
        <v>3314</v>
      </c>
      <c r="G572" s="112" t="b">
        <v>0</v>
      </c>
      <c r="H572" s="112" t="b">
        <v>0</v>
      </c>
      <c r="I572" s="112" t="b">
        <v>0</v>
      </c>
      <c r="J572" s="112" t="b">
        <v>0</v>
      </c>
      <c r="K572" s="112" t="b">
        <v>0</v>
      </c>
      <c r="L572" s="112" t="b">
        <v>0</v>
      </c>
    </row>
    <row r="573" spans="1:12" ht="15">
      <c r="A573" s="112" t="s">
        <v>2177</v>
      </c>
      <c r="B573" s="112" t="s">
        <v>2166</v>
      </c>
      <c r="C573" s="112">
        <v>2</v>
      </c>
      <c r="D573" s="114">
        <v>0.00036261359660243913</v>
      </c>
      <c r="E573" s="114">
        <v>1.8446598750382261</v>
      </c>
      <c r="F573" s="112" t="s">
        <v>3314</v>
      </c>
      <c r="G573" s="112" t="b">
        <v>0</v>
      </c>
      <c r="H573" s="112" t="b">
        <v>0</v>
      </c>
      <c r="I573" s="112" t="b">
        <v>0</v>
      </c>
      <c r="J573" s="112" t="b">
        <v>0</v>
      </c>
      <c r="K573" s="112" t="b">
        <v>0</v>
      </c>
      <c r="L573" s="112" t="b">
        <v>0</v>
      </c>
    </row>
    <row r="574" spans="1:12" ht="15">
      <c r="A574" s="112" t="s">
        <v>2189</v>
      </c>
      <c r="B574" s="112" t="s">
        <v>2078</v>
      </c>
      <c r="C574" s="112">
        <v>2</v>
      </c>
      <c r="D574" s="114">
        <v>0.00036261359660243913</v>
      </c>
      <c r="E574" s="114">
        <v>0.7879791756973893</v>
      </c>
      <c r="F574" s="112" t="s">
        <v>3314</v>
      </c>
      <c r="G574" s="112" t="b">
        <v>0</v>
      </c>
      <c r="H574" s="112" t="b">
        <v>0</v>
      </c>
      <c r="I574" s="112" t="b">
        <v>0</v>
      </c>
      <c r="J574" s="112" t="b">
        <v>0</v>
      </c>
      <c r="K574" s="112" t="b">
        <v>0</v>
      </c>
      <c r="L574" s="112" t="b">
        <v>0</v>
      </c>
    </row>
    <row r="575" spans="1:12" ht="15">
      <c r="A575" s="112" t="s">
        <v>2388</v>
      </c>
      <c r="B575" s="112" t="s">
        <v>2211</v>
      </c>
      <c r="C575" s="112">
        <v>2</v>
      </c>
      <c r="D575" s="114">
        <v>0.0004118981407517484</v>
      </c>
      <c r="E575" s="114">
        <v>2.484044189390001</v>
      </c>
      <c r="F575" s="112" t="s">
        <v>3314</v>
      </c>
      <c r="G575" s="112" t="b">
        <v>1</v>
      </c>
      <c r="H575" s="112" t="b">
        <v>0</v>
      </c>
      <c r="I575" s="112" t="b">
        <v>0</v>
      </c>
      <c r="J575" s="112" t="b">
        <v>0</v>
      </c>
      <c r="K575" s="112" t="b">
        <v>0</v>
      </c>
      <c r="L575" s="112" t="b">
        <v>0</v>
      </c>
    </row>
    <row r="576" spans="1:12" ht="15">
      <c r="A576" s="112" t="s">
        <v>2086</v>
      </c>
      <c r="B576" s="112" t="s">
        <v>2639</v>
      </c>
      <c r="C576" s="112">
        <v>2</v>
      </c>
      <c r="D576" s="114">
        <v>0.00036261359660243913</v>
      </c>
      <c r="E576" s="114">
        <v>1.8655937818738693</v>
      </c>
      <c r="F576" s="112" t="s">
        <v>3314</v>
      </c>
      <c r="G576" s="112" t="b">
        <v>0</v>
      </c>
      <c r="H576" s="112" t="b">
        <v>0</v>
      </c>
      <c r="I576" s="112" t="b">
        <v>0</v>
      </c>
      <c r="J576" s="112" t="b">
        <v>0</v>
      </c>
      <c r="K576" s="112" t="b">
        <v>0</v>
      </c>
      <c r="L576" s="112" t="b">
        <v>0</v>
      </c>
    </row>
    <row r="577" spans="1:12" ht="15">
      <c r="A577" s="112" t="s">
        <v>2212</v>
      </c>
      <c r="B577" s="112" t="s">
        <v>2212</v>
      </c>
      <c r="C577" s="112">
        <v>2</v>
      </c>
      <c r="D577" s="114">
        <v>0.0004118981407517484</v>
      </c>
      <c r="E577" s="114">
        <v>2.1830141937260197</v>
      </c>
      <c r="F577" s="112" t="s">
        <v>3314</v>
      </c>
      <c r="G577" s="112" t="b">
        <v>0</v>
      </c>
      <c r="H577" s="112" t="b">
        <v>0</v>
      </c>
      <c r="I577" s="112" t="b">
        <v>0</v>
      </c>
      <c r="J577" s="112" t="b">
        <v>0</v>
      </c>
      <c r="K577" s="112" t="b">
        <v>0</v>
      </c>
      <c r="L577" s="112" t="b">
        <v>0</v>
      </c>
    </row>
    <row r="578" spans="1:12" ht="15">
      <c r="A578" s="112" t="s">
        <v>2850</v>
      </c>
      <c r="B578" s="112" t="s">
        <v>2191</v>
      </c>
      <c r="C578" s="112">
        <v>2</v>
      </c>
      <c r="D578" s="114">
        <v>0.0004118981407517484</v>
      </c>
      <c r="E578" s="114">
        <v>2.8709888137605755</v>
      </c>
      <c r="F578" s="112" t="s">
        <v>3314</v>
      </c>
      <c r="G578" s="112" t="b">
        <v>0</v>
      </c>
      <c r="H578" s="112" t="b">
        <v>0</v>
      </c>
      <c r="I578" s="112" t="b">
        <v>0</v>
      </c>
      <c r="J578" s="112" t="b">
        <v>0</v>
      </c>
      <c r="K578" s="112" t="b">
        <v>0</v>
      </c>
      <c r="L578" s="112" t="b">
        <v>0</v>
      </c>
    </row>
    <row r="579" spans="1:12" ht="15">
      <c r="A579" s="112" t="s">
        <v>2191</v>
      </c>
      <c r="B579" s="112" t="s">
        <v>2389</v>
      </c>
      <c r="C579" s="112">
        <v>2</v>
      </c>
      <c r="D579" s="114">
        <v>0.0004118981407517484</v>
      </c>
      <c r="E579" s="114">
        <v>2.393867559040913</v>
      </c>
      <c r="F579" s="112" t="s">
        <v>3314</v>
      </c>
      <c r="G579" s="112" t="b">
        <v>0</v>
      </c>
      <c r="H579" s="112" t="b">
        <v>0</v>
      </c>
      <c r="I579" s="112" t="b">
        <v>0</v>
      </c>
      <c r="J579" s="112" t="b">
        <v>0</v>
      </c>
      <c r="K579" s="112" t="b">
        <v>0</v>
      </c>
      <c r="L579" s="112" t="b">
        <v>0</v>
      </c>
    </row>
    <row r="580" spans="1:12" ht="15">
      <c r="A580" s="112" t="s">
        <v>2502</v>
      </c>
      <c r="B580" s="112" t="s">
        <v>2629</v>
      </c>
      <c r="C580" s="112">
        <v>2</v>
      </c>
      <c r="D580" s="114">
        <v>0.0004118981407517484</v>
      </c>
      <c r="E580" s="114">
        <v>3.2969575460328566</v>
      </c>
      <c r="F580" s="112" t="s">
        <v>3314</v>
      </c>
      <c r="G580" s="112" t="b">
        <v>0</v>
      </c>
      <c r="H580" s="112" t="b">
        <v>0</v>
      </c>
      <c r="I580" s="112" t="b">
        <v>0</v>
      </c>
      <c r="J580" s="112" t="b">
        <v>0</v>
      </c>
      <c r="K580" s="112" t="b">
        <v>0</v>
      </c>
      <c r="L580" s="112" t="b">
        <v>0</v>
      </c>
    </row>
    <row r="581" spans="1:12" ht="15">
      <c r="A581" s="112" t="s">
        <v>2629</v>
      </c>
      <c r="B581" s="112" t="s">
        <v>2520</v>
      </c>
      <c r="C581" s="112">
        <v>2</v>
      </c>
      <c r="D581" s="114">
        <v>0.0004118981407517484</v>
      </c>
      <c r="E581" s="114">
        <v>3.2969575460328566</v>
      </c>
      <c r="F581" s="112" t="s">
        <v>3314</v>
      </c>
      <c r="G581" s="112" t="b">
        <v>0</v>
      </c>
      <c r="H581" s="112" t="b">
        <v>0</v>
      </c>
      <c r="I581" s="112" t="b">
        <v>0</v>
      </c>
      <c r="J581" s="112" t="b">
        <v>0</v>
      </c>
      <c r="K581" s="112" t="b">
        <v>0</v>
      </c>
      <c r="L581" s="112" t="b">
        <v>0</v>
      </c>
    </row>
    <row r="582" spans="1:12" ht="15">
      <c r="A582" s="112" t="s">
        <v>2520</v>
      </c>
      <c r="B582" s="112" t="s">
        <v>2078</v>
      </c>
      <c r="C582" s="112">
        <v>2</v>
      </c>
      <c r="D582" s="114">
        <v>0.0004118981407517484</v>
      </c>
      <c r="E582" s="114">
        <v>1.2998625366762637</v>
      </c>
      <c r="F582" s="112" t="s">
        <v>3314</v>
      </c>
      <c r="G582" s="112" t="b">
        <v>0</v>
      </c>
      <c r="H582" s="112" t="b">
        <v>0</v>
      </c>
      <c r="I582" s="112" t="b">
        <v>0</v>
      </c>
      <c r="J582" s="112" t="b">
        <v>0</v>
      </c>
      <c r="K582" s="112" t="b">
        <v>0</v>
      </c>
      <c r="L582" s="112" t="b">
        <v>0</v>
      </c>
    </row>
    <row r="583" spans="1:12" ht="15">
      <c r="A583" s="112" t="s">
        <v>2441</v>
      </c>
      <c r="B583" s="112" t="s">
        <v>2384</v>
      </c>
      <c r="C583" s="112">
        <v>2</v>
      </c>
      <c r="D583" s="114">
        <v>0.0004118981407517484</v>
      </c>
      <c r="E583" s="114">
        <v>2.8990175373608187</v>
      </c>
      <c r="F583" s="112" t="s">
        <v>3314</v>
      </c>
      <c r="G583" s="112" t="b">
        <v>0</v>
      </c>
      <c r="H583" s="112" t="b">
        <v>0</v>
      </c>
      <c r="I583" s="112" t="b">
        <v>0</v>
      </c>
      <c r="J583" s="112" t="b">
        <v>0</v>
      </c>
      <c r="K583" s="112" t="b">
        <v>0</v>
      </c>
      <c r="L583" s="112" t="b">
        <v>0</v>
      </c>
    </row>
    <row r="584" spans="1:12" ht="15">
      <c r="A584" s="112" t="s">
        <v>2079</v>
      </c>
      <c r="B584" s="112" t="s">
        <v>2441</v>
      </c>
      <c r="C584" s="112">
        <v>2</v>
      </c>
      <c r="D584" s="114">
        <v>0.0004118981407517484</v>
      </c>
      <c r="E584" s="114">
        <v>1.2757682469629184</v>
      </c>
      <c r="F584" s="112" t="s">
        <v>3314</v>
      </c>
      <c r="G584" s="112" t="b">
        <v>0</v>
      </c>
      <c r="H584" s="112" t="b">
        <v>0</v>
      </c>
      <c r="I584" s="112" t="b">
        <v>0</v>
      </c>
      <c r="J584" s="112" t="b">
        <v>0</v>
      </c>
      <c r="K584" s="112" t="b">
        <v>0</v>
      </c>
      <c r="L584" s="112" t="b">
        <v>0</v>
      </c>
    </row>
    <row r="585" spans="1:12" ht="15">
      <c r="A585" s="112" t="s">
        <v>2255</v>
      </c>
      <c r="B585" s="112" t="s">
        <v>2087</v>
      </c>
      <c r="C585" s="112">
        <v>2</v>
      </c>
      <c r="D585" s="114">
        <v>0.0004118981407517484</v>
      </c>
      <c r="E585" s="114">
        <v>1.3549494930105432</v>
      </c>
      <c r="F585" s="112" t="s">
        <v>3314</v>
      </c>
      <c r="G585" s="112" t="b">
        <v>0</v>
      </c>
      <c r="H585" s="112" t="b">
        <v>0</v>
      </c>
      <c r="I585" s="112" t="b">
        <v>0</v>
      </c>
      <c r="J585" s="112" t="b">
        <v>0</v>
      </c>
      <c r="K585" s="112" t="b">
        <v>0</v>
      </c>
      <c r="L585" s="112" t="b">
        <v>0</v>
      </c>
    </row>
    <row r="586" spans="1:12" ht="15">
      <c r="A586" s="112" t="s">
        <v>2307</v>
      </c>
      <c r="B586" s="112" t="s">
        <v>2149</v>
      </c>
      <c r="C586" s="112">
        <v>2</v>
      </c>
      <c r="D586" s="114">
        <v>0.00036261359660243913</v>
      </c>
      <c r="E586" s="114">
        <v>2.0928375633769316</v>
      </c>
      <c r="F586" s="112" t="s">
        <v>3314</v>
      </c>
      <c r="G586" s="112" t="b">
        <v>0</v>
      </c>
      <c r="H586" s="112" t="b">
        <v>0</v>
      </c>
      <c r="I586" s="112" t="b">
        <v>0</v>
      </c>
      <c r="J586" s="112" t="b">
        <v>0</v>
      </c>
      <c r="K586" s="112" t="b">
        <v>0</v>
      </c>
      <c r="L586" s="112" t="b">
        <v>0</v>
      </c>
    </row>
    <row r="587" spans="1:12" ht="15">
      <c r="A587" s="112" t="s">
        <v>2642</v>
      </c>
      <c r="B587" s="112" t="s">
        <v>2853</v>
      </c>
      <c r="C587" s="112">
        <v>2</v>
      </c>
      <c r="D587" s="114">
        <v>0.00036261359660243913</v>
      </c>
      <c r="E587" s="114">
        <v>3.5979875416968374</v>
      </c>
      <c r="F587" s="112" t="s">
        <v>3314</v>
      </c>
      <c r="G587" s="112" t="b">
        <v>0</v>
      </c>
      <c r="H587" s="112" t="b">
        <v>0</v>
      </c>
      <c r="I587" s="112" t="b">
        <v>0</v>
      </c>
      <c r="J587" s="112" t="b">
        <v>0</v>
      </c>
      <c r="K587" s="112" t="b">
        <v>0</v>
      </c>
      <c r="L587" s="112" t="b">
        <v>0</v>
      </c>
    </row>
    <row r="588" spans="1:12" ht="15">
      <c r="A588" s="112" t="s">
        <v>2087</v>
      </c>
      <c r="B588" s="112" t="s">
        <v>2228</v>
      </c>
      <c r="C588" s="112">
        <v>2</v>
      </c>
      <c r="D588" s="114">
        <v>0.0004118981407517484</v>
      </c>
      <c r="E588" s="114">
        <v>1.2635337905459068</v>
      </c>
      <c r="F588" s="112" t="s">
        <v>3314</v>
      </c>
      <c r="G588" s="112" t="b">
        <v>0</v>
      </c>
      <c r="H588" s="112" t="b">
        <v>0</v>
      </c>
      <c r="I588" s="112" t="b">
        <v>0</v>
      </c>
      <c r="J588" s="112" t="b">
        <v>0</v>
      </c>
      <c r="K588" s="112" t="b">
        <v>1</v>
      </c>
      <c r="L588" s="112" t="b">
        <v>0</v>
      </c>
    </row>
    <row r="589" spans="1:12" ht="15">
      <c r="A589" s="112" t="s">
        <v>2315</v>
      </c>
      <c r="B589" s="112" t="s">
        <v>2192</v>
      </c>
      <c r="C589" s="112">
        <v>2</v>
      </c>
      <c r="D589" s="114">
        <v>0.0004118981407517484</v>
      </c>
      <c r="E589" s="114">
        <v>2.2969575460328566</v>
      </c>
      <c r="F589" s="112" t="s">
        <v>3314</v>
      </c>
      <c r="G589" s="112" t="b">
        <v>0</v>
      </c>
      <c r="H589" s="112" t="b">
        <v>0</v>
      </c>
      <c r="I589" s="112" t="b">
        <v>0</v>
      </c>
      <c r="J589" s="112" t="b">
        <v>0</v>
      </c>
      <c r="K589" s="112" t="b">
        <v>0</v>
      </c>
      <c r="L589" s="112" t="b">
        <v>0</v>
      </c>
    </row>
    <row r="590" spans="1:12" ht="15">
      <c r="A590" s="112" t="s">
        <v>2644</v>
      </c>
      <c r="B590" s="112" t="s">
        <v>2228</v>
      </c>
      <c r="C590" s="112">
        <v>2</v>
      </c>
      <c r="D590" s="114">
        <v>0.0004118981407517484</v>
      </c>
      <c r="E590" s="114">
        <v>2.819836291313194</v>
      </c>
      <c r="F590" s="112" t="s">
        <v>3314</v>
      </c>
      <c r="G590" s="112" t="b">
        <v>0</v>
      </c>
      <c r="H590" s="112" t="b">
        <v>0</v>
      </c>
      <c r="I590" s="112" t="b">
        <v>0</v>
      </c>
      <c r="J590" s="112" t="b">
        <v>0</v>
      </c>
      <c r="K590" s="112" t="b">
        <v>1</v>
      </c>
      <c r="L590" s="112" t="b">
        <v>0</v>
      </c>
    </row>
    <row r="591" spans="1:12" ht="15">
      <c r="A591" s="112" t="s">
        <v>2151</v>
      </c>
      <c r="B591" s="112" t="s">
        <v>2143</v>
      </c>
      <c r="C591" s="112">
        <v>2</v>
      </c>
      <c r="D591" s="114">
        <v>0.0004118981407517484</v>
      </c>
      <c r="E591" s="114">
        <v>1.5487695190266562</v>
      </c>
      <c r="F591" s="112" t="s">
        <v>3314</v>
      </c>
      <c r="G591" s="112" t="b">
        <v>0</v>
      </c>
      <c r="H591" s="112" t="b">
        <v>0</v>
      </c>
      <c r="I591" s="112" t="b">
        <v>0</v>
      </c>
      <c r="J591" s="112" t="b">
        <v>0</v>
      </c>
      <c r="K591" s="112" t="b">
        <v>0</v>
      </c>
      <c r="L591" s="112" t="b">
        <v>0</v>
      </c>
    </row>
    <row r="592" spans="1:12" ht="15">
      <c r="A592" s="112" t="s">
        <v>2143</v>
      </c>
      <c r="B592" s="112" t="s">
        <v>2143</v>
      </c>
      <c r="C592" s="112">
        <v>2</v>
      </c>
      <c r="D592" s="114">
        <v>0.00036261359660243913</v>
      </c>
      <c r="E592" s="114">
        <v>1.4818227293960429</v>
      </c>
      <c r="F592" s="112" t="s">
        <v>3314</v>
      </c>
      <c r="G592" s="112" t="b">
        <v>0</v>
      </c>
      <c r="H592" s="112" t="b">
        <v>0</v>
      </c>
      <c r="I592" s="112" t="b">
        <v>0</v>
      </c>
      <c r="J592" s="112" t="b">
        <v>0</v>
      </c>
      <c r="K592" s="112" t="b">
        <v>0</v>
      </c>
      <c r="L592" s="112" t="b">
        <v>0</v>
      </c>
    </row>
    <row r="593" spans="1:12" ht="15">
      <c r="A593" s="112" t="s">
        <v>2855</v>
      </c>
      <c r="B593" s="112" t="s">
        <v>2443</v>
      </c>
      <c r="C593" s="112">
        <v>2</v>
      </c>
      <c r="D593" s="114">
        <v>0.0004118981407517484</v>
      </c>
      <c r="E593" s="114">
        <v>3.3761387920804813</v>
      </c>
      <c r="F593" s="112" t="s">
        <v>3314</v>
      </c>
      <c r="G593" s="112" t="b">
        <v>0</v>
      </c>
      <c r="H593" s="112" t="b">
        <v>0</v>
      </c>
      <c r="I593" s="112" t="b">
        <v>0</v>
      </c>
      <c r="J593" s="112" t="b">
        <v>0</v>
      </c>
      <c r="K593" s="112" t="b">
        <v>0</v>
      </c>
      <c r="L593" s="112" t="b">
        <v>0</v>
      </c>
    </row>
    <row r="594" spans="1:12" ht="15">
      <c r="A594" s="112" t="s">
        <v>2095</v>
      </c>
      <c r="B594" s="112" t="s">
        <v>2151</v>
      </c>
      <c r="C594" s="112">
        <v>2</v>
      </c>
      <c r="D594" s="114">
        <v>0.0004118981407517484</v>
      </c>
      <c r="E594" s="114">
        <v>1.15707845963162</v>
      </c>
      <c r="F594" s="112" t="s">
        <v>3314</v>
      </c>
      <c r="G594" s="112" t="b">
        <v>0</v>
      </c>
      <c r="H594" s="112" t="b">
        <v>0</v>
      </c>
      <c r="I594" s="112" t="b">
        <v>0</v>
      </c>
      <c r="J594" s="112" t="b">
        <v>0</v>
      </c>
      <c r="K594" s="112" t="b">
        <v>0</v>
      </c>
      <c r="L594" s="112" t="b">
        <v>0</v>
      </c>
    </row>
    <row r="595" spans="1:12" ht="15">
      <c r="A595" s="112" t="s">
        <v>2314</v>
      </c>
      <c r="B595" s="112" t="s">
        <v>2646</v>
      </c>
      <c r="C595" s="112">
        <v>2</v>
      </c>
      <c r="D595" s="114">
        <v>0.00036261359660243913</v>
      </c>
      <c r="E595" s="114">
        <v>2.9959275503688754</v>
      </c>
      <c r="F595" s="112" t="s">
        <v>3314</v>
      </c>
      <c r="G595" s="112" t="b">
        <v>0</v>
      </c>
      <c r="H595" s="112" t="b">
        <v>0</v>
      </c>
      <c r="I595" s="112" t="b">
        <v>0</v>
      </c>
      <c r="J595" s="112" t="b">
        <v>0</v>
      </c>
      <c r="K595" s="112" t="b">
        <v>0</v>
      </c>
      <c r="L595" s="112" t="b">
        <v>0</v>
      </c>
    </row>
    <row r="596" spans="1:12" ht="15">
      <c r="A596" s="112" t="s">
        <v>2646</v>
      </c>
      <c r="B596" s="112" t="s">
        <v>2443</v>
      </c>
      <c r="C596" s="112">
        <v>2</v>
      </c>
      <c r="D596" s="114">
        <v>0.00036261359660243913</v>
      </c>
      <c r="E596" s="114">
        <v>3.2000475330248</v>
      </c>
      <c r="F596" s="112" t="s">
        <v>3314</v>
      </c>
      <c r="G596" s="112" t="b">
        <v>0</v>
      </c>
      <c r="H596" s="112" t="b">
        <v>0</v>
      </c>
      <c r="I596" s="112" t="b">
        <v>0</v>
      </c>
      <c r="J596" s="112" t="b">
        <v>0</v>
      </c>
      <c r="K596" s="112" t="b">
        <v>0</v>
      </c>
      <c r="L596" s="112" t="b">
        <v>0</v>
      </c>
    </row>
    <row r="597" spans="1:12" ht="15">
      <c r="A597" s="112" t="s">
        <v>2283</v>
      </c>
      <c r="B597" s="112" t="s">
        <v>2647</v>
      </c>
      <c r="C597" s="112">
        <v>2</v>
      </c>
      <c r="D597" s="114">
        <v>0.0004118981407517484</v>
      </c>
      <c r="E597" s="114">
        <v>2.9959275503688754</v>
      </c>
      <c r="F597" s="112" t="s">
        <v>3314</v>
      </c>
      <c r="G597" s="112" t="b">
        <v>0</v>
      </c>
      <c r="H597" s="112" t="b">
        <v>0</v>
      </c>
      <c r="I597" s="112" t="b">
        <v>0</v>
      </c>
      <c r="J597" s="112" t="b">
        <v>0</v>
      </c>
      <c r="K597" s="112" t="b">
        <v>0</v>
      </c>
      <c r="L597" s="112" t="b">
        <v>0</v>
      </c>
    </row>
    <row r="598" spans="1:12" ht="15">
      <c r="A598" s="112" t="s">
        <v>2647</v>
      </c>
      <c r="B598" s="112" t="s">
        <v>2260</v>
      </c>
      <c r="C598" s="112">
        <v>2</v>
      </c>
      <c r="D598" s="114">
        <v>0.0004118981407517484</v>
      </c>
      <c r="E598" s="114">
        <v>2.944775027921494</v>
      </c>
      <c r="F598" s="112" t="s">
        <v>3314</v>
      </c>
      <c r="G598" s="112" t="b">
        <v>0</v>
      </c>
      <c r="H598" s="112" t="b">
        <v>0</v>
      </c>
      <c r="I598" s="112" t="b">
        <v>0</v>
      </c>
      <c r="J598" s="112" t="b">
        <v>0</v>
      </c>
      <c r="K598" s="112" t="b">
        <v>0</v>
      </c>
      <c r="L598" s="112" t="b">
        <v>0</v>
      </c>
    </row>
    <row r="599" spans="1:12" ht="15">
      <c r="A599" s="112" t="s">
        <v>2283</v>
      </c>
      <c r="B599" s="112" t="s">
        <v>2242</v>
      </c>
      <c r="C599" s="112">
        <v>2</v>
      </c>
      <c r="D599" s="114">
        <v>0.0004118981407517484</v>
      </c>
      <c r="E599" s="114">
        <v>2.4316561199303126</v>
      </c>
      <c r="F599" s="112" t="s">
        <v>3314</v>
      </c>
      <c r="G599" s="112" t="b">
        <v>0</v>
      </c>
      <c r="H599" s="112" t="b">
        <v>0</v>
      </c>
      <c r="I599" s="112" t="b">
        <v>0</v>
      </c>
      <c r="J599" s="112" t="b">
        <v>0</v>
      </c>
      <c r="K599" s="112" t="b">
        <v>1</v>
      </c>
      <c r="L599" s="112" t="b">
        <v>0</v>
      </c>
    </row>
    <row r="600" spans="1:12" ht="15">
      <c r="A600" s="112" t="s">
        <v>2242</v>
      </c>
      <c r="B600" s="112" t="s">
        <v>2260</v>
      </c>
      <c r="C600" s="112">
        <v>2</v>
      </c>
      <c r="D600" s="114">
        <v>0.0004118981407517484</v>
      </c>
      <c r="E600" s="114">
        <v>2.380503597482931</v>
      </c>
      <c r="F600" s="112" t="s">
        <v>3314</v>
      </c>
      <c r="G600" s="112" t="b">
        <v>0</v>
      </c>
      <c r="H600" s="112" t="b">
        <v>1</v>
      </c>
      <c r="I600" s="112" t="b">
        <v>0</v>
      </c>
      <c r="J600" s="112" t="b">
        <v>0</v>
      </c>
      <c r="K600" s="112" t="b">
        <v>0</v>
      </c>
      <c r="L600" s="112" t="b">
        <v>0</v>
      </c>
    </row>
    <row r="601" spans="1:12" ht="15">
      <c r="A601" s="112" t="s">
        <v>2283</v>
      </c>
      <c r="B601" s="112" t="s">
        <v>2858</v>
      </c>
      <c r="C601" s="112">
        <v>2</v>
      </c>
      <c r="D601" s="114">
        <v>0.0004118981407517484</v>
      </c>
      <c r="E601" s="114">
        <v>3.1720188094245563</v>
      </c>
      <c r="F601" s="112" t="s">
        <v>3314</v>
      </c>
      <c r="G601" s="112" t="b">
        <v>0</v>
      </c>
      <c r="H601" s="112" t="b">
        <v>0</v>
      </c>
      <c r="I601" s="112" t="b">
        <v>0</v>
      </c>
      <c r="J601" s="112" t="b">
        <v>0</v>
      </c>
      <c r="K601" s="112" t="b">
        <v>0</v>
      </c>
      <c r="L601" s="112" t="b">
        <v>0</v>
      </c>
    </row>
    <row r="602" spans="1:12" ht="15">
      <c r="A602" s="112" t="s">
        <v>2150</v>
      </c>
      <c r="B602" s="112" t="s">
        <v>2091</v>
      </c>
      <c r="C602" s="112">
        <v>2</v>
      </c>
      <c r="D602" s="114">
        <v>0.0004118981407517484</v>
      </c>
      <c r="E602" s="114">
        <v>1.0821136979851584</v>
      </c>
      <c r="F602" s="112" t="s">
        <v>3314</v>
      </c>
      <c r="G602" s="112" t="b">
        <v>0</v>
      </c>
      <c r="H602" s="112" t="b">
        <v>0</v>
      </c>
      <c r="I602" s="112" t="b">
        <v>0</v>
      </c>
      <c r="J602" s="112" t="b">
        <v>0</v>
      </c>
      <c r="K602" s="112" t="b">
        <v>0</v>
      </c>
      <c r="L602" s="112" t="b">
        <v>0</v>
      </c>
    </row>
    <row r="603" spans="1:12" ht="15">
      <c r="A603" s="112" t="s">
        <v>2143</v>
      </c>
      <c r="B603" s="112" t="s">
        <v>2091</v>
      </c>
      <c r="C603" s="112">
        <v>2</v>
      </c>
      <c r="D603" s="114">
        <v>0.00036261359660243913</v>
      </c>
      <c r="E603" s="114">
        <v>1.0151669083545454</v>
      </c>
      <c r="F603" s="112" t="s">
        <v>3314</v>
      </c>
      <c r="G603" s="112" t="b">
        <v>0</v>
      </c>
      <c r="H603" s="112" t="b">
        <v>0</v>
      </c>
      <c r="I603" s="112" t="b">
        <v>0</v>
      </c>
      <c r="J603" s="112" t="b">
        <v>0</v>
      </c>
      <c r="K603" s="112" t="b">
        <v>0</v>
      </c>
      <c r="L603" s="112" t="b">
        <v>0</v>
      </c>
    </row>
    <row r="604" spans="1:12" ht="15">
      <c r="A604" s="112" t="s">
        <v>2352</v>
      </c>
      <c r="B604" s="112" t="s">
        <v>2086</v>
      </c>
      <c r="C604" s="112">
        <v>2</v>
      </c>
      <c r="D604" s="114">
        <v>0.00036261359660243913</v>
      </c>
      <c r="E604" s="114">
        <v>1.560561043756214</v>
      </c>
      <c r="F604" s="112" t="s">
        <v>3314</v>
      </c>
      <c r="G604" s="112" t="b">
        <v>0</v>
      </c>
      <c r="H604" s="112" t="b">
        <v>0</v>
      </c>
      <c r="I604" s="112" t="b">
        <v>0</v>
      </c>
      <c r="J604" s="112" t="b">
        <v>0</v>
      </c>
      <c r="K604" s="112" t="b">
        <v>0</v>
      </c>
      <c r="L604" s="112" t="b">
        <v>0</v>
      </c>
    </row>
    <row r="605" spans="1:12" ht="15">
      <c r="A605" s="112" t="s">
        <v>2284</v>
      </c>
      <c r="B605" s="112" t="s">
        <v>2444</v>
      </c>
      <c r="C605" s="112">
        <v>2</v>
      </c>
      <c r="D605" s="114">
        <v>0.0004118981407517484</v>
      </c>
      <c r="E605" s="114">
        <v>2.8709888137605755</v>
      </c>
      <c r="F605" s="112" t="s">
        <v>3314</v>
      </c>
      <c r="G605" s="112" t="b">
        <v>0</v>
      </c>
      <c r="H605" s="112" t="b">
        <v>0</v>
      </c>
      <c r="I605" s="112" t="b">
        <v>0</v>
      </c>
      <c r="J605" s="112" t="b">
        <v>0</v>
      </c>
      <c r="K605" s="112" t="b">
        <v>0</v>
      </c>
      <c r="L605" s="112" t="b">
        <v>0</v>
      </c>
    </row>
    <row r="606" spans="1:12" ht="15">
      <c r="A606" s="112" t="s">
        <v>2393</v>
      </c>
      <c r="B606" s="112" t="s">
        <v>2137</v>
      </c>
      <c r="C606" s="112">
        <v>2</v>
      </c>
      <c r="D606" s="114">
        <v>0.00036261359660243913</v>
      </c>
      <c r="E606" s="114">
        <v>2.0928375633769316</v>
      </c>
      <c r="F606" s="112" t="s">
        <v>3314</v>
      </c>
      <c r="G606" s="112" t="b">
        <v>0</v>
      </c>
      <c r="H606" s="112" t="b">
        <v>0</v>
      </c>
      <c r="I606" s="112" t="b">
        <v>0</v>
      </c>
      <c r="J606" s="112" t="b">
        <v>0</v>
      </c>
      <c r="K606" s="112" t="b">
        <v>0</v>
      </c>
      <c r="L606" s="112" t="b">
        <v>0</v>
      </c>
    </row>
    <row r="607" spans="1:12" ht="15">
      <c r="A607" s="112" t="s">
        <v>2254</v>
      </c>
      <c r="B607" s="112" t="s">
        <v>2172</v>
      </c>
      <c r="C607" s="112">
        <v>2</v>
      </c>
      <c r="D607" s="114">
        <v>0.0004118981407517484</v>
      </c>
      <c r="E607" s="114">
        <v>2.1666237775378505</v>
      </c>
      <c r="F607" s="112" t="s">
        <v>3314</v>
      </c>
      <c r="G607" s="112" t="b">
        <v>0</v>
      </c>
      <c r="H607" s="112" t="b">
        <v>0</v>
      </c>
      <c r="I607" s="112" t="b">
        <v>0</v>
      </c>
      <c r="J607" s="112" t="b">
        <v>0</v>
      </c>
      <c r="K607" s="112" t="b">
        <v>0</v>
      </c>
      <c r="L607" s="112" t="b">
        <v>0</v>
      </c>
    </row>
    <row r="608" spans="1:12" ht="15">
      <c r="A608" s="112" t="s">
        <v>2095</v>
      </c>
      <c r="B608" s="112" t="s">
        <v>2157</v>
      </c>
      <c r="C608" s="112">
        <v>2</v>
      </c>
      <c r="D608" s="114">
        <v>0.00036261359660243913</v>
      </c>
      <c r="E608" s="114">
        <v>1.175561865325633</v>
      </c>
      <c r="F608" s="112" t="s">
        <v>3314</v>
      </c>
      <c r="G608" s="112" t="b">
        <v>0</v>
      </c>
      <c r="H608" s="112" t="b">
        <v>0</v>
      </c>
      <c r="I608" s="112" t="b">
        <v>0</v>
      </c>
      <c r="J608" s="112" t="b">
        <v>0</v>
      </c>
      <c r="K608" s="112" t="b">
        <v>0</v>
      </c>
      <c r="L608" s="112" t="b">
        <v>0</v>
      </c>
    </row>
    <row r="609" spans="1:12" ht="15">
      <c r="A609" s="112" t="s">
        <v>2092</v>
      </c>
      <c r="B609" s="112" t="s">
        <v>2087</v>
      </c>
      <c r="C609" s="112">
        <v>2</v>
      </c>
      <c r="D609" s="114">
        <v>0.00036261359660243913</v>
      </c>
      <c r="E609" s="114">
        <v>0.42553056729625044</v>
      </c>
      <c r="F609" s="112" t="s">
        <v>3314</v>
      </c>
      <c r="G609" s="112" t="b">
        <v>0</v>
      </c>
      <c r="H609" s="112" t="b">
        <v>0</v>
      </c>
      <c r="I609" s="112" t="b">
        <v>0</v>
      </c>
      <c r="J609" s="112" t="b">
        <v>0</v>
      </c>
      <c r="K609" s="112" t="b">
        <v>0</v>
      </c>
      <c r="L609" s="112" t="b">
        <v>0</v>
      </c>
    </row>
    <row r="610" spans="1:12" ht="15">
      <c r="A610" s="112" t="s">
        <v>2258</v>
      </c>
      <c r="B610" s="112" t="s">
        <v>2177</v>
      </c>
      <c r="C610" s="112">
        <v>2</v>
      </c>
      <c r="D610" s="114">
        <v>0.00036261359660243913</v>
      </c>
      <c r="E610" s="114">
        <v>2.145689870702207</v>
      </c>
      <c r="F610" s="112" t="s">
        <v>3314</v>
      </c>
      <c r="G610" s="112" t="b">
        <v>0</v>
      </c>
      <c r="H610" s="112" t="b">
        <v>0</v>
      </c>
      <c r="I610" s="112" t="b">
        <v>0</v>
      </c>
      <c r="J610" s="112" t="b">
        <v>0</v>
      </c>
      <c r="K610" s="112" t="b">
        <v>0</v>
      </c>
      <c r="L610" s="112" t="b">
        <v>0</v>
      </c>
    </row>
    <row r="611" spans="1:12" ht="15">
      <c r="A611" s="112" t="s">
        <v>2098</v>
      </c>
      <c r="B611" s="112" t="s">
        <v>2151</v>
      </c>
      <c r="C611" s="112">
        <v>2</v>
      </c>
      <c r="D611" s="114">
        <v>0.00036261359660243913</v>
      </c>
      <c r="E611" s="114">
        <v>1.2716516807680862</v>
      </c>
      <c r="F611" s="112" t="s">
        <v>3314</v>
      </c>
      <c r="G611" s="112" t="b">
        <v>1</v>
      </c>
      <c r="H611" s="112" t="b">
        <v>0</v>
      </c>
      <c r="I611" s="112" t="b">
        <v>0</v>
      </c>
      <c r="J611" s="112" t="b">
        <v>0</v>
      </c>
      <c r="K611" s="112" t="b">
        <v>0</v>
      </c>
      <c r="L611" s="112" t="b">
        <v>0</v>
      </c>
    </row>
    <row r="612" spans="1:12" ht="15">
      <c r="A612" s="112" t="s">
        <v>2150</v>
      </c>
      <c r="B612" s="112" t="s">
        <v>2151</v>
      </c>
      <c r="C612" s="112">
        <v>2</v>
      </c>
      <c r="D612" s="114">
        <v>0.00036261359660243913</v>
      </c>
      <c r="E612" s="114">
        <v>1.6157163086572692</v>
      </c>
      <c r="F612" s="112" t="s">
        <v>3314</v>
      </c>
      <c r="G612" s="112" t="b">
        <v>0</v>
      </c>
      <c r="H612" s="112" t="b">
        <v>0</v>
      </c>
      <c r="I612" s="112" t="b">
        <v>0</v>
      </c>
      <c r="J612" s="112" t="b">
        <v>0</v>
      </c>
      <c r="K612" s="112" t="b">
        <v>0</v>
      </c>
      <c r="L612" s="112" t="b">
        <v>0</v>
      </c>
    </row>
    <row r="613" spans="1:12" ht="15">
      <c r="A613" s="112" t="s">
        <v>2198</v>
      </c>
      <c r="B613" s="112" t="s">
        <v>2650</v>
      </c>
      <c r="C613" s="112">
        <v>2</v>
      </c>
      <c r="D613" s="114">
        <v>0.00036261359660243913</v>
      </c>
      <c r="E613" s="114">
        <v>2.722926278305138</v>
      </c>
      <c r="F613" s="112" t="s">
        <v>3314</v>
      </c>
      <c r="G613" s="112" t="b">
        <v>0</v>
      </c>
      <c r="H613" s="112" t="b">
        <v>0</v>
      </c>
      <c r="I613" s="112" t="b">
        <v>0</v>
      </c>
      <c r="J613" s="112" t="b">
        <v>0</v>
      </c>
      <c r="K613" s="112" t="b">
        <v>0</v>
      </c>
      <c r="L613" s="112" t="b">
        <v>0</v>
      </c>
    </row>
    <row r="614" spans="1:12" ht="15">
      <c r="A614" s="112" t="s">
        <v>2079</v>
      </c>
      <c r="B614" s="112" t="s">
        <v>2130</v>
      </c>
      <c r="C614" s="112">
        <v>2</v>
      </c>
      <c r="D614" s="114">
        <v>0.0004118981407517484</v>
      </c>
      <c r="E614" s="114">
        <v>0.41843575053164983</v>
      </c>
      <c r="F614" s="112" t="s">
        <v>3314</v>
      </c>
      <c r="G614" s="112" t="b">
        <v>0</v>
      </c>
      <c r="H614" s="112" t="b">
        <v>0</v>
      </c>
      <c r="I614" s="112" t="b">
        <v>0</v>
      </c>
      <c r="J614" s="112" t="b">
        <v>0</v>
      </c>
      <c r="K614" s="112" t="b">
        <v>0</v>
      </c>
      <c r="L614" s="112" t="b">
        <v>0</v>
      </c>
    </row>
    <row r="615" spans="1:12" ht="15">
      <c r="A615" s="112" t="s">
        <v>2353</v>
      </c>
      <c r="B615" s="112" t="s">
        <v>2078</v>
      </c>
      <c r="C615" s="112">
        <v>2</v>
      </c>
      <c r="D615" s="114">
        <v>0.0004118981407517484</v>
      </c>
      <c r="E615" s="114">
        <v>1.1237712776205824</v>
      </c>
      <c r="F615" s="112" t="s">
        <v>3314</v>
      </c>
      <c r="G615" s="112" t="b">
        <v>0</v>
      </c>
      <c r="H615" s="112" t="b">
        <v>0</v>
      </c>
      <c r="I615" s="112" t="b">
        <v>0</v>
      </c>
      <c r="J615" s="112" t="b">
        <v>0</v>
      </c>
      <c r="K615" s="112" t="b">
        <v>0</v>
      </c>
      <c r="L615" s="112" t="b">
        <v>0</v>
      </c>
    </row>
    <row r="616" spans="1:12" ht="15">
      <c r="A616" s="112" t="s">
        <v>2130</v>
      </c>
      <c r="B616" s="112" t="s">
        <v>2152</v>
      </c>
      <c r="C616" s="112">
        <v>2</v>
      </c>
      <c r="D616" s="114">
        <v>0.00036261359660243913</v>
      </c>
      <c r="E616" s="114">
        <v>1.4218962826411563</v>
      </c>
      <c r="F616" s="112" t="s">
        <v>3314</v>
      </c>
      <c r="G616" s="112" t="b">
        <v>0</v>
      </c>
      <c r="H616" s="112" t="b">
        <v>0</v>
      </c>
      <c r="I616" s="112" t="b">
        <v>0</v>
      </c>
      <c r="J616" s="112" t="b">
        <v>0</v>
      </c>
      <c r="K616" s="112" t="b">
        <v>0</v>
      </c>
      <c r="L616" s="112" t="b">
        <v>0</v>
      </c>
    </row>
    <row r="617" spans="1:12" ht="15">
      <c r="A617" s="112" t="s">
        <v>2130</v>
      </c>
      <c r="B617" s="112" t="s">
        <v>2864</v>
      </c>
      <c r="C617" s="112">
        <v>2</v>
      </c>
      <c r="D617" s="114">
        <v>0.00036261359660243913</v>
      </c>
      <c r="E617" s="114">
        <v>2.5188062956492128</v>
      </c>
      <c r="F617" s="112" t="s">
        <v>3314</v>
      </c>
      <c r="G617" s="112" t="b">
        <v>0</v>
      </c>
      <c r="H617" s="112" t="b">
        <v>0</v>
      </c>
      <c r="I617" s="112" t="b">
        <v>0</v>
      </c>
      <c r="J617" s="112" t="b">
        <v>0</v>
      </c>
      <c r="K617" s="112" t="b">
        <v>0</v>
      </c>
      <c r="L617" s="112" t="b">
        <v>0</v>
      </c>
    </row>
    <row r="618" spans="1:12" ht="15">
      <c r="A618" s="112" t="s">
        <v>2078</v>
      </c>
      <c r="B618" s="112" t="s">
        <v>2144</v>
      </c>
      <c r="C618" s="112">
        <v>2</v>
      </c>
      <c r="D618" s="114">
        <v>0.00036261359660243913</v>
      </c>
      <c r="E618" s="114">
        <v>0.4292936781198582</v>
      </c>
      <c r="F618" s="112" t="s">
        <v>3314</v>
      </c>
      <c r="G618" s="112" t="b">
        <v>0</v>
      </c>
      <c r="H618" s="112" t="b">
        <v>0</v>
      </c>
      <c r="I618" s="112" t="b">
        <v>0</v>
      </c>
      <c r="J618" s="112" t="b">
        <v>0</v>
      </c>
      <c r="K618" s="112" t="b">
        <v>0</v>
      </c>
      <c r="L618" s="112" t="b">
        <v>0</v>
      </c>
    </row>
    <row r="619" spans="1:12" ht="15">
      <c r="A619" s="112" t="s">
        <v>2154</v>
      </c>
      <c r="B619" s="112" t="s">
        <v>2523</v>
      </c>
      <c r="C619" s="112">
        <v>2</v>
      </c>
      <c r="D619" s="114">
        <v>0.0004118981407517484</v>
      </c>
      <c r="E619" s="114">
        <v>2.412350964734926</v>
      </c>
      <c r="F619" s="112" t="s">
        <v>3314</v>
      </c>
      <c r="G619" s="112" t="b">
        <v>0</v>
      </c>
      <c r="H619" s="112" t="b">
        <v>0</v>
      </c>
      <c r="I619" s="112" t="b">
        <v>0</v>
      </c>
      <c r="J619" s="112" t="b">
        <v>0</v>
      </c>
      <c r="K619" s="112" t="b">
        <v>0</v>
      </c>
      <c r="L619" s="112" t="b">
        <v>0</v>
      </c>
    </row>
    <row r="620" spans="1:12" ht="15">
      <c r="A620" s="112" t="s">
        <v>2523</v>
      </c>
      <c r="B620" s="112" t="s">
        <v>2652</v>
      </c>
      <c r="C620" s="112">
        <v>2</v>
      </c>
      <c r="D620" s="114">
        <v>0.0004118981407517484</v>
      </c>
      <c r="E620" s="114">
        <v>3.2969575460328566</v>
      </c>
      <c r="F620" s="112" t="s">
        <v>3314</v>
      </c>
      <c r="G620" s="112" t="b">
        <v>0</v>
      </c>
      <c r="H620" s="112" t="b">
        <v>0</v>
      </c>
      <c r="I620" s="112" t="b">
        <v>0</v>
      </c>
      <c r="J620" s="112" t="b">
        <v>0</v>
      </c>
      <c r="K620" s="112" t="b">
        <v>0</v>
      </c>
      <c r="L620" s="112" t="b">
        <v>0</v>
      </c>
    </row>
    <row r="621" spans="1:12" ht="15">
      <c r="A621" s="112" t="s">
        <v>2652</v>
      </c>
      <c r="B621" s="112" t="s">
        <v>2237</v>
      </c>
      <c r="C621" s="112">
        <v>2</v>
      </c>
      <c r="D621" s="114">
        <v>0.0004118981407517484</v>
      </c>
      <c r="E621" s="114">
        <v>2.8576248522025938</v>
      </c>
      <c r="F621" s="112" t="s">
        <v>3314</v>
      </c>
      <c r="G621" s="112" t="b">
        <v>0</v>
      </c>
      <c r="H621" s="112" t="b">
        <v>0</v>
      </c>
      <c r="I621" s="112" t="b">
        <v>0</v>
      </c>
      <c r="J621" s="112" t="b">
        <v>0</v>
      </c>
      <c r="K621" s="112" t="b">
        <v>0</v>
      </c>
      <c r="L621" s="112" t="b">
        <v>0</v>
      </c>
    </row>
    <row r="622" spans="1:12" ht="15">
      <c r="A622" s="112" t="s">
        <v>2869</v>
      </c>
      <c r="B622" s="112" t="s">
        <v>2237</v>
      </c>
      <c r="C622" s="112">
        <v>2</v>
      </c>
      <c r="D622" s="114">
        <v>0.0004118981407517484</v>
      </c>
      <c r="E622" s="114">
        <v>3.033716111258275</v>
      </c>
      <c r="F622" s="112" t="s">
        <v>3314</v>
      </c>
      <c r="G622" s="112" t="b">
        <v>0</v>
      </c>
      <c r="H622" s="112" t="b">
        <v>0</v>
      </c>
      <c r="I622" s="112" t="b">
        <v>0</v>
      </c>
      <c r="J622" s="112" t="b">
        <v>0</v>
      </c>
      <c r="K622" s="112" t="b">
        <v>0</v>
      </c>
      <c r="L622" s="112" t="b">
        <v>0</v>
      </c>
    </row>
    <row r="623" spans="1:12" ht="15">
      <c r="A623" s="112" t="s">
        <v>2106</v>
      </c>
      <c r="B623" s="112" t="s">
        <v>2087</v>
      </c>
      <c r="C623" s="112">
        <v>2</v>
      </c>
      <c r="D623" s="114">
        <v>0.00036261359660243913</v>
      </c>
      <c r="E623" s="114">
        <v>0.6828516350748257</v>
      </c>
      <c r="F623" s="112" t="s">
        <v>3314</v>
      </c>
      <c r="G623" s="112" t="b">
        <v>0</v>
      </c>
      <c r="H623" s="112" t="b">
        <v>0</v>
      </c>
      <c r="I623" s="112" t="b">
        <v>0</v>
      </c>
      <c r="J623" s="112" t="b">
        <v>0</v>
      </c>
      <c r="K623" s="112" t="b">
        <v>0</v>
      </c>
      <c r="L623" s="112" t="b">
        <v>0</v>
      </c>
    </row>
    <row r="624" spans="1:12" ht="15">
      <c r="A624" s="112" t="s">
        <v>2309</v>
      </c>
      <c r="B624" s="112" t="s">
        <v>2239</v>
      </c>
      <c r="C624" s="112">
        <v>2</v>
      </c>
      <c r="D624" s="114">
        <v>0.0004118981407517484</v>
      </c>
      <c r="E624" s="114">
        <v>2.4316561199303126</v>
      </c>
      <c r="F624" s="112" t="s">
        <v>3314</v>
      </c>
      <c r="G624" s="112" t="b">
        <v>0</v>
      </c>
      <c r="H624" s="112" t="b">
        <v>0</v>
      </c>
      <c r="I624" s="112" t="b">
        <v>0</v>
      </c>
      <c r="J624" s="112" t="b">
        <v>0</v>
      </c>
      <c r="K624" s="112" t="b">
        <v>0</v>
      </c>
      <c r="L624" s="112" t="b">
        <v>0</v>
      </c>
    </row>
    <row r="625" spans="1:12" ht="15">
      <c r="A625" s="112" t="s">
        <v>2244</v>
      </c>
      <c r="B625" s="112" t="s">
        <v>2244</v>
      </c>
      <c r="C625" s="112">
        <v>2</v>
      </c>
      <c r="D625" s="114">
        <v>0.0004118981407517484</v>
      </c>
      <c r="E625" s="114">
        <v>2.293353421764031</v>
      </c>
      <c r="F625" s="112" t="s">
        <v>3314</v>
      </c>
      <c r="G625" s="112" t="b">
        <v>0</v>
      </c>
      <c r="H625" s="112" t="b">
        <v>0</v>
      </c>
      <c r="I625" s="112" t="b">
        <v>0</v>
      </c>
      <c r="J625" s="112" t="b">
        <v>0</v>
      </c>
      <c r="K625" s="112" t="b">
        <v>0</v>
      </c>
      <c r="L625" s="112" t="b">
        <v>0</v>
      </c>
    </row>
    <row r="626" spans="1:12" ht="15">
      <c r="A626" s="112" t="s">
        <v>2089</v>
      </c>
      <c r="B626" s="112" t="s">
        <v>2213</v>
      </c>
      <c r="C626" s="112">
        <v>2</v>
      </c>
      <c r="D626" s="114">
        <v>0.0004118981407517484</v>
      </c>
      <c r="E626" s="114">
        <v>1.303154047452551</v>
      </c>
      <c r="F626" s="112" t="s">
        <v>3314</v>
      </c>
      <c r="G626" s="112" t="b">
        <v>0</v>
      </c>
      <c r="H626" s="112" t="b">
        <v>0</v>
      </c>
      <c r="I626" s="112" t="b">
        <v>0</v>
      </c>
      <c r="J626" s="112" t="b">
        <v>0</v>
      </c>
      <c r="K626" s="112" t="b">
        <v>1</v>
      </c>
      <c r="L626" s="112" t="b">
        <v>0</v>
      </c>
    </row>
    <row r="627" spans="1:12" ht="15">
      <c r="A627" s="112" t="s">
        <v>2395</v>
      </c>
      <c r="B627" s="112" t="s">
        <v>2871</v>
      </c>
      <c r="C627" s="112">
        <v>2</v>
      </c>
      <c r="D627" s="114">
        <v>0.00036261359660243913</v>
      </c>
      <c r="E627" s="114">
        <v>3.2969575460328566</v>
      </c>
      <c r="F627" s="112" t="s">
        <v>3314</v>
      </c>
      <c r="G627" s="112" t="b">
        <v>0</v>
      </c>
      <c r="H627" s="112" t="b">
        <v>0</v>
      </c>
      <c r="I627" s="112" t="b">
        <v>0</v>
      </c>
      <c r="J627" s="112" t="b">
        <v>0</v>
      </c>
      <c r="K627" s="112" t="b">
        <v>0</v>
      </c>
      <c r="L627" s="112" t="b">
        <v>0</v>
      </c>
    </row>
    <row r="628" spans="1:12" ht="15">
      <c r="A628" s="112" t="s">
        <v>2263</v>
      </c>
      <c r="B628" s="112" t="s">
        <v>2106</v>
      </c>
      <c r="C628" s="112">
        <v>2</v>
      </c>
      <c r="D628" s="114">
        <v>0.00036261359660243913</v>
      </c>
      <c r="E628" s="114">
        <v>1.7229262783051376</v>
      </c>
      <c r="F628" s="112" t="s">
        <v>3314</v>
      </c>
      <c r="G628" s="112" t="b">
        <v>0</v>
      </c>
      <c r="H628" s="112" t="b">
        <v>0</v>
      </c>
      <c r="I628" s="112" t="b">
        <v>0</v>
      </c>
      <c r="J628" s="112" t="b">
        <v>0</v>
      </c>
      <c r="K628" s="112" t="b">
        <v>0</v>
      </c>
      <c r="L628" s="112" t="b">
        <v>0</v>
      </c>
    </row>
    <row r="629" spans="1:12" ht="15">
      <c r="A629" s="112" t="s">
        <v>2314</v>
      </c>
      <c r="B629" s="112" t="s">
        <v>2078</v>
      </c>
      <c r="C629" s="112">
        <v>2</v>
      </c>
      <c r="D629" s="114">
        <v>0.00036261359660243913</v>
      </c>
      <c r="E629" s="114">
        <v>0.9988325410122825</v>
      </c>
      <c r="F629" s="112" t="s">
        <v>3314</v>
      </c>
      <c r="G629" s="112" t="b">
        <v>0</v>
      </c>
      <c r="H629" s="112" t="b">
        <v>0</v>
      </c>
      <c r="I629" s="112" t="b">
        <v>0</v>
      </c>
      <c r="J629" s="112" t="b">
        <v>0</v>
      </c>
      <c r="K629" s="112" t="b">
        <v>0</v>
      </c>
      <c r="L629" s="112" t="b">
        <v>0</v>
      </c>
    </row>
    <row r="630" spans="1:12" ht="15">
      <c r="A630" s="112" t="s">
        <v>2087</v>
      </c>
      <c r="B630" s="112" t="s">
        <v>2087</v>
      </c>
      <c r="C630" s="112">
        <v>2</v>
      </c>
      <c r="D630" s="114">
        <v>0.00036261359660243913</v>
      </c>
      <c r="E630" s="114">
        <v>0.3215257375235934</v>
      </c>
      <c r="F630" s="112" t="s">
        <v>3314</v>
      </c>
      <c r="G630" s="112" t="b">
        <v>0</v>
      </c>
      <c r="H630" s="112" t="b">
        <v>0</v>
      </c>
      <c r="I630" s="112" t="b">
        <v>0</v>
      </c>
      <c r="J630" s="112" t="b">
        <v>0</v>
      </c>
      <c r="K630" s="112" t="b">
        <v>0</v>
      </c>
      <c r="L630" s="112" t="b">
        <v>0</v>
      </c>
    </row>
    <row r="631" spans="1:12" ht="15">
      <c r="A631" s="112" t="s">
        <v>2166</v>
      </c>
      <c r="B631" s="112" t="s">
        <v>2143</v>
      </c>
      <c r="C631" s="112">
        <v>2</v>
      </c>
      <c r="D631" s="114">
        <v>0.00036261359660243913</v>
      </c>
      <c r="E631" s="114">
        <v>1.6279507650742808</v>
      </c>
      <c r="F631" s="112" t="s">
        <v>3314</v>
      </c>
      <c r="G631" s="112" t="b">
        <v>0</v>
      </c>
      <c r="H631" s="112" t="b">
        <v>0</v>
      </c>
      <c r="I631" s="112" t="b">
        <v>0</v>
      </c>
      <c r="J631" s="112" t="b">
        <v>0</v>
      </c>
      <c r="K631" s="112" t="b">
        <v>0</v>
      </c>
      <c r="L631" s="112" t="b">
        <v>0</v>
      </c>
    </row>
    <row r="632" spans="1:12" ht="15">
      <c r="A632" s="112" t="s">
        <v>2874</v>
      </c>
      <c r="B632" s="112" t="s">
        <v>2528</v>
      </c>
      <c r="C632" s="112">
        <v>2</v>
      </c>
      <c r="D632" s="114">
        <v>0.00036261359660243913</v>
      </c>
      <c r="E632" s="114">
        <v>3.4730488050885375</v>
      </c>
      <c r="F632" s="112" t="s">
        <v>3314</v>
      </c>
      <c r="G632" s="112" t="b">
        <v>0</v>
      </c>
      <c r="H632" s="112" t="b">
        <v>0</v>
      </c>
      <c r="I632" s="112" t="b">
        <v>0</v>
      </c>
      <c r="J632" s="112" t="b">
        <v>0</v>
      </c>
      <c r="K632" s="112" t="b">
        <v>0</v>
      </c>
      <c r="L632" s="112" t="b">
        <v>0</v>
      </c>
    </row>
    <row r="633" spans="1:12" ht="15">
      <c r="A633" s="112" t="s">
        <v>2086</v>
      </c>
      <c r="B633" s="112" t="s">
        <v>2530</v>
      </c>
      <c r="C633" s="112">
        <v>2</v>
      </c>
      <c r="D633" s="114">
        <v>0.00036261359660243913</v>
      </c>
      <c r="E633" s="114">
        <v>1.7406550452655691</v>
      </c>
      <c r="F633" s="112" t="s">
        <v>3314</v>
      </c>
      <c r="G633" s="112" t="b">
        <v>0</v>
      </c>
      <c r="H633" s="112" t="b">
        <v>0</v>
      </c>
      <c r="I633" s="112" t="b">
        <v>0</v>
      </c>
      <c r="J633" s="112" t="b">
        <v>0</v>
      </c>
      <c r="K633" s="112" t="b">
        <v>0</v>
      </c>
      <c r="L633" s="112" t="b">
        <v>0</v>
      </c>
    </row>
    <row r="634" spans="1:12" ht="15">
      <c r="A634" s="112" t="s">
        <v>2087</v>
      </c>
      <c r="B634" s="112" t="s">
        <v>2106</v>
      </c>
      <c r="C634" s="112">
        <v>2</v>
      </c>
      <c r="D634" s="114">
        <v>0.00036261359660243913</v>
      </c>
      <c r="E634" s="114">
        <v>0.6437450322575128</v>
      </c>
      <c r="F634" s="112" t="s">
        <v>3314</v>
      </c>
      <c r="G634" s="112" t="b">
        <v>0</v>
      </c>
      <c r="H634" s="112" t="b">
        <v>0</v>
      </c>
      <c r="I634" s="112" t="b">
        <v>0</v>
      </c>
      <c r="J634" s="112" t="b">
        <v>0</v>
      </c>
      <c r="K634" s="112" t="b">
        <v>0</v>
      </c>
      <c r="L634" s="112" t="b">
        <v>0</v>
      </c>
    </row>
    <row r="635" spans="1:12" ht="15">
      <c r="A635" s="112" t="s">
        <v>2241</v>
      </c>
      <c r="B635" s="112" t="s">
        <v>2876</v>
      </c>
      <c r="C635" s="112">
        <v>2</v>
      </c>
      <c r="D635" s="114">
        <v>0.00036261359660243913</v>
      </c>
      <c r="E635" s="114">
        <v>3.033716111258275</v>
      </c>
      <c r="F635" s="112" t="s">
        <v>3314</v>
      </c>
      <c r="G635" s="112" t="b">
        <v>0</v>
      </c>
      <c r="H635" s="112" t="b">
        <v>0</v>
      </c>
      <c r="I635" s="112" t="b">
        <v>0</v>
      </c>
      <c r="J635" s="112" t="b">
        <v>0</v>
      </c>
      <c r="K635" s="112" t="b">
        <v>0</v>
      </c>
      <c r="L635" s="112" t="b">
        <v>0</v>
      </c>
    </row>
    <row r="636" spans="1:12" ht="15">
      <c r="A636" s="112" t="s">
        <v>2206</v>
      </c>
      <c r="B636" s="112" t="s">
        <v>2398</v>
      </c>
      <c r="C636" s="112">
        <v>2</v>
      </c>
      <c r="D636" s="114">
        <v>0.0004118981407517484</v>
      </c>
      <c r="E636" s="114">
        <v>2.4518595060185997</v>
      </c>
      <c r="F636" s="112" t="s">
        <v>3314</v>
      </c>
      <c r="G636" s="112" t="b">
        <v>1</v>
      </c>
      <c r="H636" s="112" t="b">
        <v>0</v>
      </c>
      <c r="I636" s="112" t="b">
        <v>0</v>
      </c>
      <c r="J636" s="112" t="b">
        <v>0</v>
      </c>
      <c r="K636" s="112" t="b">
        <v>0</v>
      </c>
      <c r="L636" s="112" t="b">
        <v>0</v>
      </c>
    </row>
    <row r="637" spans="1:12" ht="15">
      <c r="A637" s="112" t="s">
        <v>2656</v>
      </c>
      <c r="B637" s="112" t="s">
        <v>2245</v>
      </c>
      <c r="C637" s="112">
        <v>2</v>
      </c>
      <c r="D637" s="114">
        <v>0.0004118981407517484</v>
      </c>
      <c r="E637" s="114">
        <v>2.8576248522025938</v>
      </c>
      <c r="F637" s="112" t="s">
        <v>3314</v>
      </c>
      <c r="G637" s="112" t="b">
        <v>1</v>
      </c>
      <c r="H637" s="112" t="b">
        <v>0</v>
      </c>
      <c r="I637" s="112" t="b">
        <v>0</v>
      </c>
      <c r="J637" s="112" t="b">
        <v>0</v>
      </c>
      <c r="K637" s="112" t="b">
        <v>0</v>
      </c>
      <c r="L637" s="112" t="b">
        <v>0</v>
      </c>
    </row>
    <row r="638" spans="1:12" ht="15">
      <c r="A638" s="112" t="s">
        <v>2245</v>
      </c>
      <c r="B638" s="112" t="s">
        <v>2214</v>
      </c>
      <c r="C638" s="112">
        <v>2</v>
      </c>
      <c r="D638" s="114">
        <v>0.00036261359660243913</v>
      </c>
      <c r="E638" s="114">
        <v>2.2621954397736443</v>
      </c>
      <c r="F638" s="112" t="s">
        <v>3314</v>
      </c>
      <c r="G638" s="112" t="b">
        <v>0</v>
      </c>
      <c r="H638" s="112" t="b">
        <v>0</v>
      </c>
      <c r="I638" s="112" t="b">
        <v>0</v>
      </c>
      <c r="J638" s="112" t="b">
        <v>0</v>
      </c>
      <c r="K638" s="112" t="b">
        <v>0</v>
      </c>
      <c r="L638" s="112" t="b">
        <v>0</v>
      </c>
    </row>
    <row r="639" spans="1:12" ht="15">
      <c r="A639" s="112" t="s">
        <v>2287</v>
      </c>
      <c r="B639" s="112" t="s">
        <v>2878</v>
      </c>
      <c r="C639" s="112">
        <v>2</v>
      </c>
      <c r="D639" s="114">
        <v>0.0004118981407517484</v>
      </c>
      <c r="E639" s="114">
        <v>3.1208662869771753</v>
      </c>
      <c r="F639" s="112" t="s">
        <v>3314</v>
      </c>
      <c r="G639" s="112" t="b">
        <v>0</v>
      </c>
      <c r="H639" s="112" t="b">
        <v>0</v>
      </c>
      <c r="I639" s="112" t="b">
        <v>0</v>
      </c>
      <c r="J639" s="112" t="b">
        <v>0</v>
      </c>
      <c r="K639" s="112" t="b">
        <v>0</v>
      </c>
      <c r="L639" s="112" t="b">
        <v>0</v>
      </c>
    </row>
    <row r="640" spans="1:12" ht="15">
      <c r="A640" s="112" t="s">
        <v>2079</v>
      </c>
      <c r="B640" s="112" t="s">
        <v>2658</v>
      </c>
      <c r="C640" s="112">
        <v>2</v>
      </c>
      <c r="D640" s="114">
        <v>0.0004118981407517484</v>
      </c>
      <c r="E640" s="114">
        <v>1.4976169965792747</v>
      </c>
      <c r="F640" s="112" t="s">
        <v>3314</v>
      </c>
      <c r="G640" s="112" t="b">
        <v>0</v>
      </c>
      <c r="H640" s="112" t="b">
        <v>0</v>
      </c>
      <c r="I640" s="112" t="b">
        <v>0</v>
      </c>
      <c r="J640" s="112" t="b">
        <v>0</v>
      </c>
      <c r="K640" s="112" t="b">
        <v>0</v>
      </c>
      <c r="L640" s="112" t="b">
        <v>0</v>
      </c>
    </row>
    <row r="641" spans="1:12" ht="15">
      <c r="A641" s="112" t="s">
        <v>2079</v>
      </c>
      <c r="B641" s="112" t="s">
        <v>2287</v>
      </c>
      <c r="C641" s="112">
        <v>2</v>
      </c>
      <c r="D641" s="114">
        <v>0.0004118981407517484</v>
      </c>
      <c r="E641" s="114">
        <v>1.0204957418596121</v>
      </c>
      <c r="F641" s="112" t="s">
        <v>3314</v>
      </c>
      <c r="G641" s="112" t="b">
        <v>0</v>
      </c>
      <c r="H641" s="112" t="b">
        <v>0</v>
      </c>
      <c r="I641" s="112" t="b">
        <v>0</v>
      </c>
      <c r="J641" s="112" t="b">
        <v>0</v>
      </c>
      <c r="K641" s="112" t="b">
        <v>0</v>
      </c>
      <c r="L641" s="112" t="b">
        <v>0</v>
      </c>
    </row>
    <row r="642" spans="1:12" ht="15">
      <c r="A642" s="112" t="s">
        <v>2079</v>
      </c>
      <c r="B642" s="112" t="s">
        <v>2314</v>
      </c>
      <c r="C642" s="112">
        <v>2</v>
      </c>
      <c r="D642" s="114">
        <v>0.0004118981407517484</v>
      </c>
      <c r="E642" s="114">
        <v>1.0716482643069936</v>
      </c>
      <c r="F642" s="112" t="s">
        <v>3314</v>
      </c>
      <c r="G642" s="112" t="b">
        <v>0</v>
      </c>
      <c r="H642" s="112" t="b">
        <v>0</v>
      </c>
      <c r="I642" s="112" t="b">
        <v>0</v>
      </c>
      <c r="J642" s="112" t="b">
        <v>0</v>
      </c>
      <c r="K642" s="112" t="b">
        <v>0</v>
      </c>
      <c r="L642" s="112" t="b">
        <v>0</v>
      </c>
    </row>
    <row r="643" spans="1:12" ht="15">
      <c r="A643" s="112" t="s">
        <v>2314</v>
      </c>
      <c r="B643" s="112" t="s">
        <v>2077</v>
      </c>
      <c r="C643" s="112">
        <v>2</v>
      </c>
      <c r="D643" s="114">
        <v>0.0004118981407517484</v>
      </c>
      <c r="E643" s="114">
        <v>0.8655937818738692</v>
      </c>
      <c r="F643" s="112" t="s">
        <v>3314</v>
      </c>
      <c r="G643" s="112" t="b">
        <v>0</v>
      </c>
      <c r="H643" s="112" t="b">
        <v>0</v>
      </c>
      <c r="I643" s="112" t="b">
        <v>0</v>
      </c>
      <c r="J643" s="112" t="b">
        <v>0</v>
      </c>
      <c r="K643" s="112" t="b">
        <v>0</v>
      </c>
      <c r="L643" s="112" t="b">
        <v>0</v>
      </c>
    </row>
    <row r="644" spans="1:12" ht="15">
      <c r="A644" s="112" t="s">
        <v>2111</v>
      </c>
      <c r="B644" s="112" t="s">
        <v>2081</v>
      </c>
      <c r="C644" s="112">
        <v>2</v>
      </c>
      <c r="D644" s="114">
        <v>0.00036261359660243913</v>
      </c>
      <c r="E644" s="114">
        <v>0.4976169965792747</v>
      </c>
      <c r="F644" s="112" t="s">
        <v>3314</v>
      </c>
      <c r="G644" s="112" t="b">
        <v>0</v>
      </c>
      <c r="H644" s="112" t="b">
        <v>0</v>
      </c>
      <c r="I644" s="112" t="b">
        <v>0</v>
      </c>
      <c r="J644" s="112" t="b">
        <v>0</v>
      </c>
      <c r="K644" s="112" t="b">
        <v>0</v>
      </c>
      <c r="L644" s="112" t="b">
        <v>0</v>
      </c>
    </row>
    <row r="645" spans="1:12" ht="15">
      <c r="A645" s="112" t="s">
        <v>2077</v>
      </c>
      <c r="B645" s="112" t="s">
        <v>2286</v>
      </c>
      <c r="C645" s="112">
        <v>2</v>
      </c>
      <c r="D645" s="114">
        <v>0.00036261359660243913</v>
      </c>
      <c r="E645" s="114">
        <v>0.8101729746338145</v>
      </c>
      <c r="F645" s="112" t="s">
        <v>3314</v>
      </c>
      <c r="G645" s="112" t="b">
        <v>0</v>
      </c>
      <c r="H645" s="112" t="b">
        <v>0</v>
      </c>
      <c r="I645" s="112" t="b">
        <v>0</v>
      </c>
      <c r="J645" s="112" t="b">
        <v>0</v>
      </c>
      <c r="K645" s="112" t="b">
        <v>0</v>
      </c>
      <c r="L645" s="112" t="b">
        <v>0</v>
      </c>
    </row>
    <row r="646" spans="1:12" ht="15">
      <c r="A646" s="112" t="s">
        <v>2286</v>
      </c>
      <c r="B646" s="112" t="s">
        <v>2355</v>
      </c>
      <c r="C646" s="112">
        <v>2</v>
      </c>
      <c r="D646" s="114">
        <v>0.00036261359660243913</v>
      </c>
      <c r="E646" s="114">
        <v>2.627950765074281</v>
      </c>
      <c r="F646" s="112" t="s">
        <v>3314</v>
      </c>
      <c r="G646" s="112" t="b">
        <v>0</v>
      </c>
      <c r="H646" s="112" t="b">
        <v>0</v>
      </c>
      <c r="I646" s="112" t="b">
        <v>0</v>
      </c>
      <c r="J646" s="112" t="b">
        <v>0</v>
      </c>
      <c r="K646" s="112" t="b">
        <v>0</v>
      </c>
      <c r="L646" s="112" t="b">
        <v>0</v>
      </c>
    </row>
    <row r="647" spans="1:12" ht="15">
      <c r="A647" s="112" t="s">
        <v>2078</v>
      </c>
      <c r="B647" s="112" t="s">
        <v>2278</v>
      </c>
      <c r="C647" s="112">
        <v>2</v>
      </c>
      <c r="D647" s="114">
        <v>0.00036261359660243913</v>
      </c>
      <c r="E647" s="114">
        <v>0.9222092000227525</v>
      </c>
      <c r="F647" s="112" t="s">
        <v>3314</v>
      </c>
      <c r="G647" s="112" t="b">
        <v>0</v>
      </c>
      <c r="H647" s="112" t="b">
        <v>0</v>
      </c>
      <c r="I647" s="112" t="b">
        <v>0</v>
      </c>
      <c r="J647" s="112" t="b">
        <v>1</v>
      </c>
      <c r="K647" s="112" t="b">
        <v>0</v>
      </c>
      <c r="L647" s="112" t="b">
        <v>0</v>
      </c>
    </row>
    <row r="648" spans="1:12" ht="15">
      <c r="A648" s="112" t="s">
        <v>2659</v>
      </c>
      <c r="B648" s="112" t="s">
        <v>2278</v>
      </c>
      <c r="C648" s="112">
        <v>2</v>
      </c>
      <c r="D648" s="114">
        <v>0.0004118981407517484</v>
      </c>
      <c r="E648" s="114">
        <v>2.944775027921494</v>
      </c>
      <c r="F648" s="112" t="s">
        <v>3314</v>
      </c>
      <c r="G648" s="112" t="b">
        <v>0</v>
      </c>
      <c r="H648" s="112" t="b">
        <v>1</v>
      </c>
      <c r="I648" s="112" t="b">
        <v>0</v>
      </c>
      <c r="J648" s="112" t="b">
        <v>1</v>
      </c>
      <c r="K648" s="112" t="b">
        <v>0</v>
      </c>
      <c r="L648" s="112" t="b">
        <v>0</v>
      </c>
    </row>
    <row r="649" spans="1:12" ht="15">
      <c r="A649" s="112" t="s">
        <v>2278</v>
      </c>
      <c r="B649" s="112" t="s">
        <v>2659</v>
      </c>
      <c r="C649" s="112">
        <v>2</v>
      </c>
      <c r="D649" s="114">
        <v>0.0004118981407517484</v>
      </c>
      <c r="E649" s="114">
        <v>2.944775027921494</v>
      </c>
      <c r="F649" s="112" t="s">
        <v>3314</v>
      </c>
      <c r="G649" s="112" t="b">
        <v>1</v>
      </c>
      <c r="H649" s="112" t="b">
        <v>0</v>
      </c>
      <c r="I649" s="112" t="b">
        <v>0</v>
      </c>
      <c r="J649" s="112" t="b">
        <v>0</v>
      </c>
      <c r="K649" s="112" t="b">
        <v>1</v>
      </c>
      <c r="L649" s="112" t="b">
        <v>0</v>
      </c>
    </row>
    <row r="650" spans="1:12" ht="15">
      <c r="A650" s="112" t="s">
        <v>2132</v>
      </c>
      <c r="B650" s="112" t="s">
        <v>2883</v>
      </c>
      <c r="C650" s="112">
        <v>2</v>
      </c>
      <c r="D650" s="114">
        <v>0.0004118981407517484</v>
      </c>
      <c r="E650" s="114">
        <v>2.543629879374245</v>
      </c>
      <c r="F650" s="112" t="s">
        <v>3314</v>
      </c>
      <c r="G650" s="112" t="b">
        <v>0</v>
      </c>
      <c r="H650" s="112" t="b">
        <v>0</v>
      </c>
      <c r="I650" s="112" t="b">
        <v>0</v>
      </c>
      <c r="J650" s="112" t="b">
        <v>0</v>
      </c>
      <c r="K650" s="112" t="b">
        <v>0</v>
      </c>
      <c r="L650" s="112" t="b">
        <v>0</v>
      </c>
    </row>
    <row r="651" spans="1:12" ht="15">
      <c r="A651" s="112" t="s">
        <v>2319</v>
      </c>
      <c r="B651" s="112" t="s">
        <v>2262</v>
      </c>
      <c r="C651" s="112">
        <v>2</v>
      </c>
      <c r="D651" s="114">
        <v>0.0004118981407517484</v>
      </c>
      <c r="E651" s="114">
        <v>2.4730488050885375</v>
      </c>
      <c r="F651" s="112" t="s">
        <v>3314</v>
      </c>
      <c r="G651" s="112" t="b">
        <v>0</v>
      </c>
      <c r="H651" s="112" t="b">
        <v>0</v>
      </c>
      <c r="I651" s="112" t="b">
        <v>0</v>
      </c>
      <c r="J651" s="112" t="b">
        <v>0</v>
      </c>
      <c r="K651" s="112" t="b">
        <v>0</v>
      </c>
      <c r="L651" s="112" t="b">
        <v>0</v>
      </c>
    </row>
    <row r="652" spans="1:12" ht="15">
      <c r="A652" s="112" t="s">
        <v>2399</v>
      </c>
      <c r="B652" s="112" t="s">
        <v>2132</v>
      </c>
      <c r="C652" s="112">
        <v>2</v>
      </c>
      <c r="D652" s="114">
        <v>0.00036261359660243913</v>
      </c>
      <c r="E652" s="114">
        <v>2.0665086246545825</v>
      </c>
      <c r="F652" s="112" t="s">
        <v>3314</v>
      </c>
      <c r="G652" s="112" t="b">
        <v>0</v>
      </c>
      <c r="H652" s="112" t="b">
        <v>0</v>
      </c>
      <c r="I652" s="112" t="b">
        <v>0</v>
      </c>
      <c r="J652" s="112" t="b">
        <v>0</v>
      </c>
      <c r="K652" s="112" t="b">
        <v>0</v>
      </c>
      <c r="L652" s="112" t="b">
        <v>0</v>
      </c>
    </row>
    <row r="653" spans="1:12" ht="15">
      <c r="A653" s="112" t="s">
        <v>2262</v>
      </c>
      <c r="B653" s="112" t="s">
        <v>2255</v>
      </c>
      <c r="C653" s="112">
        <v>2</v>
      </c>
      <c r="D653" s="114">
        <v>0.0004118981407517484</v>
      </c>
      <c r="E653" s="114">
        <v>2.4218962826411565</v>
      </c>
      <c r="F653" s="112" t="s">
        <v>3314</v>
      </c>
      <c r="G653" s="112" t="b">
        <v>0</v>
      </c>
      <c r="H653" s="112" t="b">
        <v>0</v>
      </c>
      <c r="I653" s="112" t="b">
        <v>0</v>
      </c>
      <c r="J653" s="112" t="b">
        <v>0</v>
      </c>
      <c r="K653" s="112" t="b">
        <v>0</v>
      </c>
      <c r="L653" s="112" t="b">
        <v>0</v>
      </c>
    </row>
    <row r="654" spans="1:12" ht="15">
      <c r="A654" s="112" t="s">
        <v>2132</v>
      </c>
      <c r="B654" s="112" t="s">
        <v>2086</v>
      </c>
      <c r="C654" s="112">
        <v>2</v>
      </c>
      <c r="D654" s="114">
        <v>0.00036261359660243913</v>
      </c>
      <c r="E654" s="114">
        <v>0.8072333770976026</v>
      </c>
      <c r="F654" s="112" t="s">
        <v>3314</v>
      </c>
      <c r="G654" s="112" t="b">
        <v>0</v>
      </c>
      <c r="H654" s="112" t="b">
        <v>0</v>
      </c>
      <c r="I654" s="112" t="b">
        <v>0</v>
      </c>
      <c r="J654" s="112" t="b">
        <v>0</v>
      </c>
      <c r="K654" s="112" t="b">
        <v>0</v>
      </c>
      <c r="L654" s="112" t="b">
        <v>0</v>
      </c>
    </row>
    <row r="655" spans="1:12" ht="15">
      <c r="A655" s="112" t="s">
        <v>2400</v>
      </c>
      <c r="B655" s="112" t="s">
        <v>2400</v>
      </c>
      <c r="C655" s="112">
        <v>2</v>
      </c>
      <c r="D655" s="114">
        <v>0.0004118981407517484</v>
      </c>
      <c r="E655" s="114">
        <v>2.819836291313194</v>
      </c>
      <c r="F655" s="112" t="s">
        <v>3314</v>
      </c>
      <c r="G655" s="112" t="b">
        <v>0</v>
      </c>
      <c r="H655" s="112" t="b">
        <v>0</v>
      </c>
      <c r="I655" s="112" t="b">
        <v>0</v>
      </c>
      <c r="J655" s="112" t="b">
        <v>0</v>
      </c>
      <c r="K655" s="112" t="b">
        <v>0</v>
      </c>
      <c r="L655" s="112" t="b">
        <v>0</v>
      </c>
    </row>
    <row r="656" spans="1:12" ht="15">
      <c r="A656" s="112" t="s">
        <v>2130</v>
      </c>
      <c r="B656" s="112" t="s">
        <v>2401</v>
      </c>
      <c r="C656" s="112">
        <v>2</v>
      </c>
      <c r="D656" s="114">
        <v>0.00036261359660243913</v>
      </c>
      <c r="E656" s="114">
        <v>2.1208662869771753</v>
      </c>
      <c r="F656" s="112" t="s">
        <v>3314</v>
      </c>
      <c r="G656" s="112" t="b">
        <v>0</v>
      </c>
      <c r="H656" s="112" t="b">
        <v>0</v>
      </c>
      <c r="I656" s="112" t="b">
        <v>0</v>
      </c>
      <c r="J656" s="112" t="b">
        <v>0</v>
      </c>
      <c r="K656" s="112" t="b">
        <v>0</v>
      </c>
      <c r="L656" s="112" t="b">
        <v>0</v>
      </c>
    </row>
    <row r="657" spans="1:12" ht="15">
      <c r="A657" s="112" t="s">
        <v>2320</v>
      </c>
      <c r="B657" s="112" t="s">
        <v>2320</v>
      </c>
      <c r="C657" s="112">
        <v>2</v>
      </c>
      <c r="D657" s="114">
        <v>0.0004118981407517484</v>
      </c>
      <c r="E657" s="114">
        <v>2.569958818096594</v>
      </c>
      <c r="F657" s="112" t="s">
        <v>3314</v>
      </c>
      <c r="G657" s="112" t="b">
        <v>0</v>
      </c>
      <c r="H657" s="112" t="b">
        <v>0</v>
      </c>
      <c r="I657" s="112" t="b">
        <v>0</v>
      </c>
      <c r="J657" s="112" t="b">
        <v>0</v>
      </c>
      <c r="K657" s="112" t="b">
        <v>0</v>
      </c>
      <c r="L657" s="112" t="b">
        <v>0</v>
      </c>
    </row>
    <row r="658" spans="1:12" ht="15">
      <c r="A658" s="112" t="s">
        <v>2662</v>
      </c>
      <c r="B658" s="112" t="s">
        <v>2534</v>
      </c>
      <c r="C658" s="112">
        <v>2</v>
      </c>
      <c r="D658" s="114">
        <v>0.0004118981407517484</v>
      </c>
      <c r="E658" s="114">
        <v>3.2969575460328566</v>
      </c>
      <c r="F658" s="112" t="s">
        <v>3314</v>
      </c>
      <c r="G658" s="112" t="b">
        <v>0</v>
      </c>
      <c r="H658" s="112" t="b">
        <v>0</v>
      </c>
      <c r="I658" s="112" t="b">
        <v>0</v>
      </c>
      <c r="J658" s="112" t="b">
        <v>0</v>
      </c>
      <c r="K658" s="112" t="b">
        <v>0</v>
      </c>
      <c r="L658" s="112" t="b">
        <v>0</v>
      </c>
    </row>
    <row r="659" spans="1:12" ht="15">
      <c r="A659" s="112" t="s">
        <v>2091</v>
      </c>
      <c r="B659" s="112" t="s">
        <v>2080</v>
      </c>
      <c r="C659" s="112">
        <v>2</v>
      </c>
      <c r="D659" s="114">
        <v>0.00036261359660243913</v>
      </c>
      <c r="E659" s="114">
        <v>0.2113102577359999</v>
      </c>
      <c r="F659" s="112" t="s">
        <v>3314</v>
      </c>
      <c r="G659" s="112" t="b">
        <v>0</v>
      </c>
      <c r="H659" s="112" t="b">
        <v>0</v>
      </c>
      <c r="I659" s="112" t="b">
        <v>0</v>
      </c>
      <c r="J659" s="112" t="b">
        <v>0</v>
      </c>
      <c r="K659" s="112" t="b">
        <v>0</v>
      </c>
      <c r="L659" s="112" t="b">
        <v>0</v>
      </c>
    </row>
    <row r="660" spans="1:12" ht="15">
      <c r="A660" s="112" t="s">
        <v>2127</v>
      </c>
      <c r="B660" s="112" t="s">
        <v>2403</v>
      </c>
      <c r="C660" s="112">
        <v>2</v>
      </c>
      <c r="D660" s="114">
        <v>0.00036261359660243913</v>
      </c>
      <c r="E660" s="114">
        <v>1.9959275503688751</v>
      </c>
      <c r="F660" s="112" t="s">
        <v>3314</v>
      </c>
      <c r="G660" s="112" t="b">
        <v>0</v>
      </c>
      <c r="H660" s="112" t="b">
        <v>0</v>
      </c>
      <c r="I660" s="112" t="b">
        <v>0</v>
      </c>
      <c r="J660" s="112" t="b">
        <v>0</v>
      </c>
      <c r="K660" s="112" t="b">
        <v>0</v>
      </c>
      <c r="L660" s="112" t="b">
        <v>0</v>
      </c>
    </row>
    <row r="661" spans="1:12" ht="15">
      <c r="A661" s="112" t="s">
        <v>2080</v>
      </c>
      <c r="B661" s="112" t="s">
        <v>2090</v>
      </c>
      <c r="C661" s="112">
        <v>2</v>
      </c>
      <c r="D661" s="114">
        <v>0.00036261359660243913</v>
      </c>
      <c r="E661" s="114">
        <v>0.17446861243389977</v>
      </c>
      <c r="F661" s="112" t="s">
        <v>3314</v>
      </c>
      <c r="G661" s="112" t="b">
        <v>0</v>
      </c>
      <c r="H661" s="112" t="b">
        <v>0</v>
      </c>
      <c r="I661" s="112" t="b">
        <v>0</v>
      </c>
      <c r="J661" s="112" t="b">
        <v>0</v>
      </c>
      <c r="K661" s="112" t="b">
        <v>0</v>
      </c>
      <c r="L661" s="112" t="b">
        <v>0</v>
      </c>
    </row>
    <row r="662" spans="1:12" ht="15">
      <c r="A662" s="112" t="s">
        <v>2127</v>
      </c>
      <c r="B662" s="112" t="s">
        <v>2404</v>
      </c>
      <c r="C662" s="112">
        <v>2</v>
      </c>
      <c r="D662" s="114">
        <v>0.00036261359660243913</v>
      </c>
      <c r="E662" s="114">
        <v>1.9959275503688751</v>
      </c>
      <c r="F662" s="112" t="s">
        <v>3314</v>
      </c>
      <c r="G662" s="112" t="b">
        <v>0</v>
      </c>
      <c r="H662" s="112" t="b">
        <v>0</v>
      </c>
      <c r="I662" s="112" t="b">
        <v>0</v>
      </c>
      <c r="J662" s="112" t="b">
        <v>0</v>
      </c>
      <c r="K662" s="112" t="b">
        <v>1</v>
      </c>
      <c r="L662" s="112" t="b">
        <v>0</v>
      </c>
    </row>
    <row r="663" spans="1:12" ht="15">
      <c r="A663" s="112" t="s">
        <v>2887</v>
      </c>
      <c r="B663" s="112" t="s">
        <v>2888</v>
      </c>
      <c r="C663" s="112">
        <v>2</v>
      </c>
      <c r="D663" s="114">
        <v>0.00036261359660243913</v>
      </c>
      <c r="E663" s="114">
        <v>3.774078800752519</v>
      </c>
      <c r="F663" s="112" t="s">
        <v>3314</v>
      </c>
      <c r="G663" s="112" t="b">
        <v>1</v>
      </c>
      <c r="H663" s="112" t="b">
        <v>0</v>
      </c>
      <c r="I663" s="112" t="b">
        <v>0</v>
      </c>
      <c r="J663" s="112" t="b">
        <v>0</v>
      </c>
      <c r="K663" s="112" t="b">
        <v>0</v>
      </c>
      <c r="L663" s="112" t="b">
        <v>0</v>
      </c>
    </row>
    <row r="664" spans="1:12" ht="15">
      <c r="A664" s="112" t="s">
        <v>2888</v>
      </c>
      <c r="B664" s="112" t="s">
        <v>2080</v>
      </c>
      <c r="C664" s="112">
        <v>2</v>
      </c>
      <c r="D664" s="114">
        <v>0.00036261359660243913</v>
      </c>
      <c r="E664" s="114">
        <v>1.8345595481339003</v>
      </c>
      <c r="F664" s="112" t="s">
        <v>3314</v>
      </c>
      <c r="G664" s="112" t="b">
        <v>0</v>
      </c>
      <c r="H664" s="112" t="b">
        <v>0</v>
      </c>
      <c r="I664" s="112" t="b">
        <v>0</v>
      </c>
      <c r="J664" s="112" t="b">
        <v>0</v>
      </c>
      <c r="K664" s="112" t="b">
        <v>0</v>
      </c>
      <c r="L664" s="112" t="b">
        <v>0</v>
      </c>
    </row>
    <row r="665" spans="1:12" ht="15">
      <c r="A665" s="112" t="s">
        <v>2117</v>
      </c>
      <c r="B665" s="112" t="s">
        <v>2265</v>
      </c>
      <c r="C665" s="112">
        <v>2</v>
      </c>
      <c r="D665" s="114">
        <v>0.00036261359660243913</v>
      </c>
      <c r="E665" s="114">
        <v>1.7633549353607458</v>
      </c>
      <c r="F665" s="112" t="s">
        <v>3314</v>
      </c>
      <c r="G665" s="112" t="b">
        <v>0</v>
      </c>
      <c r="H665" s="112" t="b">
        <v>0</v>
      </c>
      <c r="I665" s="112" t="b">
        <v>0</v>
      </c>
      <c r="J665" s="112" t="b">
        <v>0</v>
      </c>
      <c r="K665" s="112" t="b">
        <v>0</v>
      </c>
      <c r="L665" s="112" t="b">
        <v>0</v>
      </c>
    </row>
    <row r="666" spans="1:12" ht="15">
      <c r="A666" s="112" t="s">
        <v>2265</v>
      </c>
      <c r="B666" s="112" t="s">
        <v>2080</v>
      </c>
      <c r="C666" s="112">
        <v>2</v>
      </c>
      <c r="D666" s="114">
        <v>0.00036261359660243913</v>
      </c>
      <c r="E666" s="114">
        <v>1.1355895437978816</v>
      </c>
      <c r="F666" s="112" t="s">
        <v>3314</v>
      </c>
      <c r="G666" s="112" t="b">
        <v>0</v>
      </c>
      <c r="H666" s="112" t="b">
        <v>0</v>
      </c>
      <c r="I666" s="112" t="b">
        <v>0</v>
      </c>
      <c r="J666" s="112" t="b">
        <v>0</v>
      </c>
      <c r="K666" s="112" t="b">
        <v>0</v>
      </c>
      <c r="L666" s="112" t="b">
        <v>0</v>
      </c>
    </row>
    <row r="667" spans="1:12" ht="15">
      <c r="A667" s="112" t="s">
        <v>2139</v>
      </c>
      <c r="B667" s="112" t="s">
        <v>2090</v>
      </c>
      <c r="C667" s="112">
        <v>2</v>
      </c>
      <c r="D667" s="114">
        <v>0.00036261359660243913</v>
      </c>
      <c r="E667" s="114">
        <v>0.9645190861172511</v>
      </c>
      <c r="F667" s="112" t="s">
        <v>3314</v>
      </c>
      <c r="G667" s="112" t="b">
        <v>0</v>
      </c>
      <c r="H667" s="112" t="b">
        <v>0</v>
      </c>
      <c r="I667" s="112" t="b">
        <v>0</v>
      </c>
      <c r="J667" s="112" t="b">
        <v>0</v>
      </c>
      <c r="K667" s="112" t="b">
        <v>0</v>
      </c>
      <c r="L667" s="112" t="b">
        <v>0</v>
      </c>
    </row>
    <row r="668" spans="1:12" ht="15">
      <c r="A668" s="112" t="s">
        <v>2127</v>
      </c>
      <c r="B668" s="112" t="s">
        <v>2265</v>
      </c>
      <c r="C668" s="112">
        <v>2</v>
      </c>
      <c r="D668" s="114">
        <v>0.00036261359660243913</v>
      </c>
      <c r="E668" s="114">
        <v>1.7740788007525188</v>
      </c>
      <c r="F668" s="112" t="s">
        <v>3314</v>
      </c>
      <c r="G668" s="112" t="b">
        <v>0</v>
      </c>
      <c r="H668" s="112" t="b">
        <v>0</v>
      </c>
      <c r="I668" s="112" t="b">
        <v>0</v>
      </c>
      <c r="J668" s="112" t="b">
        <v>0</v>
      </c>
      <c r="K668" s="112" t="b">
        <v>0</v>
      </c>
      <c r="L668" s="112" t="b">
        <v>0</v>
      </c>
    </row>
    <row r="669" spans="1:12" ht="15">
      <c r="A669" s="112" t="s">
        <v>2265</v>
      </c>
      <c r="B669" s="112" t="s">
        <v>2285</v>
      </c>
      <c r="C669" s="112">
        <v>2</v>
      </c>
      <c r="D669" s="114">
        <v>0.00036261359660243913</v>
      </c>
      <c r="E669" s="114">
        <v>2.4218962826411565</v>
      </c>
      <c r="F669" s="112" t="s">
        <v>3314</v>
      </c>
      <c r="G669" s="112" t="b">
        <v>0</v>
      </c>
      <c r="H669" s="112" t="b">
        <v>0</v>
      </c>
      <c r="I669" s="112" t="b">
        <v>0</v>
      </c>
      <c r="J669" s="112" t="b">
        <v>0</v>
      </c>
      <c r="K669" s="112" t="b">
        <v>1</v>
      </c>
      <c r="L669" s="112" t="b">
        <v>0</v>
      </c>
    </row>
    <row r="670" spans="1:12" ht="15">
      <c r="A670" s="112" t="s">
        <v>2285</v>
      </c>
      <c r="B670" s="112" t="s">
        <v>2080</v>
      </c>
      <c r="C670" s="112">
        <v>2</v>
      </c>
      <c r="D670" s="114">
        <v>0.00036261359660243913</v>
      </c>
      <c r="E670" s="114">
        <v>1.1813470343585566</v>
      </c>
      <c r="F670" s="112" t="s">
        <v>3314</v>
      </c>
      <c r="G670" s="112" t="b">
        <v>0</v>
      </c>
      <c r="H670" s="112" t="b">
        <v>1</v>
      </c>
      <c r="I670" s="112" t="b">
        <v>0</v>
      </c>
      <c r="J670" s="112" t="b">
        <v>0</v>
      </c>
      <c r="K670" s="112" t="b">
        <v>0</v>
      </c>
      <c r="L670" s="112" t="b">
        <v>0</v>
      </c>
    </row>
    <row r="671" spans="1:12" ht="15">
      <c r="A671" s="112" t="s">
        <v>2089</v>
      </c>
      <c r="B671" s="112" t="s">
        <v>2080</v>
      </c>
      <c r="C671" s="112">
        <v>2</v>
      </c>
      <c r="D671" s="114">
        <v>0.00036261359660243913</v>
      </c>
      <c r="E671" s="114">
        <v>0.17654815147678793</v>
      </c>
      <c r="F671" s="112" t="s">
        <v>3314</v>
      </c>
      <c r="G671" s="112" t="b">
        <v>0</v>
      </c>
      <c r="H671" s="112" t="b">
        <v>0</v>
      </c>
      <c r="I671" s="112" t="b">
        <v>0</v>
      </c>
      <c r="J671" s="112" t="b">
        <v>0</v>
      </c>
      <c r="K671" s="112" t="b">
        <v>0</v>
      </c>
      <c r="L671" s="112" t="b">
        <v>0</v>
      </c>
    </row>
    <row r="672" spans="1:12" ht="15">
      <c r="A672" s="112" t="s">
        <v>2448</v>
      </c>
      <c r="B672" s="112" t="s">
        <v>2080</v>
      </c>
      <c r="C672" s="112">
        <v>2</v>
      </c>
      <c r="D672" s="114">
        <v>0.00036261359660243913</v>
      </c>
      <c r="E672" s="114">
        <v>1.4366195394618628</v>
      </c>
      <c r="F672" s="112" t="s">
        <v>3314</v>
      </c>
      <c r="G672" s="112" t="b">
        <v>0</v>
      </c>
      <c r="H672" s="112" t="b">
        <v>0</v>
      </c>
      <c r="I672" s="112" t="b">
        <v>0</v>
      </c>
      <c r="J672" s="112" t="b">
        <v>0</v>
      </c>
      <c r="K672" s="112" t="b">
        <v>0</v>
      </c>
      <c r="L672" s="112" t="b">
        <v>0</v>
      </c>
    </row>
    <row r="673" spans="1:12" ht="15">
      <c r="A673" s="112" t="s">
        <v>2089</v>
      </c>
      <c r="B673" s="112" t="s">
        <v>2083</v>
      </c>
      <c r="C673" s="112">
        <v>2</v>
      </c>
      <c r="D673" s="114">
        <v>0.00036261359660243913</v>
      </c>
      <c r="E673" s="114">
        <v>0.3236757145971526</v>
      </c>
      <c r="F673" s="112" t="s">
        <v>3314</v>
      </c>
      <c r="G673" s="112" t="b">
        <v>0</v>
      </c>
      <c r="H673" s="112" t="b">
        <v>0</v>
      </c>
      <c r="I673" s="112" t="b">
        <v>0</v>
      </c>
      <c r="J673" s="112" t="b">
        <v>0</v>
      </c>
      <c r="K673" s="112" t="b">
        <v>0</v>
      </c>
      <c r="L673" s="112" t="b">
        <v>0</v>
      </c>
    </row>
    <row r="674" spans="1:12" ht="15">
      <c r="A674" s="112" t="s">
        <v>2127</v>
      </c>
      <c r="B674" s="112" t="s">
        <v>2094</v>
      </c>
      <c r="C674" s="112">
        <v>2</v>
      </c>
      <c r="D674" s="114">
        <v>0.00036261359660243913</v>
      </c>
      <c r="E674" s="114">
        <v>0.9289807607382621</v>
      </c>
      <c r="F674" s="112" t="s">
        <v>3314</v>
      </c>
      <c r="G674" s="112" t="b">
        <v>0</v>
      </c>
      <c r="H674" s="112" t="b">
        <v>0</v>
      </c>
      <c r="I674" s="112" t="b">
        <v>0</v>
      </c>
      <c r="J674" s="112" t="b">
        <v>0</v>
      </c>
      <c r="K674" s="112" t="b">
        <v>0</v>
      </c>
      <c r="L674" s="112" t="b">
        <v>0</v>
      </c>
    </row>
    <row r="675" spans="1:12" ht="15">
      <c r="A675" s="112" t="s">
        <v>2321</v>
      </c>
      <c r="B675" s="112" t="s">
        <v>2215</v>
      </c>
      <c r="C675" s="112">
        <v>2</v>
      </c>
      <c r="D675" s="114">
        <v>0.00036261359660243913</v>
      </c>
      <c r="E675" s="114">
        <v>2.359105452781701</v>
      </c>
      <c r="F675" s="112" t="s">
        <v>3314</v>
      </c>
      <c r="G675" s="112" t="b">
        <v>0</v>
      </c>
      <c r="H675" s="112" t="b">
        <v>0</v>
      </c>
      <c r="I675" s="112" t="b">
        <v>0</v>
      </c>
      <c r="J675" s="112" t="b">
        <v>0</v>
      </c>
      <c r="K675" s="112" t="b">
        <v>0</v>
      </c>
      <c r="L675" s="112" t="b">
        <v>0</v>
      </c>
    </row>
    <row r="676" spans="1:12" ht="15">
      <c r="A676" s="112" t="s">
        <v>2225</v>
      </c>
      <c r="B676" s="112" t="s">
        <v>2080</v>
      </c>
      <c r="C676" s="112">
        <v>2</v>
      </c>
      <c r="D676" s="114">
        <v>0.00036261359660243913</v>
      </c>
      <c r="E676" s="114">
        <v>1.0564082977502567</v>
      </c>
      <c r="F676" s="112" t="s">
        <v>3314</v>
      </c>
      <c r="G676" s="112" t="b">
        <v>0</v>
      </c>
      <c r="H676" s="112" t="b">
        <v>0</v>
      </c>
      <c r="I676" s="112" t="b">
        <v>0</v>
      </c>
      <c r="J676" s="112" t="b">
        <v>0</v>
      </c>
      <c r="K676" s="112" t="b">
        <v>0</v>
      </c>
      <c r="L676" s="112" t="b">
        <v>0</v>
      </c>
    </row>
    <row r="677" spans="1:12" ht="15">
      <c r="A677" s="112" t="s">
        <v>2180</v>
      </c>
      <c r="B677" s="112" t="s">
        <v>2194</v>
      </c>
      <c r="C677" s="112">
        <v>2</v>
      </c>
      <c r="D677" s="114">
        <v>0.00036261359660243913</v>
      </c>
      <c r="E677" s="114">
        <v>1.9415698880462826</v>
      </c>
      <c r="F677" s="112" t="s">
        <v>3314</v>
      </c>
      <c r="G677" s="112" t="b">
        <v>0</v>
      </c>
      <c r="H677" s="112" t="b">
        <v>0</v>
      </c>
      <c r="I677" s="112" t="b">
        <v>0</v>
      </c>
      <c r="J677" s="112" t="b">
        <v>0</v>
      </c>
      <c r="K677" s="112" t="b">
        <v>0</v>
      </c>
      <c r="L677" s="112" t="b">
        <v>0</v>
      </c>
    </row>
    <row r="678" spans="1:12" ht="15">
      <c r="A678" s="112" t="s">
        <v>2091</v>
      </c>
      <c r="B678" s="112" t="s">
        <v>2229</v>
      </c>
      <c r="C678" s="112">
        <v>2</v>
      </c>
      <c r="D678" s="114">
        <v>0.00036261359660243913</v>
      </c>
      <c r="E678" s="114">
        <v>1.3726782599709748</v>
      </c>
      <c r="F678" s="112" t="s">
        <v>3314</v>
      </c>
      <c r="G678" s="112" t="b">
        <v>0</v>
      </c>
      <c r="H678" s="112" t="b">
        <v>0</v>
      </c>
      <c r="I678" s="112" t="b">
        <v>0</v>
      </c>
      <c r="J678" s="112" t="b">
        <v>0</v>
      </c>
      <c r="K678" s="112" t="b">
        <v>0</v>
      </c>
      <c r="L678" s="112" t="b">
        <v>0</v>
      </c>
    </row>
    <row r="679" spans="1:12" ht="15">
      <c r="A679" s="112" t="s">
        <v>2208</v>
      </c>
      <c r="B679" s="112" t="s">
        <v>2208</v>
      </c>
      <c r="C679" s="112">
        <v>2</v>
      </c>
      <c r="D679" s="114">
        <v>0.00036261359660243913</v>
      </c>
      <c r="E679" s="114">
        <v>2.1160674040954066</v>
      </c>
      <c r="F679" s="112" t="s">
        <v>3314</v>
      </c>
      <c r="G679" s="112" t="b">
        <v>0</v>
      </c>
      <c r="H679" s="112" t="b">
        <v>0</v>
      </c>
      <c r="I679" s="112" t="b">
        <v>0</v>
      </c>
      <c r="J679" s="112" t="b">
        <v>0</v>
      </c>
      <c r="K679" s="112" t="b">
        <v>0</v>
      </c>
      <c r="L679" s="112" t="b">
        <v>0</v>
      </c>
    </row>
    <row r="680" spans="1:12" ht="15">
      <c r="A680" s="112" t="s">
        <v>2208</v>
      </c>
      <c r="B680" s="112" t="s">
        <v>2091</v>
      </c>
      <c r="C680" s="112">
        <v>2</v>
      </c>
      <c r="D680" s="114">
        <v>0.00036261359660243913</v>
      </c>
      <c r="E680" s="114">
        <v>1.3483815873899279</v>
      </c>
      <c r="F680" s="112" t="s">
        <v>3314</v>
      </c>
      <c r="G680" s="112" t="b">
        <v>0</v>
      </c>
      <c r="H680" s="112" t="b">
        <v>0</v>
      </c>
      <c r="I680" s="112" t="b">
        <v>0</v>
      </c>
      <c r="J680" s="112" t="b">
        <v>0</v>
      </c>
      <c r="K680" s="112" t="b">
        <v>0</v>
      </c>
      <c r="L680" s="112" t="b">
        <v>0</v>
      </c>
    </row>
    <row r="681" spans="1:12" ht="15">
      <c r="A681" s="112" t="s">
        <v>2208</v>
      </c>
      <c r="B681" s="112" t="s">
        <v>2229</v>
      </c>
      <c r="C681" s="112">
        <v>2</v>
      </c>
      <c r="D681" s="114">
        <v>0.00036261359660243913</v>
      </c>
      <c r="E681" s="114">
        <v>2.1830141937260197</v>
      </c>
      <c r="F681" s="112" t="s">
        <v>3314</v>
      </c>
      <c r="G681" s="112" t="b">
        <v>0</v>
      </c>
      <c r="H681" s="112" t="b">
        <v>0</v>
      </c>
      <c r="I681" s="112" t="b">
        <v>0</v>
      </c>
      <c r="J681" s="112" t="b">
        <v>0</v>
      </c>
      <c r="K681" s="112" t="b">
        <v>0</v>
      </c>
      <c r="L681" s="112" t="b">
        <v>0</v>
      </c>
    </row>
    <row r="682" spans="1:12" ht="15">
      <c r="A682" s="112" t="s">
        <v>2188</v>
      </c>
      <c r="B682" s="112" t="s">
        <v>2091</v>
      </c>
      <c r="C682" s="112">
        <v>2</v>
      </c>
      <c r="D682" s="114">
        <v>0.00036261359660243913</v>
      </c>
      <c r="E682" s="114">
        <v>1.2582049570408398</v>
      </c>
      <c r="F682" s="112" t="s">
        <v>3314</v>
      </c>
      <c r="G682" s="112" t="b">
        <v>0</v>
      </c>
      <c r="H682" s="112" t="b">
        <v>0</v>
      </c>
      <c r="I682" s="112" t="b">
        <v>0</v>
      </c>
      <c r="J682" s="112" t="b">
        <v>0</v>
      </c>
      <c r="K682" s="112" t="b">
        <v>0</v>
      </c>
      <c r="L682" s="112" t="b">
        <v>0</v>
      </c>
    </row>
    <row r="683" spans="1:12" ht="15">
      <c r="A683" s="112" t="s">
        <v>2112</v>
      </c>
      <c r="B683" s="112" t="s">
        <v>2112</v>
      </c>
      <c r="C683" s="112">
        <v>2</v>
      </c>
      <c r="D683" s="114">
        <v>0.0004118981407517484</v>
      </c>
      <c r="E683" s="114">
        <v>1.0794736018189501</v>
      </c>
      <c r="F683" s="112" t="s">
        <v>3314</v>
      </c>
      <c r="G683" s="112" t="b">
        <v>0</v>
      </c>
      <c r="H683" s="112" t="b">
        <v>0</v>
      </c>
      <c r="I683" s="112" t="b">
        <v>0</v>
      </c>
      <c r="J683" s="112" t="b">
        <v>0</v>
      </c>
      <c r="K683" s="112" t="b">
        <v>0</v>
      </c>
      <c r="L683" s="112" t="b">
        <v>0</v>
      </c>
    </row>
    <row r="684" spans="1:12" ht="15">
      <c r="A684" s="112" t="s">
        <v>2666</v>
      </c>
      <c r="B684" s="112" t="s">
        <v>2109</v>
      </c>
      <c r="C684" s="112">
        <v>2</v>
      </c>
      <c r="D684" s="114">
        <v>0.00036261359660243913</v>
      </c>
      <c r="E684" s="114">
        <v>2.236259705679245</v>
      </c>
      <c r="F684" s="112" t="s">
        <v>3314</v>
      </c>
      <c r="G684" s="112" t="b">
        <v>0</v>
      </c>
      <c r="H684" s="112" t="b">
        <v>1</v>
      </c>
      <c r="I684" s="112" t="b">
        <v>0</v>
      </c>
      <c r="J684" s="112" t="b">
        <v>0</v>
      </c>
      <c r="K684" s="112" t="b">
        <v>0</v>
      </c>
      <c r="L684" s="112" t="b">
        <v>0</v>
      </c>
    </row>
    <row r="685" spans="1:12" ht="15">
      <c r="A685" s="112" t="s">
        <v>2321</v>
      </c>
      <c r="B685" s="112" t="s">
        <v>2080</v>
      </c>
      <c r="C685" s="112">
        <v>2</v>
      </c>
      <c r="D685" s="114">
        <v>0.00036261359660243913</v>
      </c>
      <c r="E685" s="114">
        <v>1.232499556805938</v>
      </c>
      <c r="F685" s="112" t="s">
        <v>3314</v>
      </c>
      <c r="G685" s="112" t="b">
        <v>0</v>
      </c>
      <c r="H685" s="112" t="b">
        <v>0</v>
      </c>
      <c r="I685" s="112" t="b">
        <v>0</v>
      </c>
      <c r="J685" s="112" t="b">
        <v>0</v>
      </c>
      <c r="K685" s="112" t="b">
        <v>0</v>
      </c>
      <c r="L685" s="112" t="b">
        <v>0</v>
      </c>
    </row>
    <row r="686" spans="1:12" ht="15">
      <c r="A686" s="112" t="s">
        <v>2180</v>
      </c>
      <c r="B686" s="112" t="s">
        <v>2107</v>
      </c>
      <c r="C686" s="112">
        <v>2</v>
      </c>
      <c r="D686" s="114">
        <v>0.00036261359660243913</v>
      </c>
      <c r="E686" s="114">
        <v>1.4644486333266202</v>
      </c>
      <c r="F686" s="112" t="s">
        <v>3314</v>
      </c>
      <c r="G686" s="112" t="b">
        <v>0</v>
      </c>
      <c r="H686" s="112" t="b">
        <v>0</v>
      </c>
      <c r="I686" s="112" t="b">
        <v>0</v>
      </c>
      <c r="J686" s="112" t="b">
        <v>0</v>
      </c>
      <c r="K686" s="112" t="b">
        <v>0</v>
      </c>
      <c r="L686" s="112" t="b">
        <v>0</v>
      </c>
    </row>
    <row r="687" spans="1:12" ht="15">
      <c r="A687" s="112" t="s">
        <v>2107</v>
      </c>
      <c r="B687" s="112" t="s">
        <v>2157</v>
      </c>
      <c r="C687" s="112">
        <v>2</v>
      </c>
      <c r="D687" s="114">
        <v>0.00036261359660243913</v>
      </c>
      <c r="E687" s="114">
        <v>1.3331697186873013</v>
      </c>
      <c r="F687" s="112" t="s">
        <v>3314</v>
      </c>
      <c r="G687" s="112" t="b">
        <v>0</v>
      </c>
      <c r="H687" s="112" t="b">
        <v>0</v>
      </c>
      <c r="I687" s="112" t="b">
        <v>0</v>
      </c>
      <c r="J687" s="112" t="b">
        <v>0</v>
      </c>
      <c r="K687" s="112" t="b">
        <v>0</v>
      </c>
      <c r="L687" s="112" t="b">
        <v>0</v>
      </c>
    </row>
    <row r="688" spans="1:12" ht="15">
      <c r="A688" s="112" t="s">
        <v>2157</v>
      </c>
      <c r="B688" s="112" t="s">
        <v>2107</v>
      </c>
      <c r="C688" s="112">
        <v>2</v>
      </c>
      <c r="D688" s="114">
        <v>0.00036261359660243913</v>
      </c>
      <c r="E688" s="114">
        <v>1.3331697186873013</v>
      </c>
      <c r="F688" s="112" t="s">
        <v>3314</v>
      </c>
      <c r="G688" s="112" t="b">
        <v>0</v>
      </c>
      <c r="H688" s="112" t="b">
        <v>0</v>
      </c>
      <c r="I688" s="112" t="b">
        <v>0</v>
      </c>
      <c r="J688" s="112" t="b">
        <v>0</v>
      </c>
      <c r="K688" s="112" t="b">
        <v>0</v>
      </c>
      <c r="L688" s="112" t="b">
        <v>0</v>
      </c>
    </row>
    <row r="689" spans="1:12" ht="15">
      <c r="A689" s="112" t="s">
        <v>2107</v>
      </c>
      <c r="B689" s="112" t="s">
        <v>2188</v>
      </c>
      <c r="C689" s="112">
        <v>2</v>
      </c>
      <c r="D689" s="114">
        <v>0.00036261359660243913</v>
      </c>
      <c r="E689" s="114">
        <v>1.4907775720489693</v>
      </c>
      <c r="F689" s="112" t="s">
        <v>3314</v>
      </c>
      <c r="G689" s="112" t="b">
        <v>0</v>
      </c>
      <c r="H689" s="112" t="b">
        <v>0</v>
      </c>
      <c r="I689" s="112" t="b">
        <v>0</v>
      </c>
      <c r="J689" s="112" t="b">
        <v>0</v>
      </c>
      <c r="K689" s="112" t="b">
        <v>0</v>
      </c>
      <c r="L689" s="112" t="b">
        <v>0</v>
      </c>
    </row>
    <row r="690" spans="1:12" ht="15">
      <c r="A690" s="112" t="s">
        <v>2188</v>
      </c>
      <c r="B690" s="112" t="s">
        <v>2107</v>
      </c>
      <c r="C690" s="112">
        <v>2</v>
      </c>
      <c r="D690" s="114">
        <v>0.00036261359660243913</v>
      </c>
      <c r="E690" s="114">
        <v>1.4907775720489693</v>
      </c>
      <c r="F690" s="112" t="s">
        <v>3314</v>
      </c>
      <c r="G690" s="112" t="b">
        <v>0</v>
      </c>
      <c r="H690" s="112" t="b">
        <v>0</v>
      </c>
      <c r="I690" s="112" t="b">
        <v>0</v>
      </c>
      <c r="J690" s="112" t="b">
        <v>0</v>
      </c>
      <c r="K690" s="112" t="b">
        <v>0</v>
      </c>
      <c r="L690" s="112" t="b">
        <v>0</v>
      </c>
    </row>
    <row r="691" spans="1:12" ht="15">
      <c r="A691" s="112" t="s">
        <v>2107</v>
      </c>
      <c r="B691" s="112" t="s">
        <v>2084</v>
      </c>
      <c r="C691" s="112">
        <v>2</v>
      </c>
      <c r="D691" s="114">
        <v>0.00036261359660243913</v>
      </c>
      <c r="E691" s="114">
        <v>0.6085377240301458</v>
      </c>
      <c r="F691" s="112" t="s">
        <v>3314</v>
      </c>
      <c r="G691" s="112" t="b">
        <v>0</v>
      </c>
      <c r="H691" s="112" t="b">
        <v>0</v>
      </c>
      <c r="I691" s="112" t="b">
        <v>0</v>
      </c>
      <c r="J691" s="112" t="b">
        <v>0</v>
      </c>
      <c r="K691" s="112" t="b">
        <v>1</v>
      </c>
      <c r="L691" s="112" t="b">
        <v>0</v>
      </c>
    </row>
    <row r="692" spans="1:12" ht="15">
      <c r="A692" s="112" t="s">
        <v>2107</v>
      </c>
      <c r="B692" s="112" t="s">
        <v>2189</v>
      </c>
      <c r="C692" s="112">
        <v>2</v>
      </c>
      <c r="D692" s="114">
        <v>0.00036261359660243913</v>
      </c>
      <c r="E692" s="114">
        <v>1.4907775720489693</v>
      </c>
      <c r="F692" s="112" t="s">
        <v>3314</v>
      </c>
      <c r="G692" s="112" t="b">
        <v>0</v>
      </c>
      <c r="H692" s="112" t="b">
        <v>0</v>
      </c>
      <c r="I692" s="112" t="b">
        <v>0</v>
      </c>
      <c r="J692" s="112" t="b">
        <v>0</v>
      </c>
      <c r="K692" s="112" t="b">
        <v>0</v>
      </c>
      <c r="L692" s="112" t="b">
        <v>0</v>
      </c>
    </row>
    <row r="693" spans="1:12" ht="15">
      <c r="A693" s="112" t="s">
        <v>2189</v>
      </c>
      <c r="B693" s="112" t="s">
        <v>2107</v>
      </c>
      <c r="C693" s="112">
        <v>2</v>
      </c>
      <c r="D693" s="114">
        <v>0.00036261359660243913</v>
      </c>
      <c r="E693" s="114">
        <v>1.5809542023980574</v>
      </c>
      <c r="F693" s="112" t="s">
        <v>3314</v>
      </c>
      <c r="G693" s="112" t="b">
        <v>0</v>
      </c>
      <c r="H693" s="112" t="b">
        <v>0</v>
      </c>
      <c r="I693" s="112" t="b">
        <v>0</v>
      </c>
      <c r="J693" s="112" t="b">
        <v>0</v>
      </c>
      <c r="K693" s="112" t="b">
        <v>0</v>
      </c>
      <c r="L693" s="112" t="b">
        <v>0</v>
      </c>
    </row>
    <row r="694" spans="1:12" ht="15">
      <c r="A694" s="112" t="s">
        <v>2180</v>
      </c>
      <c r="B694" s="112" t="s">
        <v>2174</v>
      </c>
      <c r="C694" s="112">
        <v>2</v>
      </c>
      <c r="D694" s="114">
        <v>0.00036261359660243913</v>
      </c>
      <c r="E694" s="114">
        <v>1.8904173655989012</v>
      </c>
      <c r="F694" s="112" t="s">
        <v>3314</v>
      </c>
      <c r="G694" s="112" t="b">
        <v>0</v>
      </c>
      <c r="H694" s="112" t="b">
        <v>0</v>
      </c>
      <c r="I694" s="112" t="b">
        <v>0</v>
      </c>
      <c r="J694" s="112" t="b">
        <v>0</v>
      </c>
      <c r="K694" s="112" t="b">
        <v>0</v>
      </c>
      <c r="L694" s="112" t="b">
        <v>0</v>
      </c>
    </row>
    <row r="695" spans="1:12" ht="15">
      <c r="A695" s="112" t="s">
        <v>2091</v>
      </c>
      <c r="B695" s="112" t="s">
        <v>2136</v>
      </c>
      <c r="C695" s="112">
        <v>2</v>
      </c>
      <c r="D695" s="114">
        <v>0.00036261359660243913</v>
      </c>
      <c r="E695" s="114">
        <v>0.9467095276986937</v>
      </c>
      <c r="F695" s="112" t="s">
        <v>3314</v>
      </c>
      <c r="G695" s="112" t="b">
        <v>0</v>
      </c>
      <c r="H695" s="112" t="b">
        <v>0</v>
      </c>
      <c r="I695" s="112" t="b">
        <v>0</v>
      </c>
      <c r="J695" s="112" t="b">
        <v>0</v>
      </c>
      <c r="K695" s="112" t="b">
        <v>1</v>
      </c>
      <c r="L695" s="112" t="b">
        <v>0</v>
      </c>
    </row>
    <row r="696" spans="1:12" ht="15">
      <c r="A696" s="112" t="s">
        <v>2136</v>
      </c>
      <c r="B696" s="112" t="s">
        <v>2900</v>
      </c>
      <c r="C696" s="112">
        <v>2</v>
      </c>
      <c r="D696" s="114">
        <v>0.00036261359660243913</v>
      </c>
      <c r="E696" s="114">
        <v>2.569958818096594</v>
      </c>
      <c r="F696" s="112" t="s">
        <v>3314</v>
      </c>
      <c r="G696" s="112" t="b">
        <v>0</v>
      </c>
      <c r="H696" s="112" t="b">
        <v>1</v>
      </c>
      <c r="I696" s="112" t="b">
        <v>0</v>
      </c>
      <c r="J696" s="112" t="b">
        <v>0</v>
      </c>
      <c r="K696" s="112" t="b">
        <v>0</v>
      </c>
      <c r="L696" s="112" t="b">
        <v>0</v>
      </c>
    </row>
    <row r="697" spans="1:12" ht="15">
      <c r="A697" s="112" t="s">
        <v>2900</v>
      </c>
      <c r="B697" s="112" t="s">
        <v>2136</v>
      </c>
      <c r="C697" s="112">
        <v>2</v>
      </c>
      <c r="D697" s="114">
        <v>0.00036261359660243913</v>
      </c>
      <c r="E697" s="114">
        <v>2.569958818096594</v>
      </c>
      <c r="F697" s="112" t="s">
        <v>3314</v>
      </c>
      <c r="G697" s="112" t="b">
        <v>0</v>
      </c>
      <c r="H697" s="112" t="b">
        <v>0</v>
      </c>
      <c r="I697" s="112" t="b">
        <v>0</v>
      </c>
      <c r="J697" s="112" t="b">
        <v>0</v>
      </c>
      <c r="K697" s="112" t="b">
        <v>1</v>
      </c>
      <c r="L697" s="112" t="b">
        <v>0</v>
      </c>
    </row>
    <row r="698" spans="1:12" ht="15">
      <c r="A698" s="112" t="s">
        <v>2136</v>
      </c>
      <c r="B698" s="112" t="s">
        <v>2358</v>
      </c>
      <c r="C698" s="112">
        <v>2</v>
      </c>
      <c r="D698" s="114">
        <v>0.00036261359660243913</v>
      </c>
      <c r="E698" s="114">
        <v>2.0258907737463185</v>
      </c>
      <c r="F698" s="112" t="s">
        <v>3314</v>
      </c>
      <c r="G698" s="112" t="b">
        <v>0</v>
      </c>
      <c r="H698" s="112" t="b">
        <v>1</v>
      </c>
      <c r="I698" s="112" t="b">
        <v>0</v>
      </c>
      <c r="J698" s="112" t="b">
        <v>0</v>
      </c>
      <c r="K698" s="112" t="b">
        <v>0</v>
      </c>
      <c r="L698" s="112" t="b">
        <v>0</v>
      </c>
    </row>
    <row r="699" spans="1:12" ht="15">
      <c r="A699" s="112" t="s">
        <v>2449</v>
      </c>
      <c r="B699" s="112" t="s">
        <v>2146</v>
      </c>
      <c r="C699" s="112">
        <v>2</v>
      </c>
      <c r="D699" s="114">
        <v>0.00036261359660243913</v>
      </c>
      <c r="E699" s="114">
        <v>2.2621954397736443</v>
      </c>
      <c r="F699" s="112" t="s">
        <v>3314</v>
      </c>
      <c r="G699" s="112" t="b">
        <v>0</v>
      </c>
      <c r="H699" s="112" t="b">
        <v>0</v>
      </c>
      <c r="I699" s="112" t="b">
        <v>0</v>
      </c>
      <c r="J699" s="112" t="b">
        <v>0</v>
      </c>
      <c r="K699" s="112" t="b">
        <v>1</v>
      </c>
      <c r="L699" s="112" t="b">
        <v>0</v>
      </c>
    </row>
    <row r="700" spans="1:12" ht="15">
      <c r="A700" s="112" t="s">
        <v>2136</v>
      </c>
      <c r="B700" s="112" t="s">
        <v>2901</v>
      </c>
      <c r="C700" s="112">
        <v>2</v>
      </c>
      <c r="D700" s="114">
        <v>0.00036261359660243913</v>
      </c>
      <c r="E700" s="114">
        <v>2.569958818096594</v>
      </c>
      <c r="F700" s="112" t="s">
        <v>3314</v>
      </c>
      <c r="G700" s="112" t="b">
        <v>0</v>
      </c>
      <c r="H700" s="112" t="b">
        <v>1</v>
      </c>
      <c r="I700" s="112" t="b">
        <v>0</v>
      </c>
      <c r="J700" s="112" t="b">
        <v>0</v>
      </c>
      <c r="K700" s="112" t="b">
        <v>1</v>
      </c>
      <c r="L700" s="112" t="b">
        <v>0</v>
      </c>
    </row>
    <row r="701" spans="1:12" ht="15">
      <c r="A701" s="112" t="s">
        <v>2174</v>
      </c>
      <c r="B701" s="112" t="s">
        <v>2902</v>
      </c>
      <c r="C701" s="112">
        <v>2</v>
      </c>
      <c r="D701" s="114">
        <v>0.00036261359660243913</v>
      </c>
      <c r="E701" s="114">
        <v>2.819836291313194</v>
      </c>
      <c r="F701" s="112" t="s">
        <v>3314</v>
      </c>
      <c r="G701" s="112" t="b">
        <v>0</v>
      </c>
      <c r="H701" s="112" t="b">
        <v>0</v>
      </c>
      <c r="I701" s="112" t="b">
        <v>0</v>
      </c>
      <c r="J701" s="112" t="b">
        <v>0</v>
      </c>
      <c r="K701" s="112" t="b">
        <v>0</v>
      </c>
      <c r="L701" s="112" t="b">
        <v>0</v>
      </c>
    </row>
    <row r="702" spans="1:12" ht="15">
      <c r="A702" s="112" t="s">
        <v>2136</v>
      </c>
      <c r="B702" s="112" t="s">
        <v>2146</v>
      </c>
      <c r="C702" s="112">
        <v>2</v>
      </c>
      <c r="D702" s="114">
        <v>0.00036261359660243913</v>
      </c>
      <c r="E702" s="114">
        <v>1.4560154657897573</v>
      </c>
      <c r="F702" s="112" t="s">
        <v>3314</v>
      </c>
      <c r="G702" s="112" t="b">
        <v>0</v>
      </c>
      <c r="H702" s="112" t="b">
        <v>1</v>
      </c>
      <c r="I702" s="112" t="b">
        <v>0</v>
      </c>
      <c r="J702" s="112" t="b">
        <v>0</v>
      </c>
      <c r="K702" s="112" t="b">
        <v>1</v>
      </c>
      <c r="L702" s="112" t="b">
        <v>0</v>
      </c>
    </row>
    <row r="703" spans="1:12" ht="15">
      <c r="A703" s="112" t="s">
        <v>2405</v>
      </c>
      <c r="B703" s="112" t="s">
        <v>2317</v>
      </c>
      <c r="C703" s="112">
        <v>2</v>
      </c>
      <c r="D703" s="114">
        <v>0.00036261359660243913</v>
      </c>
      <c r="E703" s="114">
        <v>2.694897554704894</v>
      </c>
      <c r="F703" s="112" t="s">
        <v>3314</v>
      </c>
      <c r="G703" s="112" t="b">
        <v>0</v>
      </c>
      <c r="H703" s="112" t="b">
        <v>0</v>
      </c>
      <c r="I703" s="112" t="b">
        <v>0</v>
      </c>
      <c r="J703" s="112" t="b">
        <v>0</v>
      </c>
      <c r="K703" s="112" t="b">
        <v>0</v>
      </c>
      <c r="L703" s="112" t="b">
        <v>0</v>
      </c>
    </row>
    <row r="704" spans="1:12" ht="15">
      <c r="A704" s="112" t="s">
        <v>2317</v>
      </c>
      <c r="B704" s="112" t="s">
        <v>2285</v>
      </c>
      <c r="C704" s="112">
        <v>2</v>
      </c>
      <c r="D704" s="114">
        <v>0.00036261359660243913</v>
      </c>
      <c r="E704" s="114">
        <v>2.5188062956492128</v>
      </c>
      <c r="F704" s="112" t="s">
        <v>3314</v>
      </c>
      <c r="G704" s="112" t="b">
        <v>0</v>
      </c>
      <c r="H704" s="112" t="b">
        <v>0</v>
      </c>
      <c r="I704" s="112" t="b">
        <v>0</v>
      </c>
      <c r="J704" s="112" t="b">
        <v>0</v>
      </c>
      <c r="K704" s="112" t="b">
        <v>1</v>
      </c>
      <c r="L704" s="112" t="b">
        <v>0</v>
      </c>
    </row>
    <row r="705" spans="1:12" ht="15">
      <c r="A705" s="112" t="s">
        <v>2285</v>
      </c>
      <c r="B705" s="112" t="s">
        <v>2136</v>
      </c>
      <c r="C705" s="112">
        <v>2</v>
      </c>
      <c r="D705" s="114">
        <v>0.00036261359660243913</v>
      </c>
      <c r="E705" s="114">
        <v>1.9167463043212503</v>
      </c>
      <c r="F705" s="112" t="s">
        <v>3314</v>
      </c>
      <c r="G705" s="112" t="b">
        <v>0</v>
      </c>
      <c r="H705" s="112" t="b">
        <v>1</v>
      </c>
      <c r="I705" s="112" t="b">
        <v>0</v>
      </c>
      <c r="J705" s="112" t="b">
        <v>0</v>
      </c>
      <c r="K705" s="112" t="b">
        <v>1</v>
      </c>
      <c r="L705" s="112" t="b">
        <v>0</v>
      </c>
    </row>
    <row r="706" spans="1:12" ht="15">
      <c r="A706" s="112" t="s">
        <v>2136</v>
      </c>
      <c r="B706" s="112" t="s">
        <v>2109</v>
      </c>
      <c r="C706" s="112">
        <v>2</v>
      </c>
      <c r="D706" s="114">
        <v>0.00036261359660243913</v>
      </c>
      <c r="E706" s="114">
        <v>1.2082309820790014</v>
      </c>
      <c r="F706" s="112" t="s">
        <v>3314</v>
      </c>
      <c r="G706" s="112" t="b">
        <v>0</v>
      </c>
      <c r="H706" s="112" t="b">
        <v>1</v>
      </c>
      <c r="I706" s="112" t="b">
        <v>0</v>
      </c>
      <c r="J706" s="112" t="b">
        <v>0</v>
      </c>
      <c r="K706" s="112" t="b">
        <v>0</v>
      </c>
      <c r="L706" s="112" t="b">
        <v>0</v>
      </c>
    </row>
    <row r="707" spans="1:12" ht="15">
      <c r="A707" s="112" t="s">
        <v>2109</v>
      </c>
      <c r="B707" s="112" t="s">
        <v>2317</v>
      </c>
      <c r="C707" s="112">
        <v>2</v>
      </c>
      <c r="D707" s="114">
        <v>0.00036261359660243913</v>
      </c>
      <c r="E707" s="114">
        <v>1.8295961286023503</v>
      </c>
      <c r="F707" s="112" t="s">
        <v>3314</v>
      </c>
      <c r="G707" s="112" t="b">
        <v>0</v>
      </c>
      <c r="H707" s="112" t="b">
        <v>0</v>
      </c>
      <c r="I707" s="112" t="b">
        <v>0</v>
      </c>
      <c r="J707" s="112" t="b">
        <v>0</v>
      </c>
      <c r="K707" s="112" t="b">
        <v>0</v>
      </c>
      <c r="L707" s="112" t="b">
        <v>0</v>
      </c>
    </row>
    <row r="708" spans="1:12" ht="15">
      <c r="A708" s="112" t="s">
        <v>2449</v>
      </c>
      <c r="B708" s="112" t="s">
        <v>2136</v>
      </c>
      <c r="C708" s="112">
        <v>2</v>
      </c>
      <c r="D708" s="114">
        <v>0.00036261359660243913</v>
      </c>
      <c r="E708" s="114">
        <v>2.1720188094245563</v>
      </c>
      <c r="F708" s="112" t="s">
        <v>3314</v>
      </c>
      <c r="G708" s="112" t="b">
        <v>0</v>
      </c>
      <c r="H708" s="112" t="b">
        <v>0</v>
      </c>
      <c r="I708" s="112" t="b">
        <v>0</v>
      </c>
      <c r="J708" s="112" t="b">
        <v>0</v>
      </c>
      <c r="K708" s="112" t="b">
        <v>1</v>
      </c>
      <c r="L708" s="112" t="b">
        <v>0</v>
      </c>
    </row>
    <row r="709" spans="1:12" ht="15">
      <c r="A709" s="112" t="s">
        <v>2136</v>
      </c>
      <c r="B709" s="112" t="s">
        <v>2904</v>
      </c>
      <c r="C709" s="112">
        <v>2</v>
      </c>
      <c r="D709" s="114">
        <v>0.00036261359660243913</v>
      </c>
      <c r="E709" s="114">
        <v>2.569958818096594</v>
      </c>
      <c r="F709" s="112" t="s">
        <v>3314</v>
      </c>
      <c r="G709" s="112" t="b">
        <v>0</v>
      </c>
      <c r="H709" s="112" t="b">
        <v>1</v>
      </c>
      <c r="I709" s="112" t="b">
        <v>0</v>
      </c>
      <c r="J709" s="112" t="b">
        <v>0</v>
      </c>
      <c r="K709" s="112" t="b">
        <v>0</v>
      </c>
      <c r="L709" s="112" t="b">
        <v>0</v>
      </c>
    </row>
    <row r="710" spans="1:12" ht="15">
      <c r="A710" s="112" t="s">
        <v>2091</v>
      </c>
      <c r="B710" s="112" t="s">
        <v>2174</v>
      </c>
      <c r="C710" s="112">
        <v>2</v>
      </c>
      <c r="D710" s="114">
        <v>0.00036261359660243913</v>
      </c>
      <c r="E710" s="114">
        <v>1.1965870009152935</v>
      </c>
      <c r="F710" s="112" t="s">
        <v>3314</v>
      </c>
      <c r="G710" s="112" t="b">
        <v>0</v>
      </c>
      <c r="H710" s="112" t="b">
        <v>0</v>
      </c>
      <c r="I710" s="112" t="b">
        <v>0</v>
      </c>
      <c r="J710" s="112" t="b">
        <v>0</v>
      </c>
      <c r="K710" s="112" t="b">
        <v>0</v>
      </c>
      <c r="L710" s="112" t="b">
        <v>0</v>
      </c>
    </row>
    <row r="711" spans="1:12" ht="15">
      <c r="A711" s="112" t="s">
        <v>2174</v>
      </c>
      <c r="B711" s="112" t="s">
        <v>2905</v>
      </c>
      <c r="C711" s="112">
        <v>2</v>
      </c>
      <c r="D711" s="114">
        <v>0.00036261359660243913</v>
      </c>
      <c r="E711" s="114">
        <v>2.819836291313194</v>
      </c>
      <c r="F711" s="112" t="s">
        <v>3314</v>
      </c>
      <c r="G711" s="112" t="b">
        <v>0</v>
      </c>
      <c r="H711" s="112" t="b">
        <v>0</v>
      </c>
      <c r="I711" s="112" t="b">
        <v>0</v>
      </c>
      <c r="J711" s="112" t="b">
        <v>0</v>
      </c>
      <c r="K711" s="112" t="b">
        <v>0</v>
      </c>
      <c r="L711" s="112" t="b">
        <v>0</v>
      </c>
    </row>
    <row r="712" spans="1:12" ht="15">
      <c r="A712" s="112" t="s">
        <v>2136</v>
      </c>
      <c r="B712" s="112" t="s">
        <v>2906</v>
      </c>
      <c r="C712" s="112">
        <v>2</v>
      </c>
      <c r="D712" s="114">
        <v>0.00036261359660243913</v>
      </c>
      <c r="E712" s="114">
        <v>2.569958818096594</v>
      </c>
      <c r="F712" s="112" t="s">
        <v>3314</v>
      </c>
      <c r="G712" s="112" t="b">
        <v>0</v>
      </c>
      <c r="H712" s="112" t="b">
        <v>1</v>
      </c>
      <c r="I712" s="112" t="b">
        <v>0</v>
      </c>
      <c r="J712" s="112" t="b">
        <v>0</v>
      </c>
      <c r="K712" s="112" t="b">
        <v>1</v>
      </c>
      <c r="L712" s="112" t="b">
        <v>0</v>
      </c>
    </row>
    <row r="713" spans="1:12" ht="15">
      <c r="A713" s="112" t="s">
        <v>2907</v>
      </c>
      <c r="B713" s="112" t="s">
        <v>2174</v>
      </c>
      <c r="C713" s="112">
        <v>2</v>
      </c>
      <c r="D713" s="114">
        <v>0.00036261359660243913</v>
      </c>
      <c r="E713" s="114">
        <v>2.819836291313194</v>
      </c>
      <c r="F713" s="112" t="s">
        <v>3314</v>
      </c>
      <c r="G713" s="112" t="b">
        <v>0</v>
      </c>
      <c r="H713" s="112" t="b">
        <v>0</v>
      </c>
      <c r="I713" s="112" t="b">
        <v>0</v>
      </c>
      <c r="J713" s="112" t="b">
        <v>0</v>
      </c>
      <c r="K713" s="112" t="b">
        <v>0</v>
      </c>
      <c r="L713" s="112" t="b">
        <v>0</v>
      </c>
    </row>
    <row r="714" spans="1:12" ht="15">
      <c r="A714" s="112" t="s">
        <v>2174</v>
      </c>
      <c r="B714" s="112" t="s">
        <v>2146</v>
      </c>
      <c r="C714" s="112">
        <v>2</v>
      </c>
      <c r="D714" s="114">
        <v>0.00036261359660243913</v>
      </c>
      <c r="E714" s="114">
        <v>1.7058929390063573</v>
      </c>
      <c r="F714" s="112" t="s">
        <v>3314</v>
      </c>
      <c r="G714" s="112" t="b">
        <v>0</v>
      </c>
      <c r="H714" s="112" t="b">
        <v>0</v>
      </c>
      <c r="I714" s="112" t="b">
        <v>0</v>
      </c>
      <c r="J714" s="112" t="b">
        <v>0</v>
      </c>
      <c r="K714" s="112" t="b">
        <v>1</v>
      </c>
      <c r="L714" s="112" t="b">
        <v>0</v>
      </c>
    </row>
    <row r="715" spans="1:12" ht="15">
      <c r="A715" s="112" t="s">
        <v>2178</v>
      </c>
      <c r="B715" s="112" t="s">
        <v>2908</v>
      </c>
      <c r="C715" s="112">
        <v>2</v>
      </c>
      <c r="D715" s="114">
        <v>0.00036261359660243913</v>
      </c>
      <c r="E715" s="114">
        <v>2.8709888137605755</v>
      </c>
      <c r="F715" s="112" t="s">
        <v>3314</v>
      </c>
      <c r="G715" s="112" t="b">
        <v>0</v>
      </c>
      <c r="H715" s="112" t="b">
        <v>0</v>
      </c>
      <c r="I715" s="112" t="b">
        <v>0</v>
      </c>
      <c r="J715" s="112" t="b">
        <v>0</v>
      </c>
      <c r="K715" s="112" t="b">
        <v>0</v>
      </c>
      <c r="L715" s="112" t="b">
        <v>0</v>
      </c>
    </row>
    <row r="716" spans="1:12" ht="15">
      <c r="A716" s="112" t="s">
        <v>2190</v>
      </c>
      <c r="B716" s="112" t="s">
        <v>2909</v>
      </c>
      <c r="C716" s="112">
        <v>2</v>
      </c>
      <c r="D716" s="114">
        <v>0.00036261359660243913</v>
      </c>
      <c r="E716" s="114">
        <v>2.8709888137605755</v>
      </c>
      <c r="F716" s="112" t="s">
        <v>3314</v>
      </c>
      <c r="G716" s="112" t="b">
        <v>0</v>
      </c>
      <c r="H716" s="112" t="b">
        <v>0</v>
      </c>
      <c r="I716" s="112" t="b">
        <v>0</v>
      </c>
      <c r="J716" s="112" t="b">
        <v>1</v>
      </c>
      <c r="K716" s="112" t="b">
        <v>0</v>
      </c>
      <c r="L716" s="112" t="b">
        <v>0</v>
      </c>
    </row>
    <row r="717" spans="1:12" ht="15">
      <c r="A717" s="112" t="s">
        <v>2180</v>
      </c>
      <c r="B717" s="112" t="s">
        <v>2101</v>
      </c>
      <c r="C717" s="112">
        <v>2</v>
      </c>
      <c r="D717" s="114">
        <v>0.00036261359660243913</v>
      </c>
      <c r="E717" s="114">
        <v>1.4214140011014182</v>
      </c>
      <c r="F717" s="112" t="s">
        <v>3314</v>
      </c>
      <c r="G717" s="112" t="b">
        <v>0</v>
      </c>
      <c r="H717" s="112" t="b">
        <v>0</v>
      </c>
      <c r="I717" s="112" t="b">
        <v>0</v>
      </c>
      <c r="J717" s="112" t="b">
        <v>0</v>
      </c>
      <c r="K717" s="112" t="b">
        <v>0</v>
      </c>
      <c r="L717" s="112" t="b">
        <v>0</v>
      </c>
    </row>
    <row r="718" spans="1:12" ht="15">
      <c r="A718" s="112" t="s">
        <v>2101</v>
      </c>
      <c r="B718" s="112" t="s">
        <v>2910</v>
      </c>
      <c r="C718" s="112">
        <v>2</v>
      </c>
      <c r="D718" s="114">
        <v>0.00036261359660243913</v>
      </c>
      <c r="E718" s="114">
        <v>2.359105452781701</v>
      </c>
      <c r="F718" s="112" t="s">
        <v>3314</v>
      </c>
      <c r="G718" s="112" t="b">
        <v>0</v>
      </c>
      <c r="H718" s="112" t="b">
        <v>0</v>
      </c>
      <c r="I718" s="112" t="b">
        <v>0</v>
      </c>
      <c r="J718" s="112" t="b">
        <v>1</v>
      </c>
      <c r="K718" s="112" t="b">
        <v>0</v>
      </c>
      <c r="L718" s="112" t="b">
        <v>0</v>
      </c>
    </row>
    <row r="719" spans="1:12" ht="15">
      <c r="A719" s="112" t="s">
        <v>2101</v>
      </c>
      <c r="B719" s="112" t="s">
        <v>2132</v>
      </c>
      <c r="C719" s="112">
        <v>2</v>
      </c>
      <c r="D719" s="114">
        <v>0.00036261359660243913</v>
      </c>
      <c r="E719" s="114">
        <v>1.1286565314034271</v>
      </c>
      <c r="F719" s="112" t="s">
        <v>3314</v>
      </c>
      <c r="G719" s="112" t="b">
        <v>0</v>
      </c>
      <c r="H719" s="112" t="b">
        <v>0</v>
      </c>
      <c r="I719" s="112" t="b">
        <v>0</v>
      </c>
      <c r="J719" s="112" t="b">
        <v>0</v>
      </c>
      <c r="K719" s="112" t="b">
        <v>0</v>
      </c>
      <c r="L719" s="112" t="b">
        <v>0</v>
      </c>
    </row>
    <row r="720" spans="1:12" ht="15">
      <c r="A720" s="112" t="s">
        <v>2669</v>
      </c>
      <c r="B720" s="112" t="s">
        <v>2097</v>
      </c>
      <c r="C720" s="112">
        <v>2</v>
      </c>
      <c r="D720" s="114">
        <v>0.00036261359660243913</v>
      </c>
      <c r="E720" s="114">
        <v>2.1508295103546184</v>
      </c>
      <c r="F720" s="112" t="s">
        <v>3314</v>
      </c>
      <c r="G720" s="112" t="b">
        <v>0</v>
      </c>
      <c r="H720" s="112" t="b">
        <v>0</v>
      </c>
      <c r="I720" s="112" t="b">
        <v>0</v>
      </c>
      <c r="J720" s="112" t="b">
        <v>0</v>
      </c>
      <c r="K720" s="112" t="b">
        <v>0</v>
      </c>
      <c r="L720" s="112" t="b">
        <v>0</v>
      </c>
    </row>
    <row r="721" spans="1:12" ht="15">
      <c r="A721" s="112" t="s">
        <v>2097</v>
      </c>
      <c r="B721" s="112" t="s">
        <v>2178</v>
      </c>
      <c r="C721" s="112">
        <v>2</v>
      </c>
      <c r="D721" s="114">
        <v>0.00036261359660243913</v>
      </c>
      <c r="E721" s="114">
        <v>1.397501843696007</v>
      </c>
      <c r="F721" s="112" t="s">
        <v>3314</v>
      </c>
      <c r="G721" s="112" t="b">
        <v>0</v>
      </c>
      <c r="H721" s="112" t="b">
        <v>0</v>
      </c>
      <c r="I721" s="112" t="b">
        <v>0</v>
      </c>
      <c r="J721" s="112" t="b">
        <v>0</v>
      </c>
      <c r="K721" s="112" t="b">
        <v>0</v>
      </c>
      <c r="L721" s="112" t="b">
        <v>0</v>
      </c>
    </row>
    <row r="722" spans="1:12" ht="15">
      <c r="A722" s="112" t="s">
        <v>2451</v>
      </c>
      <c r="B722" s="112" t="s">
        <v>2112</v>
      </c>
      <c r="C722" s="112">
        <v>2</v>
      </c>
      <c r="D722" s="114">
        <v>0.00036261359660243913</v>
      </c>
      <c r="E722" s="114">
        <v>2.1208662869771753</v>
      </c>
      <c r="F722" s="112" t="s">
        <v>3314</v>
      </c>
      <c r="G722" s="112" t="b">
        <v>0</v>
      </c>
      <c r="H722" s="112" t="b">
        <v>0</v>
      </c>
      <c r="I722" s="112" t="b">
        <v>0</v>
      </c>
      <c r="J722" s="112" t="b">
        <v>0</v>
      </c>
      <c r="K722" s="112" t="b">
        <v>0</v>
      </c>
      <c r="L722" s="112" t="b">
        <v>0</v>
      </c>
    </row>
    <row r="723" spans="1:12" ht="15">
      <c r="A723" s="112" t="s">
        <v>2101</v>
      </c>
      <c r="B723" s="112" t="s">
        <v>2672</v>
      </c>
      <c r="C723" s="112">
        <v>2</v>
      </c>
      <c r="D723" s="114">
        <v>0.00036261359660243913</v>
      </c>
      <c r="E723" s="114">
        <v>2.1830141937260197</v>
      </c>
      <c r="F723" s="112" t="s">
        <v>3314</v>
      </c>
      <c r="G723" s="112" t="b">
        <v>0</v>
      </c>
      <c r="H723" s="112" t="b">
        <v>0</v>
      </c>
      <c r="I723" s="112" t="b">
        <v>0</v>
      </c>
      <c r="J723" s="112" t="b">
        <v>0</v>
      </c>
      <c r="K723" s="112" t="b">
        <v>1</v>
      </c>
      <c r="L723" s="112" t="b">
        <v>0</v>
      </c>
    </row>
    <row r="724" spans="1:12" ht="15">
      <c r="A724" s="112" t="s">
        <v>2672</v>
      </c>
      <c r="B724" s="112" t="s">
        <v>2101</v>
      </c>
      <c r="C724" s="112">
        <v>2</v>
      </c>
      <c r="D724" s="114">
        <v>0.00036261359660243913</v>
      </c>
      <c r="E724" s="114">
        <v>2.17474166776003</v>
      </c>
      <c r="F724" s="112" t="s">
        <v>3314</v>
      </c>
      <c r="G724" s="112" t="b">
        <v>0</v>
      </c>
      <c r="H724" s="112" t="b">
        <v>1</v>
      </c>
      <c r="I724" s="112" t="b">
        <v>0</v>
      </c>
      <c r="J724" s="112" t="b">
        <v>0</v>
      </c>
      <c r="K724" s="112" t="b">
        <v>0</v>
      </c>
      <c r="L724" s="112" t="b">
        <v>0</v>
      </c>
    </row>
    <row r="725" spans="1:12" ht="15">
      <c r="A725" s="112" t="s">
        <v>2101</v>
      </c>
      <c r="B725" s="112" t="s">
        <v>2673</v>
      </c>
      <c r="C725" s="112">
        <v>2</v>
      </c>
      <c r="D725" s="114">
        <v>0.00036261359660243913</v>
      </c>
      <c r="E725" s="114">
        <v>2.1830141937260197</v>
      </c>
      <c r="F725" s="112" t="s">
        <v>3314</v>
      </c>
      <c r="G725" s="112" t="b">
        <v>0</v>
      </c>
      <c r="H725" s="112" t="b">
        <v>0</v>
      </c>
      <c r="I725" s="112" t="b">
        <v>0</v>
      </c>
      <c r="J725" s="112" t="b">
        <v>0</v>
      </c>
      <c r="K725" s="112" t="b">
        <v>0</v>
      </c>
      <c r="L725" s="112" t="b">
        <v>0</v>
      </c>
    </row>
    <row r="726" spans="1:12" ht="15">
      <c r="A726" s="112" t="s">
        <v>2673</v>
      </c>
      <c r="B726" s="112" t="s">
        <v>2912</v>
      </c>
      <c r="C726" s="112">
        <v>2</v>
      </c>
      <c r="D726" s="114">
        <v>0.00036261359660243913</v>
      </c>
      <c r="E726" s="114">
        <v>3.5979875416968374</v>
      </c>
      <c r="F726" s="112" t="s">
        <v>3314</v>
      </c>
      <c r="G726" s="112" t="b">
        <v>0</v>
      </c>
      <c r="H726" s="112" t="b">
        <v>0</v>
      </c>
      <c r="I726" s="112" t="b">
        <v>0</v>
      </c>
      <c r="J726" s="112" t="b">
        <v>0</v>
      </c>
      <c r="K726" s="112" t="b">
        <v>0</v>
      </c>
      <c r="L726" s="112" t="b">
        <v>0</v>
      </c>
    </row>
    <row r="727" spans="1:12" ht="15">
      <c r="A727" s="112" t="s">
        <v>2912</v>
      </c>
      <c r="B727" s="112" t="s">
        <v>2101</v>
      </c>
      <c r="C727" s="112">
        <v>2</v>
      </c>
      <c r="D727" s="114">
        <v>0.00036261359660243913</v>
      </c>
      <c r="E727" s="114">
        <v>2.350832926815711</v>
      </c>
      <c r="F727" s="112" t="s">
        <v>3314</v>
      </c>
      <c r="G727" s="112" t="b">
        <v>0</v>
      </c>
      <c r="H727" s="112" t="b">
        <v>0</v>
      </c>
      <c r="I727" s="112" t="b">
        <v>0</v>
      </c>
      <c r="J727" s="112" t="b">
        <v>0</v>
      </c>
      <c r="K727" s="112" t="b">
        <v>0</v>
      </c>
      <c r="L727" s="112" t="b">
        <v>0</v>
      </c>
    </row>
    <row r="728" spans="1:12" ht="15">
      <c r="A728" s="112" t="s">
        <v>2101</v>
      </c>
      <c r="B728" s="112" t="s">
        <v>2913</v>
      </c>
      <c r="C728" s="112">
        <v>2</v>
      </c>
      <c r="D728" s="114">
        <v>0.00036261359660243913</v>
      </c>
      <c r="E728" s="114">
        <v>2.359105452781701</v>
      </c>
      <c r="F728" s="112" t="s">
        <v>3314</v>
      </c>
      <c r="G728" s="112" t="b">
        <v>0</v>
      </c>
      <c r="H728" s="112" t="b">
        <v>0</v>
      </c>
      <c r="I728" s="112" t="b">
        <v>0</v>
      </c>
      <c r="J728" s="112" t="b">
        <v>0</v>
      </c>
      <c r="K728" s="112" t="b">
        <v>1</v>
      </c>
      <c r="L728" s="112" t="b">
        <v>0</v>
      </c>
    </row>
    <row r="729" spans="1:12" ht="15">
      <c r="A729" s="112" t="s">
        <v>2091</v>
      </c>
      <c r="B729" s="112" t="s">
        <v>2084</v>
      </c>
      <c r="C729" s="112">
        <v>2</v>
      </c>
      <c r="D729" s="114">
        <v>0.00036261359660243913</v>
      </c>
      <c r="E729" s="114">
        <v>0.36549967534385136</v>
      </c>
      <c r="F729" s="112" t="s">
        <v>3314</v>
      </c>
      <c r="G729" s="112" t="b">
        <v>0</v>
      </c>
      <c r="H729" s="112" t="b">
        <v>0</v>
      </c>
      <c r="I729" s="112" t="b">
        <v>0</v>
      </c>
      <c r="J729" s="112" t="b">
        <v>0</v>
      </c>
      <c r="K729" s="112" t="b">
        <v>1</v>
      </c>
      <c r="L729" s="112" t="b">
        <v>0</v>
      </c>
    </row>
    <row r="730" spans="1:12" ht="15">
      <c r="A730" s="112" t="s">
        <v>2914</v>
      </c>
      <c r="B730" s="112" t="s">
        <v>2080</v>
      </c>
      <c r="C730" s="112">
        <v>2</v>
      </c>
      <c r="D730" s="114">
        <v>0.00036261359660243913</v>
      </c>
      <c r="E730" s="114">
        <v>1.8345595481339003</v>
      </c>
      <c r="F730" s="112" t="s">
        <v>3314</v>
      </c>
      <c r="G730" s="112" t="b">
        <v>0</v>
      </c>
      <c r="H730" s="112" t="b">
        <v>0</v>
      </c>
      <c r="I730" s="112" t="b">
        <v>0</v>
      </c>
      <c r="J730" s="112" t="b">
        <v>0</v>
      </c>
      <c r="K730" s="112" t="b">
        <v>0</v>
      </c>
      <c r="L730" s="112" t="b">
        <v>0</v>
      </c>
    </row>
    <row r="731" spans="1:12" ht="15">
      <c r="A731" s="112" t="s">
        <v>2083</v>
      </c>
      <c r="B731" s="112" t="s">
        <v>2227</v>
      </c>
      <c r="C731" s="112">
        <v>2</v>
      </c>
      <c r="D731" s="114">
        <v>0.00036261359660243913</v>
      </c>
      <c r="E731" s="114">
        <v>1.1931538250768996</v>
      </c>
      <c r="F731" s="112" t="s">
        <v>3314</v>
      </c>
      <c r="G731" s="112" t="b">
        <v>0</v>
      </c>
      <c r="H731" s="112" t="b">
        <v>0</v>
      </c>
      <c r="I731" s="112" t="b">
        <v>0</v>
      </c>
      <c r="J731" s="112" t="b">
        <v>0</v>
      </c>
      <c r="K731" s="112" t="b">
        <v>0</v>
      </c>
      <c r="L731" s="112" t="b">
        <v>0</v>
      </c>
    </row>
    <row r="732" spans="1:12" ht="15">
      <c r="A732" s="112" t="s">
        <v>2133</v>
      </c>
      <c r="B732" s="112" t="s">
        <v>2084</v>
      </c>
      <c r="C732" s="112">
        <v>2</v>
      </c>
      <c r="D732" s="114">
        <v>0.0004118981407517484</v>
      </c>
      <c r="E732" s="114">
        <v>0.758300044363478</v>
      </c>
      <c r="F732" s="112" t="s">
        <v>3314</v>
      </c>
      <c r="G732" s="112" t="b">
        <v>0</v>
      </c>
      <c r="H732" s="112" t="b">
        <v>0</v>
      </c>
      <c r="I732" s="112" t="b">
        <v>0</v>
      </c>
      <c r="J732" s="112" t="b">
        <v>0</v>
      </c>
      <c r="K732" s="112" t="b">
        <v>1</v>
      </c>
      <c r="L732" s="112" t="b">
        <v>0</v>
      </c>
    </row>
    <row r="733" spans="1:12" ht="15">
      <c r="A733" s="112" t="s">
        <v>2097</v>
      </c>
      <c r="B733" s="112" t="s">
        <v>2138</v>
      </c>
      <c r="C733" s="112">
        <v>2</v>
      </c>
      <c r="D733" s="114">
        <v>0.0004118981407517484</v>
      </c>
      <c r="E733" s="114">
        <v>1.1655527671753247</v>
      </c>
      <c r="F733" s="112" t="s">
        <v>3314</v>
      </c>
      <c r="G733" s="112" t="b">
        <v>0</v>
      </c>
      <c r="H733" s="112" t="b">
        <v>0</v>
      </c>
      <c r="I733" s="112" t="b">
        <v>0</v>
      </c>
      <c r="J733" s="112" t="b">
        <v>0</v>
      </c>
      <c r="K733" s="112" t="b">
        <v>0</v>
      </c>
      <c r="L733" s="112" t="b">
        <v>0</v>
      </c>
    </row>
    <row r="734" spans="1:12" ht="15">
      <c r="A734" s="112" t="s">
        <v>2323</v>
      </c>
      <c r="B734" s="112" t="s">
        <v>2138</v>
      </c>
      <c r="C734" s="112">
        <v>2</v>
      </c>
      <c r="D734" s="114">
        <v>0.00036261359660243913</v>
      </c>
      <c r="E734" s="114">
        <v>2.0106508071895814</v>
      </c>
      <c r="F734" s="112" t="s">
        <v>3314</v>
      </c>
      <c r="G734" s="112" t="b">
        <v>0</v>
      </c>
      <c r="H734" s="112" t="b">
        <v>0</v>
      </c>
      <c r="I734" s="112" t="b">
        <v>0</v>
      </c>
      <c r="J734" s="112" t="b">
        <v>0</v>
      </c>
      <c r="K734" s="112" t="b">
        <v>0</v>
      </c>
      <c r="L734" s="112" t="b">
        <v>0</v>
      </c>
    </row>
    <row r="735" spans="1:12" ht="15">
      <c r="A735" s="112" t="s">
        <v>2133</v>
      </c>
      <c r="B735" s="112" t="s">
        <v>2279</v>
      </c>
      <c r="C735" s="112">
        <v>2</v>
      </c>
      <c r="D735" s="114">
        <v>0.00036261359660243913</v>
      </c>
      <c r="E735" s="114">
        <v>1.8904173655989012</v>
      </c>
      <c r="F735" s="112" t="s">
        <v>3314</v>
      </c>
      <c r="G735" s="112" t="b">
        <v>0</v>
      </c>
      <c r="H735" s="112" t="b">
        <v>0</v>
      </c>
      <c r="I735" s="112" t="b">
        <v>0</v>
      </c>
      <c r="J735" s="112" t="b">
        <v>0</v>
      </c>
      <c r="K735" s="112" t="b">
        <v>0</v>
      </c>
      <c r="L735" s="112" t="b">
        <v>0</v>
      </c>
    </row>
    <row r="736" spans="1:12" ht="15">
      <c r="A736" s="112" t="s">
        <v>2097</v>
      </c>
      <c r="B736" s="112" t="s">
        <v>2677</v>
      </c>
      <c r="C736" s="112">
        <v>2</v>
      </c>
      <c r="D736" s="114">
        <v>0.0004118981407517484</v>
      </c>
      <c r="E736" s="114">
        <v>2.1508295103546184</v>
      </c>
      <c r="F736" s="112" t="s">
        <v>3314</v>
      </c>
      <c r="G736" s="112" t="b">
        <v>0</v>
      </c>
      <c r="H736" s="112" t="b">
        <v>0</v>
      </c>
      <c r="I736" s="112" t="b">
        <v>0</v>
      </c>
      <c r="J736" s="112" t="b">
        <v>1</v>
      </c>
      <c r="K736" s="112" t="b">
        <v>0</v>
      </c>
      <c r="L736" s="112" t="b">
        <v>0</v>
      </c>
    </row>
    <row r="737" spans="1:12" ht="15">
      <c r="A737" s="112" t="s">
        <v>2678</v>
      </c>
      <c r="B737" s="112" t="s">
        <v>2097</v>
      </c>
      <c r="C737" s="112">
        <v>2</v>
      </c>
      <c r="D737" s="114">
        <v>0.0004118981407517484</v>
      </c>
      <c r="E737" s="114">
        <v>2.1508295103546184</v>
      </c>
      <c r="F737" s="112" t="s">
        <v>3314</v>
      </c>
      <c r="G737" s="112" t="b">
        <v>1</v>
      </c>
      <c r="H737" s="112" t="b">
        <v>0</v>
      </c>
      <c r="I737" s="112" t="b">
        <v>0</v>
      </c>
      <c r="J737" s="112" t="b">
        <v>0</v>
      </c>
      <c r="K737" s="112" t="b">
        <v>0</v>
      </c>
      <c r="L737" s="112" t="b">
        <v>0</v>
      </c>
    </row>
    <row r="738" spans="1:12" ht="15">
      <c r="A738" s="112" t="s">
        <v>2324</v>
      </c>
      <c r="B738" s="112" t="s">
        <v>2681</v>
      </c>
      <c r="C738" s="112">
        <v>2</v>
      </c>
      <c r="D738" s="114">
        <v>0.0004118981407517484</v>
      </c>
      <c r="E738" s="114">
        <v>2.9959275503688754</v>
      </c>
      <c r="F738" s="112" t="s">
        <v>3314</v>
      </c>
      <c r="G738" s="112" t="b">
        <v>0</v>
      </c>
      <c r="H738" s="112" t="b">
        <v>0</v>
      </c>
      <c r="I738" s="112" t="b">
        <v>0</v>
      </c>
      <c r="J738" s="112" t="b">
        <v>0</v>
      </c>
      <c r="K738" s="112" t="b">
        <v>0</v>
      </c>
      <c r="L738" s="112" t="b">
        <v>0</v>
      </c>
    </row>
    <row r="739" spans="1:12" ht="15">
      <c r="A739" s="112" t="s">
        <v>2681</v>
      </c>
      <c r="B739" s="112" t="s">
        <v>2541</v>
      </c>
      <c r="C739" s="112">
        <v>2</v>
      </c>
      <c r="D739" s="114">
        <v>0.0004118981407517484</v>
      </c>
      <c r="E739" s="114">
        <v>3.2969575460328566</v>
      </c>
      <c r="F739" s="112" t="s">
        <v>3314</v>
      </c>
      <c r="G739" s="112" t="b">
        <v>0</v>
      </c>
      <c r="H739" s="112" t="b">
        <v>0</v>
      </c>
      <c r="I739" s="112" t="b">
        <v>0</v>
      </c>
      <c r="J739" s="112" t="b">
        <v>0</v>
      </c>
      <c r="K739" s="112" t="b">
        <v>1</v>
      </c>
      <c r="L739" s="112" t="b">
        <v>0</v>
      </c>
    </row>
    <row r="740" spans="1:12" ht="15">
      <c r="A740" s="112" t="s">
        <v>2200</v>
      </c>
      <c r="B740" s="112" t="s">
        <v>2188</v>
      </c>
      <c r="C740" s="112">
        <v>2</v>
      </c>
      <c r="D740" s="114">
        <v>0.00036261359660243913</v>
      </c>
      <c r="E740" s="114">
        <v>1.9959275503688754</v>
      </c>
      <c r="F740" s="112" t="s">
        <v>3314</v>
      </c>
      <c r="G740" s="112" t="b">
        <v>0</v>
      </c>
      <c r="H740" s="112" t="b">
        <v>0</v>
      </c>
      <c r="I740" s="112" t="b">
        <v>0</v>
      </c>
      <c r="J740" s="112" t="b">
        <v>0</v>
      </c>
      <c r="K740" s="112" t="b">
        <v>0</v>
      </c>
      <c r="L740" s="112" t="b">
        <v>0</v>
      </c>
    </row>
    <row r="741" spans="1:12" ht="15">
      <c r="A741" s="112" t="s">
        <v>2357</v>
      </c>
      <c r="B741" s="112" t="s">
        <v>2091</v>
      </c>
      <c r="C741" s="112">
        <v>2</v>
      </c>
      <c r="D741" s="114">
        <v>0.00036261359660243913</v>
      </c>
      <c r="E741" s="114">
        <v>1.6172268996825077</v>
      </c>
      <c r="F741" s="112" t="s">
        <v>3314</v>
      </c>
      <c r="G741" s="112" t="b">
        <v>0</v>
      </c>
      <c r="H741" s="112" t="b">
        <v>0</v>
      </c>
      <c r="I741" s="112" t="b">
        <v>0</v>
      </c>
      <c r="J741" s="112" t="b">
        <v>0</v>
      </c>
      <c r="K741" s="112" t="b">
        <v>0</v>
      </c>
      <c r="L741" s="112" t="b">
        <v>0</v>
      </c>
    </row>
    <row r="742" spans="1:12" ht="15">
      <c r="A742" s="112" t="s">
        <v>2091</v>
      </c>
      <c r="B742" s="112" t="s">
        <v>2285</v>
      </c>
      <c r="C742" s="112">
        <v>2</v>
      </c>
      <c r="D742" s="114">
        <v>0.00036261359660243913</v>
      </c>
      <c r="E742" s="114">
        <v>1.4976169965792747</v>
      </c>
      <c r="F742" s="112" t="s">
        <v>3314</v>
      </c>
      <c r="G742" s="112" t="b">
        <v>0</v>
      </c>
      <c r="H742" s="112" t="b">
        <v>0</v>
      </c>
      <c r="I742" s="112" t="b">
        <v>0</v>
      </c>
      <c r="J742" s="112" t="b">
        <v>0</v>
      </c>
      <c r="K742" s="112" t="b">
        <v>1</v>
      </c>
      <c r="L742" s="112" t="b">
        <v>0</v>
      </c>
    </row>
    <row r="743" spans="1:12" ht="15">
      <c r="A743" s="112" t="s">
        <v>2682</v>
      </c>
      <c r="B743" s="112" t="s">
        <v>2919</v>
      </c>
      <c r="C743" s="112">
        <v>2</v>
      </c>
      <c r="D743" s="114">
        <v>0.00036261359660243913</v>
      </c>
      <c r="E743" s="114">
        <v>3.5979875416968374</v>
      </c>
      <c r="F743" s="112" t="s">
        <v>3314</v>
      </c>
      <c r="G743" s="112" t="b">
        <v>0</v>
      </c>
      <c r="H743" s="112" t="b">
        <v>0</v>
      </c>
      <c r="I743" s="112" t="b">
        <v>0</v>
      </c>
      <c r="J743" s="112" t="b">
        <v>0</v>
      </c>
      <c r="K743" s="112" t="b">
        <v>0</v>
      </c>
      <c r="L743" s="112" t="b">
        <v>0</v>
      </c>
    </row>
    <row r="744" spans="1:12" ht="15">
      <c r="A744" s="112" t="s">
        <v>2919</v>
      </c>
      <c r="B744" s="112" t="s">
        <v>2920</v>
      </c>
      <c r="C744" s="112">
        <v>2</v>
      </c>
      <c r="D744" s="114">
        <v>0.00036261359660243913</v>
      </c>
      <c r="E744" s="114">
        <v>3.774078800752519</v>
      </c>
      <c r="F744" s="112" t="s">
        <v>3314</v>
      </c>
      <c r="G744" s="112" t="b">
        <v>0</v>
      </c>
      <c r="H744" s="112" t="b">
        <v>0</v>
      </c>
      <c r="I744" s="112" t="b">
        <v>0</v>
      </c>
      <c r="J744" s="112" t="b">
        <v>0</v>
      </c>
      <c r="K744" s="112" t="b">
        <v>0</v>
      </c>
      <c r="L744" s="112" t="b">
        <v>0</v>
      </c>
    </row>
    <row r="745" spans="1:12" ht="15">
      <c r="A745" s="112" t="s">
        <v>2200</v>
      </c>
      <c r="B745" s="112" t="s">
        <v>2091</v>
      </c>
      <c r="C745" s="112">
        <v>2</v>
      </c>
      <c r="D745" s="114">
        <v>0.0004118981407517484</v>
      </c>
      <c r="E745" s="114">
        <v>1.2862336806410835</v>
      </c>
      <c r="F745" s="112" t="s">
        <v>3314</v>
      </c>
      <c r="G745" s="112" t="b">
        <v>0</v>
      </c>
      <c r="H745" s="112" t="b">
        <v>0</v>
      </c>
      <c r="I745" s="112" t="b">
        <v>0</v>
      </c>
      <c r="J745" s="112" t="b">
        <v>0</v>
      </c>
      <c r="K745" s="112" t="b">
        <v>0</v>
      </c>
      <c r="L745" s="112" t="b">
        <v>0</v>
      </c>
    </row>
    <row r="746" spans="1:12" ht="15">
      <c r="A746" s="112" t="s">
        <v>2103</v>
      </c>
      <c r="B746" s="112" t="s">
        <v>2922</v>
      </c>
      <c r="C746" s="112">
        <v>2</v>
      </c>
      <c r="D746" s="114">
        <v>0.00036261359660243913</v>
      </c>
      <c r="E746" s="114">
        <v>2.359105452781701</v>
      </c>
      <c r="F746" s="112" t="s">
        <v>3314</v>
      </c>
      <c r="G746" s="112" t="b">
        <v>0</v>
      </c>
      <c r="H746" s="112" t="b">
        <v>0</v>
      </c>
      <c r="I746" s="112" t="b">
        <v>0</v>
      </c>
      <c r="J746" s="112" t="b">
        <v>0</v>
      </c>
      <c r="K746" s="112" t="b">
        <v>0</v>
      </c>
      <c r="L746" s="112" t="b">
        <v>0</v>
      </c>
    </row>
    <row r="747" spans="1:12" ht="15">
      <c r="A747" s="112" t="s">
        <v>2922</v>
      </c>
      <c r="B747" s="112" t="s">
        <v>2407</v>
      </c>
      <c r="C747" s="112">
        <v>2</v>
      </c>
      <c r="D747" s="114">
        <v>0.00036261359660243913</v>
      </c>
      <c r="E747" s="114">
        <v>3.2969575460328566</v>
      </c>
      <c r="F747" s="112" t="s">
        <v>3314</v>
      </c>
      <c r="G747" s="112" t="b">
        <v>0</v>
      </c>
      <c r="H747" s="112" t="b">
        <v>0</v>
      </c>
      <c r="I747" s="112" t="b">
        <v>0</v>
      </c>
      <c r="J747" s="112" t="b">
        <v>0</v>
      </c>
      <c r="K747" s="112" t="b">
        <v>1</v>
      </c>
      <c r="L747" s="112" t="b">
        <v>0</v>
      </c>
    </row>
    <row r="748" spans="1:12" ht="15">
      <c r="A748" s="112" t="s">
        <v>2292</v>
      </c>
      <c r="B748" s="112" t="s">
        <v>2408</v>
      </c>
      <c r="C748" s="112">
        <v>2</v>
      </c>
      <c r="D748" s="114">
        <v>0.00036261359660243913</v>
      </c>
      <c r="E748" s="114">
        <v>2.6437450322575127</v>
      </c>
      <c r="F748" s="112" t="s">
        <v>3314</v>
      </c>
      <c r="G748" s="112" t="b">
        <v>0</v>
      </c>
      <c r="H748" s="112" t="b">
        <v>0</v>
      </c>
      <c r="I748" s="112" t="b">
        <v>0</v>
      </c>
      <c r="J748" s="112" t="b">
        <v>0</v>
      </c>
      <c r="K748" s="112" t="b">
        <v>0</v>
      </c>
      <c r="L748" s="112" t="b">
        <v>0</v>
      </c>
    </row>
    <row r="749" spans="1:12" ht="15">
      <c r="A749" s="112" t="s">
        <v>2408</v>
      </c>
      <c r="B749" s="112" t="s">
        <v>2266</v>
      </c>
      <c r="C749" s="112">
        <v>2</v>
      </c>
      <c r="D749" s="114">
        <v>0.0004118981407517484</v>
      </c>
      <c r="E749" s="114">
        <v>2.5979875416968374</v>
      </c>
      <c r="F749" s="112" t="s">
        <v>3314</v>
      </c>
      <c r="G749" s="112" t="b">
        <v>0</v>
      </c>
      <c r="H749" s="112" t="b">
        <v>0</v>
      </c>
      <c r="I749" s="112" t="b">
        <v>0</v>
      </c>
      <c r="J749" s="112" t="b">
        <v>0</v>
      </c>
      <c r="K749" s="112" t="b">
        <v>0</v>
      </c>
      <c r="L749" s="112" t="b">
        <v>0</v>
      </c>
    </row>
    <row r="750" spans="1:12" ht="15">
      <c r="A750" s="112" t="s">
        <v>2684</v>
      </c>
      <c r="B750" s="112" t="s">
        <v>2089</v>
      </c>
      <c r="C750" s="112">
        <v>2</v>
      </c>
      <c r="D750" s="114">
        <v>0.00036261359660243913</v>
      </c>
      <c r="E750" s="114">
        <v>1.9167463043212503</v>
      </c>
      <c r="F750" s="112" t="s">
        <v>3314</v>
      </c>
      <c r="G750" s="112" t="b">
        <v>0</v>
      </c>
      <c r="H750" s="112" t="b">
        <v>0</v>
      </c>
      <c r="I750" s="112" t="b">
        <v>0</v>
      </c>
      <c r="J750" s="112" t="b">
        <v>0</v>
      </c>
      <c r="K750" s="112" t="b">
        <v>0</v>
      </c>
      <c r="L750" s="112" t="b">
        <v>0</v>
      </c>
    </row>
    <row r="751" spans="1:12" ht="15">
      <c r="A751" s="112" t="s">
        <v>2101</v>
      </c>
      <c r="B751" s="112" t="s">
        <v>2671</v>
      </c>
      <c r="C751" s="112">
        <v>2</v>
      </c>
      <c r="D751" s="114">
        <v>0.0004118981407517484</v>
      </c>
      <c r="E751" s="114">
        <v>2.1830141937260197</v>
      </c>
      <c r="F751" s="112" t="s">
        <v>3314</v>
      </c>
      <c r="G751" s="112" t="b">
        <v>0</v>
      </c>
      <c r="H751" s="112" t="b">
        <v>0</v>
      </c>
      <c r="I751" s="112" t="b">
        <v>0</v>
      </c>
      <c r="J751" s="112" t="b">
        <v>0</v>
      </c>
      <c r="K751" s="112" t="b">
        <v>0</v>
      </c>
      <c r="L751" s="112" t="b">
        <v>0</v>
      </c>
    </row>
    <row r="752" spans="1:12" ht="15">
      <c r="A752" s="112" t="s">
        <v>2676</v>
      </c>
      <c r="B752" s="112" t="s">
        <v>2101</v>
      </c>
      <c r="C752" s="112">
        <v>2</v>
      </c>
      <c r="D752" s="114">
        <v>0.0004118981407517484</v>
      </c>
      <c r="E752" s="114">
        <v>2.17474166776003</v>
      </c>
      <c r="F752" s="112" t="s">
        <v>3314</v>
      </c>
      <c r="G752" s="112" t="b">
        <v>0</v>
      </c>
      <c r="H752" s="112" t="b">
        <v>0</v>
      </c>
      <c r="I752" s="112" t="b">
        <v>0</v>
      </c>
      <c r="J752" s="112" t="b">
        <v>0</v>
      </c>
      <c r="K752" s="112" t="b">
        <v>0</v>
      </c>
      <c r="L752" s="112" t="b">
        <v>0</v>
      </c>
    </row>
    <row r="753" spans="1:12" ht="15">
      <c r="A753" s="112" t="s">
        <v>2084</v>
      </c>
      <c r="B753" s="112" t="s">
        <v>2926</v>
      </c>
      <c r="C753" s="112">
        <v>2</v>
      </c>
      <c r="D753" s="114">
        <v>0.00036261359660243913</v>
      </c>
      <c r="E753" s="114">
        <v>1.9959275503688754</v>
      </c>
      <c r="F753" s="112" t="s">
        <v>3314</v>
      </c>
      <c r="G753" s="112" t="b">
        <v>0</v>
      </c>
      <c r="H753" s="112" t="b">
        <v>1</v>
      </c>
      <c r="I753" s="112" t="b">
        <v>0</v>
      </c>
      <c r="J753" s="112" t="b">
        <v>1</v>
      </c>
      <c r="K753" s="112" t="b">
        <v>0</v>
      </c>
      <c r="L753" s="112" t="b">
        <v>0</v>
      </c>
    </row>
    <row r="754" spans="1:12" ht="15">
      <c r="A754" s="112" t="s">
        <v>2926</v>
      </c>
      <c r="B754" s="112" t="s">
        <v>2097</v>
      </c>
      <c r="C754" s="112">
        <v>2</v>
      </c>
      <c r="D754" s="114">
        <v>0.00036261359660243913</v>
      </c>
      <c r="E754" s="114">
        <v>2.3269207694103</v>
      </c>
      <c r="F754" s="112" t="s">
        <v>3314</v>
      </c>
      <c r="G754" s="112" t="b">
        <v>1</v>
      </c>
      <c r="H754" s="112" t="b">
        <v>0</v>
      </c>
      <c r="I754" s="112" t="b">
        <v>0</v>
      </c>
      <c r="J754" s="112" t="b">
        <v>0</v>
      </c>
      <c r="K754" s="112" t="b">
        <v>0</v>
      </c>
      <c r="L754" s="112" t="b">
        <v>0</v>
      </c>
    </row>
    <row r="755" spans="1:12" ht="15">
      <c r="A755" s="112" t="s">
        <v>2685</v>
      </c>
      <c r="B755" s="112" t="s">
        <v>2927</v>
      </c>
      <c r="C755" s="112">
        <v>2</v>
      </c>
      <c r="D755" s="114">
        <v>0.00036261359660243913</v>
      </c>
      <c r="E755" s="114">
        <v>3.5979875416968374</v>
      </c>
      <c r="F755" s="112" t="s">
        <v>3314</v>
      </c>
      <c r="G755" s="112" t="b">
        <v>0</v>
      </c>
      <c r="H755" s="112" t="b">
        <v>0</v>
      </c>
      <c r="I755" s="112" t="b">
        <v>0</v>
      </c>
      <c r="J755" s="112" t="b">
        <v>0</v>
      </c>
      <c r="K755" s="112" t="b">
        <v>0</v>
      </c>
      <c r="L755" s="112" t="b">
        <v>0</v>
      </c>
    </row>
    <row r="756" spans="1:12" ht="15">
      <c r="A756" s="112" t="s">
        <v>2277</v>
      </c>
      <c r="B756" s="112" t="s">
        <v>2080</v>
      </c>
      <c r="C756" s="112">
        <v>2</v>
      </c>
      <c r="D756" s="114">
        <v>0.00036261359660243913</v>
      </c>
      <c r="E756" s="114">
        <v>1.1813470343585566</v>
      </c>
      <c r="F756" s="112" t="s">
        <v>3314</v>
      </c>
      <c r="G756" s="112" t="b">
        <v>0</v>
      </c>
      <c r="H756" s="112" t="b">
        <v>0</v>
      </c>
      <c r="I756" s="112" t="b">
        <v>0</v>
      </c>
      <c r="J756" s="112" t="b">
        <v>0</v>
      </c>
      <c r="K756" s="112" t="b">
        <v>0</v>
      </c>
      <c r="L756" s="112" t="b">
        <v>0</v>
      </c>
    </row>
    <row r="757" spans="1:12" ht="15">
      <c r="A757" s="112" t="s">
        <v>2687</v>
      </c>
      <c r="B757" s="112" t="s">
        <v>2930</v>
      </c>
      <c r="C757" s="112">
        <v>2</v>
      </c>
      <c r="D757" s="114">
        <v>0.0004118981407517484</v>
      </c>
      <c r="E757" s="114">
        <v>3.5979875416968374</v>
      </c>
      <c r="F757" s="112" t="s">
        <v>3314</v>
      </c>
      <c r="G757" s="112" t="b">
        <v>0</v>
      </c>
      <c r="H757" s="112" t="b">
        <v>0</v>
      </c>
      <c r="I757" s="112" t="b">
        <v>0</v>
      </c>
      <c r="J757" s="112" t="b">
        <v>0</v>
      </c>
      <c r="K757" s="112" t="b">
        <v>0</v>
      </c>
      <c r="L757" s="112" t="b">
        <v>0</v>
      </c>
    </row>
    <row r="758" spans="1:12" ht="15">
      <c r="A758" s="112" t="s">
        <v>2218</v>
      </c>
      <c r="B758" s="112" t="s">
        <v>2193</v>
      </c>
      <c r="C758" s="112">
        <v>2</v>
      </c>
      <c r="D758" s="114">
        <v>0.00036261359660243913</v>
      </c>
      <c r="E758" s="114">
        <v>2.0580754571177198</v>
      </c>
      <c r="F758" s="112" t="s">
        <v>3314</v>
      </c>
      <c r="G758" s="112" t="b">
        <v>0</v>
      </c>
      <c r="H758" s="112" t="b">
        <v>0</v>
      </c>
      <c r="I758" s="112" t="b">
        <v>0</v>
      </c>
      <c r="J758" s="112" t="b">
        <v>0</v>
      </c>
      <c r="K758" s="112" t="b">
        <v>0</v>
      </c>
      <c r="L758" s="112" t="b">
        <v>0</v>
      </c>
    </row>
    <row r="759" spans="1:12" ht="15">
      <c r="A759" s="112" t="s">
        <v>2089</v>
      </c>
      <c r="B759" s="112" t="s">
        <v>2311</v>
      </c>
      <c r="C759" s="112">
        <v>2</v>
      </c>
      <c r="D759" s="114">
        <v>0.00036261359660243913</v>
      </c>
      <c r="E759" s="114">
        <v>1.514007412767444</v>
      </c>
      <c r="F759" s="112" t="s">
        <v>3314</v>
      </c>
      <c r="G759" s="112" t="b">
        <v>0</v>
      </c>
      <c r="H759" s="112" t="b">
        <v>0</v>
      </c>
      <c r="I759" s="112" t="b">
        <v>0</v>
      </c>
      <c r="J759" s="112" t="b">
        <v>0</v>
      </c>
      <c r="K759" s="112" t="b">
        <v>0</v>
      </c>
      <c r="L759" s="112" t="b">
        <v>0</v>
      </c>
    </row>
    <row r="760" spans="1:12" ht="15">
      <c r="A760" s="112" t="s">
        <v>2086</v>
      </c>
      <c r="B760" s="112" t="s">
        <v>2137</v>
      </c>
      <c r="C760" s="112">
        <v>2</v>
      </c>
      <c r="D760" s="114">
        <v>0.00036261359660243913</v>
      </c>
      <c r="E760" s="114">
        <v>0.8375650582736256</v>
      </c>
      <c r="F760" s="112" t="s">
        <v>3314</v>
      </c>
      <c r="G760" s="112" t="b">
        <v>0</v>
      </c>
      <c r="H760" s="112" t="b">
        <v>0</v>
      </c>
      <c r="I760" s="112" t="b">
        <v>0</v>
      </c>
      <c r="J760" s="112" t="b">
        <v>0</v>
      </c>
      <c r="K760" s="112" t="b">
        <v>0</v>
      </c>
      <c r="L760" s="112" t="b">
        <v>0</v>
      </c>
    </row>
    <row r="761" spans="1:12" ht="15">
      <c r="A761" s="112" t="s">
        <v>2933</v>
      </c>
      <c r="B761" s="112" t="s">
        <v>2411</v>
      </c>
      <c r="C761" s="112">
        <v>2</v>
      </c>
      <c r="D761" s="114">
        <v>0.00036261359660243913</v>
      </c>
      <c r="E761" s="114">
        <v>3.2969575460328566</v>
      </c>
      <c r="F761" s="112" t="s">
        <v>3314</v>
      </c>
      <c r="G761" s="112" t="b">
        <v>0</v>
      </c>
      <c r="H761" s="112" t="b">
        <v>0</v>
      </c>
      <c r="I761" s="112" t="b">
        <v>0</v>
      </c>
      <c r="J761" s="112" t="b">
        <v>0</v>
      </c>
      <c r="K761" s="112" t="b">
        <v>0</v>
      </c>
      <c r="L761" s="112" t="b">
        <v>0</v>
      </c>
    </row>
    <row r="762" spans="1:12" ht="15">
      <c r="A762" s="112" t="s">
        <v>2327</v>
      </c>
      <c r="B762" s="112" t="s">
        <v>2219</v>
      </c>
      <c r="C762" s="112">
        <v>2</v>
      </c>
      <c r="D762" s="114">
        <v>0.00036261359660243913</v>
      </c>
      <c r="E762" s="114">
        <v>2.359105452781701</v>
      </c>
      <c r="F762" s="112" t="s">
        <v>3314</v>
      </c>
      <c r="G762" s="112" t="b">
        <v>0</v>
      </c>
      <c r="H762" s="112" t="b">
        <v>0</v>
      </c>
      <c r="I762" s="112" t="b">
        <v>0</v>
      </c>
      <c r="J762" s="112" t="b">
        <v>0</v>
      </c>
      <c r="K762" s="112" t="b">
        <v>0</v>
      </c>
      <c r="L762" s="112" t="b">
        <v>0</v>
      </c>
    </row>
    <row r="763" spans="1:12" ht="15">
      <c r="A763" s="112" t="s">
        <v>2126</v>
      </c>
      <c r="B763" s="112" t="s">
        <v>2408</v>
      </c>
      <c r="C763" s="112">
        <v>2</v>
      </c>
      <c r="D763" s="114">
        <v>0.00036261359660243913</v>
      </c>
      <c r="E763" s="114">
        <v>1.9959275503688751</v>
      </c>
      <c r="F763" s="112" t="s">
        <v>3314</v>
      </c>
      <c r="G763" s="112" t="b">
        <v>0</v>
      </c>
      <c r="H763" s="112" t="b">
        <v>0</v>
      </c>
      <c r="I763" s="112" t="b">
        <v>0</v>
      </c>
      <c r="J763" s="112" t="b">
        <v>0</v>
      </c>
      <c r="K763" s="112" t="b">
        <v>0</v>
      </c>
      <c r="L763" s="112" t="b">
        <v>0</v>
      </c>
    </row>
    <row r="764" spans="1:12" ht="15">
      <c r="A764" s="112" t="s">
        <v>2408</v>
      </c>
      <c r="B764" s="112" t="s">
        <v>2296</v>
      </c>
      <c r="C764" s="112">
        <v>2</v>
      </c>
      <c r="D764" s="114">
        <v>0.00036261359660243913</v>
      </c>
      <c r="E764" s="114">
        <v>2.6437450322575127</v>
      </c>
      <c r="F764" s="112" t="s">
        <v>3314</v>
      </c>
      <c r="G764" s="112" t="b">
        <v>0</v>
      </c>
      <c r="H764" s="112" t="b">
        <v>0</v>
      </c>
      <c r="I764" s="112" t="b">
        <v>0</v>
      </c>
      <c r="J764" s="112" t="b">
        <v>0</v>
      </c>
      <c r="K764" s="112" t="b">
        <v>1</v>
      </c>
      <c r="L764" s="112" t="b">
        <v>0</v>
      </c>
    </row>
    <row r="765" spans="1:12" ht="15">
      <c r="A765" s="112" t="s">
        <v>2218</v>
      </c>
      <c r="B765" s="112" t="s">
        <v>2231</v>
      </c>
      <c r="C765" s="112">
        <v>2</v>
      </c>
      <c r="D765" s="114">
        <v>0.00036261359660243913</v>
      </c>
      <c r="E765" s="114">
        <v>2.2208027546154194</v>
      </c>
      <c r="F765" s="112" t="s">
        <v>3314</v>
      </c>
      <c r="G765" s="112" t="b">
        <v>0</v>
      </c>
      <c r="H765" s="112" t="b">
        <v>0</v>
      </c>
      <c r="I765" s="112" t="b">
        <v>0</v>
      </c>
      <c r="J765" s="112" t="b">
        <v>0</v>
      </c>
      <c r="K765" s="112" t="b">
        <v>0</v>
      </c>
      <c r="L765" s="112" t="b">
        <v>0</v>
      </c>
    </row>
    <row r="766" spans="1:12" ht="15">
      <c r="A766" s="112" t="s">
        <v>2322</v>
      </c>
      <c r="B766" s="112" t="s">
        <v>2231</v>
      </c>
      <c r="C766" s="112">
        <v>2</v>
      </c>
      <c r="D766" s="114">
        <v>0.00036261359660243913</v>
      </c>
      <c r="E766" s="114">
        <v>2.4316561199303126</v>
      </c>
      <c r="F766" s="112" t="s">
        <v>3314</v>
      </c>
      <c r="G766" s="112" t="b">
        <v>0</v>
      </c>
      <c r="H766" s="112" t="b">
        <v>0</v>
      </c>
      <c r="I766" s="112" t="b">
        <v>0</v>
      </c>
      <c r="J766" s="112" t="b">
        <v>0</v>
      </c>
      <c r="K766" s="112" t="b">
        <v>0</v>
      </c>
      <c r="L766" s="112" t="b">
        <v>0</v>
      </c>
    </row>
    <row r="767" spans="1:12" ht="15">
      <c r="A767" s="112" t="s">
        <v>2935</v>
      </c>
      <c r="B767" s="112" t="s">
        <v>2106</v>
      </c>
      <c r="C767" s="112">
        <v>2</v>
      </c>
      <c r="D767" s="114">
        <v>0.00036261359660243913</v>
      </c>
      <c r="E767" s="114">
        <v>2.3761387920804813</v>
      </c>
      <c r="F767" s="112" t="s">
        <v>3314</v>
      </c>
      <c r="G767" s="112" t="b">
        <v>1</v>
      </c>
      <c r="H767" s="112" t="b">
        <v>0</v>
      </c>
      <c r="I767" s="112" t="b">
        <v>0</v>
      </c>
      <c r="J767" s="112" t="b">
        <v>0</v>
      </c>
      <c r="K767" s="112" t="b">
        <v>0</v>
      </c>
      <c r="L767" s="112" t="b">
        <v>0</v>
      </c>
    </row>
    <row r="768" spans="1:12" ht="15">
      <c r="A768" s="112" t="s">
        <v>2168</v>
      </c>
      <c r="B768" s="112" t="s">
        <v>2442</v>
      </c>
      <c r="C768" s="112">
        <v>2</v>
      </c>
      <c r="D768" s="114">
        <v>0.00036261359660243913</v>
      </c>
      <c r="E768" s="114">
        <v>2.3761387920804813</v>
      </c>
      <c r="F768" s="112" t="s">
        <v>3314</v>
      </c>
      <c r="G768" s="112" t="b">
        <v>0</v>
      </c>
      <c r="H768" s="112" t="b">
        <v>1</v>
      </c>
      <c r="I768" s="112" t="b">
        <v>0</v>
      </c>
      <c r="J768" s="112" t="b">
        <v>0</v>
      </c>
      <c r="K768" s="112" t="b">
        <v>0</v>
      </c>
      <c r="L768" s="112" t="b">
        <v>0</v>
      </c>
    </row>
    <row r="769" spans="1:12" ht="15">
      <c r="A769" s="112" t="s">
        <v>2442</v>
      </c>
      <c r="B769" s="112" t="s">
        <v>2297</v>
      </c>
      <c r="C769" s="112">
        <v>2</v>
      </c>
      <c r="D769" s="114">
        <v>0.00036261359660243913</v>
      </c>
      <c r="E769" s="114">
        <v>2.7229262783051373</v>
      </c>
      <c r="F769" s="112" t="s">
        <v>3314</v>
      </c>
      <c r="G769" s="112" t="b">
        <v>0</v>
      </c>
      <c r="H769" s="112" t="b">
        <v>0</v>
      </c>
      <c r="I769" s="112" t="b">
        <v>0</v>
      </c>
      <c r="J769" s="112" t="b">
        <v>0</v>
      </c>
      <c r="K769" s="112" t="b">
        <v>0</v>
      </c>
      <c r="L769" s="112" t="b">
        <v>0</v>
      </c>
    </row>
    <row r="770" spans="1:12" ht="15">
      <c r="A770" s="112" t="s">
        <v>2297</v>
      </c>
      <c r="B770" s="112" t="s">
        <v>2458</v>
      </c>
      <c r="C770" s="112">
        <v>2</v>
      </c>
      <c r="D770" s="114">
        <v>0.00036261359660243913</v>
      </c>
      <c r="E770" s="114">
        <v>2.774078800752519</v>
      </c>
      <c r="F770" s="112" t="s">
        <v>3314</v>
      </c>
      <c r="G770" s="112" t="b">
        <v>0</v>
      </c>
      <c r="H770" s="112" t="b">
        <v>0</v>
      </c>
      <c r="I770" s="112" t="b">
        <v>0</v>
      </c>
      <c r="J770" s="112" t="b">
        <v>0</v>
      </c>
      <c r="K770" s="112" t="b">
        <v>0</v>
      </c>
      <c r="L770" s="112" t="b">
        <v>0</v>
      </c>
    </row>
    <row r="771" spans="1:12" ht="15">
      <c r="A771" s="112" t="s">
        <v>2089</v>
      </c>
      <c r="B771" s="112" t="s">
        <v>2937</v>
      </c>
      <c r="C771" s="112">
        <v>2</v>
      </c>
      <c r="D771" s="114">
        <v>0.00036261359660243913</v>
      </c>
      <c r="E771" s="114">
        <v>2.1160674040954066</v>
      </c>
      <c r="F771" s="112" t="s">
        <v>3314</v>
      </c>
      <c r="G771" s="112" t="b">
        <v>0</v>
      </c>
      <c r="H771" s="112" t="b">
        <v>0</v>
      </c>
      <c r="I771" s="112" t="b">
        <v>0</v>
      </c>
      <c r="J771" s="112" t="b">
        <v>0</v>
      </c>
      <c r="K771" s="112" t="b">
        <v>0</v>
      </c>
      <c r="L771" s="112" t="b">
        <v>0</v>
      </c>
    </row>
    <row r="772" spans="1:12" ht="15">
      <c r="A772" s="112" t="s">
        <v>2937</v>
      </c>
      <c r="B772" s="112" t="s">
        <v>2175</v>
      </c>
      <c r="C772" s="112">
        <v>2</v>
      </c>
      <c r="D772" s="114">
        <v>0.00036261359660243913</v>
      </c>
      <c r="E772" s="114">
        <v>2.819836291313194</v>
      </c>
      <c r="F772" s="112" t="s">
        <v>3314</v>
      </c>
      <c r="G772" s="112" t="b">
        <v>0</v>
      </c>
      <c r="H772" s="112" t="b">
        <v>0</v>
      </c>
      <c r="I772" s="112" t="b">
        <v>0</v>
      </c>
      <c r="J772" s="112" t="b">
        <v>0</v>
      </c>
      <c r="K772" s="112" t="b">
        <v>0</v>
      </c>
      <c r="L772" s="112" t="b">
        <v>0</v>
      </c>
    </row>
    <row r="773" spans="1:12" ht="15">
      <c r="A773" s="112" t="s">
        <v>2289</v>
      </c>
      <c r="B773" s="112" t="s">
        <v>2431</v>
      </c>
      <c r="C773" s="112">
        <v>2</v>
      </c>
      <c r="D773" s="114">
        <v>0.00036261359660243913</v>
      </c>
      <c r="E773" s="114">
        <v>2.774078800752519</v>
      </c>
      <c r="F773" s="112" t="s">
        <v>3314</v>
      </c>
      <c r="G773" s="112" t="b">
        <v>0</v>
      </c>
      <c r="H773" s="112" t="b">
        <v>0</v>
      </c>
      <c r="I773" s="112" t="b">
        <v>0</v>
      </c>
      <c r="J773" s="112" t="b">
        <v>0</v>
      </c>
      <c r="K773" s="112" t="b">
        <v>0</v>
      </c>
      <c r="L773" s="112" t="b">
        <v>0</v>
      </c>
    </row>
    <row r="774" spans="1:12" ht="15">
      <c r="A774" s="112" t="s">
        <v>2939</v>
      </c>
      <c r="B774" s="112" t="s">
        <v>2168</v>
      </c>
      <c r="C774" s="112">
        <v>2</v>
      </c>
      <c r="D774" s="114">
        <v>0.00036261359660243913</v>
      </c>
      <c r="E774" s="114">
        <v>2.796355195463671</v>
      </c>
      <c r="F774" s="112" t="s">
        <v>3314</v>
      </c>
      <c r="G774" s="112" t="b">
        <v>0</v>
      </c>
      <c r="H774" s="112" t="b">
        <v>0</v>
      </c>
      <c r="I774" s="112" t="b">
        <v>0</v>
      </c>
      <c r="J774" s="112" t="b">
        <v>0</v>
      </c>
      <c r="K774" s="112" t="b">
        <v>1</v>
      </c>
      <c r="L774" s="112" t="b">
        <v>0</v>
      </c>
    </row>
    <row r="775" spans="1:12" ht="15">
      <c r="A775" s="112" t="s">
        <v>2315</v>
      </c>
      <c r="B775" s="112" t="s">
        <v>2410</v>
      </c>
      <c r="C775" s="112">
        <v>2</v>
      </c>
      <c r="D775" s="114">
        <v>0.00036261359660243913</v>
      </c>
      <c r="E775" s="114">
        <v>2.694897554704894</v>
      </c>
      <c r="F775" s="112" t="s">
        <v>3314</v>
      </c>
      <c r="G775" s="112" t="b">
        <v>0</v>
      </c>
      <c r="H775" s="112" t="b">
        <v>0</v>
      </c>
      <c r="I775" s="112" t="b">
        <v>0</v>
      </c>
      <c r="J775" s="112" t="b">
        <v>0</v>
      </c>
      <c r="K775" s="112" t="b">
        <v>0</v>
      </c>
      <c r="L775" s="112" t="b">
        <v>0</v>
      </c>
    </row>
    <row r="776" spans="1:12" ht="15">
      <c r="A776" s="112" t="s">
        <v>2225</v>
      </c>
      <c r="B776" s="112" t="s">
        <v>2083</v>
      </c>
      <c r="C776" s="112">
        <v>2</v>
      </c>
      <c r="D776" s="114">
        <v>0.00036261359660243913</v>
      </c>
      <c r="E776" s="114">
        <v>1.2035358608706215</v>
      </c>
      <c r="F776" s="112" t="s">
        <v>3314</v>
      </c>
      <c r="G776" s="112" t="b">
        <v>0</v>
      </c>
      <c r="H776" s="112" t="b">
        <v>0</v>
      </c>
      <c r="I776" s="112" t="b">
        <v>0</v>
      </c>
      <c r="J776" s="112" t="b">
        <v>0</v>
      </c>
      <c r="K776" s="112" t="b">
        <v>0</v>
      </c>
      <c r="L776" s="112" t="b">
        <v>0</v>
      </c>
    </row>
    <row r="777" spans="1:12" ht="15">
      <c r="A777" s="112" t="s">
        <v>2159</v>
      </c>
      <c r="B777" s="112" t="s">
        <v>2080</v>
      </c>
      <c r="C777" s="112">
        <v>2</v>
      </c>
      <c r="D777" s="114">
        <v>0.00036261359660243913</v>
      </c>
      <c r="E777" s="114">
        <v>0.8345595481339003</v>
      </c>
      <c r="F777" s="112" t="s">
        <v>3314</v>
      </c>
      <c r="G777" s="112" t="b">
        <v>0</v>
      </c>
      <c r="H777" s="112" t="b">
        <v>0</v>
      </c>
      <c r="I777" s="112" t="b">
        <v>0</v>
      </c>
      <c r="J777" s="112" t="b">
        <v>0</v>
      </c>
      <c r="K777" s="112" t="b">
        <v>0</v>
      </c>
      <c r="L777" s="112" t="b">
        <v>0</v>
      </c>
    </row>
    <row r="778" spans="1:12" ht="15">
      <c r="A778" s="112" t="s">
        <v>2126</v>
      </c>
      <c r="B778" s="112" t="s">
        <v>2126</v>
      </c>
      <c r="C778" s="112">
        <v>2</v>
      </c>
      <c r="D778" s="114">
        <v>0.00036261359660243913</v>
      </c>
      <c r="E778" s="114">
        <v>1.1612949440327833</v>
      </c>
      <c r="F778" s="112" t="s">
        <v>3314</v>
      </c>
      <c r="G778" s="112" t="b">
        <v>0</v>
      </c>
      <c r="H778" s="112" t="b">
        <v>0</v>
      </c>
      <c r="I778" s="112" t="b">
        <v>0</v>
      </c>
      <c r="J778" s="112" t="b">
        <v>0</v>
      </c>
      <c r="K778" s="112" t="b">
        <v>0</v>
      </c>
      <c r="L778" s="112" t="b">
        <v>0</v>
      </c>
    </row>
    <row r="779" spans="1:12" ht="15">
      <c r="A779" s="112" t="s">
        <v>2363</v>
      </c>
      <c r="B779" s="112" t="s">
        <v>2940</v>
      </c>
      <c r="C779" s="112">
        <v>2</v>
      </c>
      <c r="D779" s="114">
        <v>0.00036261359660243913</v>
      </c>
      <c r="E779" s="114">
        <v>3.230010756402243</v>
      </c>
      <c r="F779" s="112" t="s">
        <v>3314</v>
      </c>
      <c r="G779" s="112" t="b">
        <v>0</v>
      </c>
      <c r="H779" s="112" t="b">
        <v>1</v>
      </c>
      <c r="I779" s="112" t="b">
        <v>0</v>
      </c>
      <c r="J779" s="112" t="b">
        <v>0</v>
      </c>
      <c r="K779" s="112" t="b">
        <v>0</v>
      </c>
      <c r="L779" s="112" t="b">
        <v>0</v>
      </c>
    </row>
    <row r="780" spans="1:12" ht="15">
      <c r="A780" s="112" t="s">
        <v>2077</v>
      </c>
      <c r="B780" s="112" t="s">
        <v>2406</v>
      </c>
      <c r="C780" s="112">
        <v>2</v>
      </c>
      <c r="D780" s="114">
        <v>0.0004118981407517484</v>
      </c>
      <c r="E780" s="114">
        <v>0.9862642336894958</v>
      </c>
      <c r="F780" s="112" t="s">
        <v>3314</v>
      </c>
      <c r="G780" s="112" t="b">
        <v>0</v>
      </c>
      <c r="H780" s="112" t="b">
        <v>0</v>
      </c>
      <c r="I780" s="112" t="b">
        <v>0</v>
      </c>
      <c r="J780" s="112" t="b">
        <v>0</v>
      </c>
      <c r="K780" s="112" t="b">
        <v>0</v>
      </c>
      <c r="L780" s="112" t="b">
        <v>0</v>
      </c>
    </row>
    <row r="781" spans="1:12" ht="15">
      <c r="A781" s="112" t="s">
        <v>2101</v>
      </c>
      <c r="B781" s="112" t="s">
        <v>2693</v>
      </c>
      <c r="C781" s="112">
        <v>2</v>
      </c>
      <c r="D781" s="114">
        <v>0.0004118981407517484</v>
      </c>
      <c r="E781" s="114">
        <v>2.1830141937260197</v>
      </c>
      <c r="F781" s="112" t="s">
        <v>3314</v>
      </c>
      <c r="G781" s="112" t="b">
        <v>0</v>
      </c>
      <c r="H781" s="112" t="b">
        <v>0</v>
      </c>
      <c r="I781" s="112" t="b">
        <v>0</v>
      </c>
      <c r="J781" s="112" t="b">
        <v>0</v>
      </c>
      <c r="K781" s="112" t="b">
        <v>0</v>
      </c>
      <c r="L781" s="112" t="b">
        <v>0</v>
      </c>
    </row>
    <row r="782" spans="1:12" ht="15">
      <c r="A782" s="112" t="s">
        <v>2094</v>
      </c>
      <c r="B782" s="112" t="s">
        <v>2159</v>
      </c>
      <c r="C782" s="112">
        <v>2</v>
      </c>
      <c r="D782" s="114">
        <v>0.00036261359660243913</v>
      </c>
      <c r="E782" s="114">
        <v>1.2026611486274867</v>
      </c>
      <c r="F782" s="112" t="s">
        <v>3314</v>
      </c>
      <c r="G782" s="112" t="b">
        <v>0</v>
      </c>
      <c r="H782" s="112" t="b">
        <v>0</v>
      </c>
      <c r="I782" s="112" t="b">
        <v>0</v>
      </c>
      <c r="J782" s="112" t="b">
        <v>0</v>
      </c>
      <c r="K782" s="112" t="b">
        <v>0</v>
      </c>
      <c r="L782" s="112" t="b">
        <v>0</v>
      </c>
    </row>
    <row r="783" spans="1:12" ht="15">
      <c r="A783" s="112" t="s">
        <v>2089</v>
      </c>
      <c r="B783" s="112" t="s">
        <v>2364</v>
      </c>
      <c r="C783" s="112">
        <v>2</v>
      </c>
      <c r="D783" s="114">
        <v>0.0004118981407517484</v>
      </c>
      <c r="E783" s="114">
        <v>1.718127395423369</v>
      </c>
      <c r="F783" s="112" t="s">
        <v>3314</v>
      </c>
      <c r="G783" s="112" t="b">
        <v>0</v>
      </c>
      <c r="H783" s="112" t="b">
        <v>0</v>
      </c>
      <c r="I783" s="112" t="b">
        <v>0</v>
      </c>
      <c r="J783" s="112" t="b">
        <v>0</v>
      </c>
      <c r="K783" s="112" t="b">
        <v>0</v>
      </c>
      <c r="L783" s="112" t="b">
        <v>0</v>
      </c>
    </row>
    <row r="784" spans="1:12" ht="15">
      <c r="A784" s="112" t="s">
        <v>2183</v>
      </c>
      <c r="B784" s="112" t="s">
        <v>2137</v>
      </c>
      <c r="C784" s="112">
        <v>2</v>
      </c>
      <c r="D784" s="114">
        <v>0.00036261359660243913</v>
      </c>
      <c r="E784" s="114">
        <v>1.6405398923823014</v>
      </c>
      <c r="F784" s="112" t="s">
        <v>3314</v>
      </c>
      <c r="G784" s="112" t="b">
        <v>0</v>
      </c>
      <c r="H784" s="112" t="b">
        <v>1</v>
      </c>
      <c r="I784" s="112" t="b">
        <v>0</v>
      </c>
      <c r="J784" s="112" t="b">
        <v>0</v>
      </c>
      <c r="K784" s="112" t="b">
        <v>0</v>
      </c>
      <c r="L784" s="112" t="b">
        <v>0</v>
      </c>
    </row>
    <row r="785" spans="1:12" ht="15">
      <c r="A785" s="112" t="s">
        <v>2329</v>
      </c>
      <c r="B785" s="112" t="s">
        <v>2329</v>
      </c>
      <c r="C785" s="112">
        <v>2</v>
      </c>
      <c r="D785" s="114">
        <v>0.00036261359660243913</v>
      </c>
      <c r="E785" s="114">
        <v>2.569958818096594</v>
      </c>
      <c r="F785" s="112" t="s">
        <v>3314</v>
      </c>
      <c r="G785" s="112" t="b">
        <v>0</v>
      </c>
      <c r="H785" s="112" t="b">
        <v>0</v>
      </c>
      <c r="I785" s="112" t="b">
        <v>0</v>
      </c>
      <c r="J785" s="112" t="b">
        <v>0</v>
      </c>
      <c r="K785" s="112" t="b">
        <v>0</v>
      </c>
      <c r="L785" s="112" t="b">
        <v>0</v>
      </c>
    </row>
    <row r="786" spans="1:12" ht="15">
      <c r="A786" s="112" t="s">
        <v>2329</v>
      </c>
      <c r="B786" s="112" t="s">
        <v>2941</v>
      </c>
      <c r="C786" s="112">
        <v>2</v>
      </c>
      <c r="D786" s="114">
        <v>0.00036261359660243913</v>
      </c>
      <c r="E786" s="114">
        <v>3.1720188094245563</v>
      </c>
      <c r="F786" s="112" t="s">
        <v>3314</v>
      </c>
      <c r="G786" s="112" t="b">
        <v>0</v>
      </c>
      <c r="H786" s="112" t="b">
        <v>0</v>
      </c>
      <c r="I786" s="112" t="b">
        <v>0</v>
      </c>
      <c r="J786" s="112" t="b">
        <v>0</v>
      </c>
      <c r="K786" s="112" t="b">
        <v>0</v>
      </c>
      <c r="L786" s="112" t="b">
        <v>0</v>
      </c>
    </row>
    <row r="787" spans="1:12" ht="15">
      <c r="A787" s="112" t="s">
        <v>2941</v>
      </c>
      <c r="B787" s="112" t="s">
        <v>2329</v>
      </c>
      <c r="C787" s="112">
        <v>2</v>
      </c>
      <c r="D787" s="114">
        <v>0.00036261359660243913</v>
      </c>
      <c r="E787" s="114">
        <v>3.1720188094245563</v>
      </c>
      <c r="F787" s="112" t="s">
        <v>3314</v>
      </c>
      <c r="G787" s="112" t="b">
        <v>0</v>
      </c>
      <c r="H787" s="112" t="b">
        <v>0</v>
      </c>
      <c r="I787" s="112" t="b">
        <v>0</v>
      </c>
      <c r="J787" s="112" t="b">
        <v>0</v>
      </c>
      <c r="K787" s="112" t="b">
        <v>0</v>
      </c>
      <c r="L787" s="112" t="b">
        <v>0</v>
      </c>
    </row>
    <row r="788" spans="1:12" ht="15">
      <c r="A788" s="112" t="s">
        <v>2090</v>
      </c>
      <c r="B788" s="112" t="s">
        <v>2330</v>
      </c>
      <c r="C788" s="112">
        <v>2</v>
      </c>
      <c r="D788" s="114">
        <v>0.00036261359660243913</v>
      </c>
      <c r="E788" s="114">
        <v>1.543629879374245</v>
      </c>
      <c r="F788" s="112" t="s">
        <v>3314</v>
      </c>
      <c r="G788" s="112" t="b">
        <v>0</v>
      </c>
      <c r="H788" s="112" t="b">
        <v>0</v>
      </c>
      <c r="I788" s="112" t="b">
        <v>0</v>
      </c>
      <c r="J788" s="112" t="b">
        <v>0</v>
      </c>
      <c r="K788" s="112" t="b">
        <v>1</v>
      </c>
      <c r="L788" s="112" t="b">
        <v>0</v>
      </c>
    </row>
    <row r="789" spans="1:12" ht="15">
      <c r="A789" s="112" t="s">
        <v>2078</v>
      </c>
      <c r="B789" s="112" t="s">
        <v>2083</v>
      </c>
      <c r="C789" s="112">
        <v>2</v>
      </c>
      <c r="D789" s="114">
        <v>0.00036261359660243913</v>
      </c>
      <c r="E789" s="114">
        <v>-0.21696997570015764</v>
      </c>
      <c r="F789" s="112" t="s">
        <v>3314</v>
      </c>
      <c r="G789" s="112" t="b">
        <v>0</v>
      </c>
      <c r="H789" s="112" t="b">
        <v>0</v>
      </c>
      <c r="I789" s="112" t="b">
        <v>0</v>
      </c>
      <c r="J789" s="112" t="b">
        <v>0</v>
      </c>
      <c r="K789" s="112" t="b">
        <v>0</v>
      </c>
      <c r="L789" s="112" t="b">
        <v>0</v>
      </c>
    </row>
    <row r="790" spans="1:12" ht="15">
      <c r="A790" s="112" t="s">
        <v>2126</v>
      </c>
      <c r="B790" s="112" t="s">
        <v>2268</v>
      </c>
      <c r="C790" s="112">
        <v>2</v>
      </c>
      <c r="D790" s="114">
        <v>0.00036261359660243913</v>
      </c>
      <c r="E790" s="114">
        <v>1.7740788007525188</v>
      </c>
      <c r="F790" s="112" t="s">
        <v>3314</v>
      </c>
      <c r="G790" s="112" t="b">
        <v>0</v>
      </c>
      <c r="H790" s="112" t="b">
        <v>0</v>
      </c>
      <c r="I790" s="112" t="b">
        <v>0</v>
      </c>
      <c r="J790" s="112" t="b">
        <v>0</v>
      </c>
      <c r="K790" s="112" t="b">
        <v>0</v>
      </c>
      <c r="L790" s="112" t="b">
        <v>0</v>
      </c>
    </row>
    <row r="791" spans="1:12" ht="15">
      <c r="A791" s="112" t="s">
        <v>2945</v>
      </c>
      <c r="B791" s="112" t="s">
        <v>2082</v>
      </c>
      <c r="C791" s="112">
        <v>2</v>
      </c>
      <c r="D791" s="114">
        <v>0.0004118981407517484</v>
      </c>
      <c r="E791" s="114">
        <v>1.974738251298937</v>
      </c>
      <c r="F791" s="112" t="s">
        <v>3314</v>
      </c>
      <c r="G791" s="112" t="b">
        <v>1</v>
      </c>
      <c r="H791" s="112" t="b">
        <v>0</v>
      </c>
      <c r="I791" s="112" t="b">
        <v>0</v>
      </c>
      <c r="J791" s="112" t="b">
        <v>0</v>
      </c>
      <c r="K791" s="112" t="b">
        <v>0</v>
      </c>
      <c r="L791" s="112" t="b">
        <v>0</v>
      </c>
    </row>
    <row r="792" spans="1:12" ht="15">
      <c r="A792" s="112" t="s">
        <v>2082</v>
      </c>
      <c r="B792" s="112" t="s">
        <v>2442</v>
      </c>
      <c r="C792" s="112">
        <v>2</v>
      </c>
      <c r="D792" s="114">
        <v>0.0004118981407517484</v>
      </c>
      <c r="E792" s="114">
        <v>1.5500639893796548</v>
      </c>
      <c r="F792" s="112" t="s">
        <v>3314</v>
      </c>
      <c r="G792" s="112" t="b">
        <v>0</v>
      </c>
      <c r="H792" s="112" t="b">
        <v>0</v>
      </c>
      <c r="I792" s="112" t="b">
        <v>0</v>
      </c>
      <c r="J792" s="112" t="b">
        <v>0</v>
      </c>
      <c r="K792" s="112" t="b">
        <v>0</v>
      </c>
      <c r="L792" s="112" t="b">
        <v>0</v>
      </c>
    </row>
    <row r="793" spans="1:12" ht="15">
      <c r="A793" s="112" t="s">
        <v>2462</v>
      </c>
      <c r="B793" s="112" t="s">
        <v>2270</v>
      </c>
      <c r="C793" s="112">
        <v>2</v>
      </c>
      <c r="D793" s="114">
        <v>0.00036261359660243913</v>
      </c>
      <c r="E793" s="114">
        <v>2.6771687877444625</v>
      </c>
      <c r="F793" s="112" t="s">
        <v>3314</v>
      </c>
      <c r="G793" s="112" t="b">
        <v>0</v>
      </c>
      <c r="H793" s="112" t="b">
        <v>0</v>
      </c>
      <c r="I793" s="112" t="b">
        <v>0</v>
      </c>
      <c r="J793" s="112" t="b">
        <v>0</v>
      </c>
      <c r="K793" s="112" t="b">
        <v>0</v>
      </c>
      <c r="L793" s="112" t="b">
        <v>0</v>
      </c>
    </row>
    <row r="794" spans="1:12" ht="15">
      <c r="A794" s="112" t="s">
        <v>2080</v>
      </c>
      <c r="B794" s="112" t="s">
        <v>2082</v>
      </c>
      <c r="C794" s="112">
        <v>2</v>
      </c>
      <c r="D794" s="114">
        <v>0.0004118981407517484</v>
      </c>
      <c r="E794" s="114">
        <v>0.008596518559904457</v>
      </c>
      <c r="F794" s="112" t="s">
        <v>3314</v>
      </c>
      <c r="G794" s="112" t="b">
        <v>0</v>
      </c>
      <c r="H794" s="112" t="b">
        <v>0</v>
      </c>
      <c r="I794" s="112" t="b">
        <v>0</v>
      </c>
      <c r="J794" s="112" t="b">
        <v>0</v>
      </c>
      <c r="K794" s="112" t="b">
        <v>0</v>
      </c>
      <c r="L794" s="112" t="b">
        <v>0</v>
      </c>
    </row>
    <row r="795" spans="1:12" ht="15">
      <c r="A795" s="112" t="s">
        <v>2153</v>
      </c>
      <c r="B795" s="112" t="s">
        <v>2331</v>
      </c>
      <c r="C795" s="112">
        <v>2</v>
      </c>
      <c r="D795" s="114">
        <v>0.00036261359660243913</v>
      </c>
      <c r="E795" s="114">
        <v>2.0751087964165</v>
      </c>
      <c r="F795" s="112" t="s">
        <v>3314</v>
      </c>
      <c r="G795" s="112" t="b">
        <v>0</v>
      </c>
      <c r="H795" s="112" t="b">
        <v>0</v>
      </c>
      <c r="I795" s="112" t="b">
        <v>0</v>
      </c>
      <c r="J795" s="112" t="b">
        <v>0</v>
      </c>
      <c r="K795" s="112" t="b">
        <v>0</v>
      </c>
      <c r="L795" s="112" t="b">
        <v>0</v>
      </c>
    </row>
    <row r="796" spans="1:12" ht="15">
      <c r="A796" s="112" t="s">
        <v>2365</v>
      </c>
      <c r="B796" s="112" t="s">
        <v>2409</v>
      </c>
      <c r="C796" s="112">
        <v>2</v>
      </c>
      <c r="D796" s="114">
        <v>0.00036261359660243913</v>
      </c>
      <c r="E796" s="114">
        <v>2.752889501682581</v>
      </c>
      <c r="F796" s="112" t="s">
        <v>3314</v>
      </c>
      <c r="G796" s="112" t="b">
        <v>0</v>
      </c>
      <c r="H796" s="112" t="b">
        <v>0</v>
      </c>
      <c r="I796" s="112" t="b">
        <v>0</v>
      </c>
      <c r="J796" s="112" t="b">
        <v>0</v>
      </c>
      <c r="K796" s="112" t="b">
        <v>0</v>
      </c>
      <c r="L796" s="112" t="b">
        <v>0</v>
      </c>
    </row>
    <row r="797" spans="1:12" ht="15">
      <c r="A797" s="112" t="s">
        <v>2409</v>
      </c>
      <c r="B797" s="112" t="s">
        <v>2946</v>
      </c>
      <c r="C797" s="112">
        <v>2</v>
      </c>
      <c r="D797" s="114">
        <v>0.00036261359660243913</v>
      </c>
      <c r="E797" s="114">
        <v>3.2969575460328566</v>
      </c>
      <c r="F797" s="112" t="s">
        <v>3314</v>
      </c>
      <c r="G797" s="112" t="b">
        <v>0</v>
      </c>
      <c r="H797" s="112" t="b">
        <v>0</v>
      </c>
      <c r="I797" s="112" t="b">
        <v>0</v>
      </c>
      <c r="J797" s="112" t="b">
        <v>0</v>
      </c>
      <c r="K797" s="112" t="b">
        <v>0</v>
      </c>
      <c r="L797" s="112" t="b">
        <v>0</v>
      </c>
    </row>
    <row r="798" spans="1:12" ht="15">
      <c r="A798" s="112" t="s">
        <v>2077</v>
      </c>
      <c r="B798" s="112" t="s">
        <v>2082</v>
      </c>
      <c r="C798" s="112">
        <v>2</v>
      </c>
      <c r="D798" s="114">
        <v>0.00036261359660243913</v>
      </c>
      <c r="E798" s="114">
        <v>-0.33595506104442346</v>
      </c>
      <c r="F798" s="112" t="s">
        <v>3314</v>
      </c>
      <c r="G798" s="112" t="b">
        <v>0</v>
      </c>
      <c r="H798" s="112" t="b">
        <v>0</v>
      </c>
      <c r="I798" s="112" t="b">
        <v>0</v>
      </c>
      <c r="J798" s="112" t="b">
        <v>0</v>
      </c>
      <c r="K798" s="112" t="b">
        <v>0</v>
      </c>
      <c r="L798" s="112" t="b">
        <v>0</v>
      </c>
    </row>
    <row r="799" spans="1:12" ht="15">
      <c r="A799" s="112" t="s">
        <v>2083</v>
      </c>
      <c r="B799" s="112" t="s">
        <v>2230</v>
      </c>
      <c r="C799" s="112">
        <v>2</v>
      </c>
      <c r="D799" s="114">
        <v>0.00036261359660243913</v>
      </c>
      <c r="E799" s="114">
        <v>1.1931538250768996</v>
      </c>
      <c r="F799" s="112" t="s">
        <v>3314</v>
      </c>
      <c r="G799" s="112" t="b">
        <v>0</v>
      </c>
      <c r="H799" s="112" t="b">
        <v>0</v>
      </c>
      <c r="I799" s="112" t="b">
        <v>0</v>
      </c>
      <c r="J799" s="112" t="b">
        <v>0</v>
      </c>
      <c r="K799" s="112" t="b">
        <v>0</v>
      </c>
      <c r="L799" s="112" t="b">
        <v>0</v>
      </c>
    </row>
    <row r="800" spans="1:12" ht="15">
      <c r="A800" s="112" t="s">
        <v>2137</v>
      </c>
      <c r="B800" s="112" t="s">
        <v>2080</v>
      </c>
      <c r="C800" s="112">
        <v>2</v>
      </c>
      <c r="D800" s="114">
        <v>0.00036261359660243913</v>
      </c>
      <c r="E800" s="114">
        <v>0.6304395654779755</v>
      </c>
      <c r="F800" s="112" t="s">
        <v>3314</v>
      </c>
      <c r="G800" s="112" t="b">
        <v>0</v>
      </c>
      <c r="H800" s="112" t="b">
        <v>0</v>
      </c>
      <c r="I800" s="112" t="b">
        <v>0</v>
      </c>
      <c r="J800" s="112" t="b">
        <v>0</v>
      </c>
      <c r="K800" s="112" t="b">
        <v>0</v>
      </c>
      <c r="L800" s="112" t="b">
        <v>0</v>
      </c>
    </row>
    <row r="801" spans="1:12" ht="15">
      <c r="A801" s="112" t="s">
        <v>2547</v>
      </c>
      <c r="B801" s="112" t="s">
        <v>2328</v>
      </c>
      <c r="C801" s="112">
        <v>2</v>
      </c>
      <c r="D801" s="114">
        <v>0.0004118981407517484</v>
      </c>
      <c r="E801" s="114">
        <v>2.8709888137605755</v>
      </c>
      <c r="F801" s="112" t="s">
        <v>3314</v>
      </c>
      <c r="G801" s="112" t="b">
        <v>0</v>
      </c>
      <c r="H801" s="112" t="b">
        <v>0</v>
      </c>
      <c r="I801" s="112" t="b">
        <v>0</v>
      </c>
      <c r="J801" s="112" t="b">
        <v>0</v>
      </c>
      <c r="K801" s="112" t="b">
        <v>0</v>
      </c>
      <c r="L801" s="112" t="b">
        <v>0</v>
      </c>
    </row>
    <row r="802" spans="1:12" ht="15">
      <c r="A802" s="112" t="s">
        <v>2363</v>
      </c>
      <c r="B802" s="112" t="s">
        <v>2318</v>
      </c>
      <c r="C802" s="112">
        <v>2</v>
      </c>
      <c r="D802" s="114">
        <v>0.00036261359660243913</v>
      </c>
      <c r="E802" s="114">
        <v>2.627950765074281</v>
      </c>
      <c r="F802" s="112" t="s">
        <v>3314</v>
      </c>
      <c r="G802" s="112" t="b">
        <v>0</v>
      </c>
      <c r="H802" s="112" t="b">
        <v>1</v>
      </c>
      <c r="I802" s="112" t="b">
        <v>0</v>
      </c>
      <c r="J802" s="112" t="b">
        <v>0</v>
      </c>
      <c r="K802" s="112" t="b">
        <v>0</v>
      </c>
      <c r="L802" s="112" t="b">
        <v>0</v>
      </c>
    </row>
    <row r="803" spans="1:12" ht="15">
      <c r="A803" s="112" t="s">
        <v>2332</v>
      </c>
      <c r="B803" s="112" t="s">
        <v>2268</v>
      </c>
      <c r="C803" s="112">
        <v>2</v>
      </c>
      <c r="D803" s="114">
        <v>0.00036261359660243913</v>
      </c>
      <c r="E803" s="114">
        <v>2.4730488050885375</v>
      </c>
      <c r="F803" s="112" t="s">
        <v>3314</v>
      </c>
      <c r="G803" s="112" t="b">
        <v>0</v>
      </c>
      <c r="H803" s="112" t="b">
        <v>0</v>
      </c>
      <c r="I803" s="112" t="b">
        <v>0</v>
      </c>
      <c r="J803" s="112" t="b">
        <v>0</v>
      </c>
      <c r="K803" s="112" t="b">
        <v>0</v>
      </c>
      <c r="L803" s="112" t="b">
        <v>0</v>
      </c>
    </row>
    <row r="804" spans="1:12" ht="15">
      <c r="A804" s="112" t="s">
        <v>2086</v>
      </c>
      <c r="B804" s="112" t="s">
        <v>2083</v>
      </c>
      <c r="C804" s="112">
        <v>2</v>
      </c>
      <c r="D804" s="114">
        <v>0.00036261359660243913</v>
      </c>
      <c r="E804" s="114">
        <v>0.24929335143129655</v>
      </c>
      <c r="F804" s="112" t="s">
        <v>3314</v>
      </c>
      <c r="G804" s="112" t="b">
        <v>0</v>
      </c>
      <c r="H804" s="112" t="b">
        <v>0</v>
      </c>
      <c r="I804" s="112" t="b">
        <v>0</v>
      </c>
      <c r="J804" s="112" t="b">
        <v>0</v>
      </c>
      <c r="K804" s="112" t="b">
        <v>0</v>
      </c>
      <c r="L804" s="112" t="b">
        <v>0</v>
      </c>
    </row>
    <row r="805" spans="1:12" ht="15">
      <c r="A805" s="112" t="s">
        <v>2103</v>
      </c>
      <c r="B805" s="112" t="s">
        <v>2407</v>
      </c>
      <c r="C805" s="112">
        <v>2</v>
      </c>
      <c r="D805" s="114">
        <v>0.00036261359660243913</v>
      </c>
      <c r="E805" s="114">
        <v>1.8819841980620386</v>
      </c>
      <c r="F805" s="112" t="s">
        <v>3314</v>
      </c>
      <c r="G805" s="112" t="b">
        <v>0</v>
      </c>
      <c r="H805" s="112" t="b">
        <v>0</v>
      </c>
      <c r="I805" s="112" t="b">
        <v>0</v>
      </c>
      <c r="J805" s="112" t="b">
        <v>0</v>
      </c>
      <c r="K805" s="112" t="b">
        <v>1</v>
      </c>
      <c r="L805" s="112" t="b">
        <v>0</v>
      </c>
    </row>
    <row r="806" spans="1:12" ht="15">
      <c r="A806" s="112" t="s">
        <v>2292</v>
      </c>
      <c r="B806" s="112" t="s">
        <v>2291</v>
      </c>
      <c r="C806" s="112">
        <v>2</v>
      </c>
      <c r="D806" s="114">
        <v>0.00036261359660243913</v>
      </c>
      <c r="E806" s="114">
        <v>2.4676537732018318</v>
      </c>
      <c r="F806" s="112" t="s">
        <v>3314</v>
      </c>
      <c r="G806" s="112" t="b">
        <v>0</v>
      </c>
      <c r="H806" s="112" t="b">
        <v>0</v>
      </c>
      <c r="I806" s="112" t="b">
        <v>0</v>
      </c>
      <c r="J806" s="112" t="b">
        <v>0</v>
      </c>
      <c r="K806" s="112" t="b">
        <v>0</v>
      </c>
      <c r="L806" s="112" t="b">
        <v>0</v>
      </c>
    </row>
    <row r="807" spans="1:12" ht="15">
      <c r="A807" s="112" t="s">
        <v>2292</v>
      </c>
      <c r="B807" s="112" t="s">
        <v>2171</v>
      </c>
      <c r="C807" s="112">
        <v>2</v>
      </c>
      <c r="D807" s="114">
        <v>0.00036261359660243913</v>
      </c>
      <c r="E807" s="114">
        <v>2.245805023585475</v>
      </c>
      <c r="F807" s="112" t="s">
        <v>3314</v>
      </c>
      <c r="G807" s="112" t="b">
        <v>0</v>
      </c>
      <c r="H807" s="112" t="b">
        <v>0</v>
      </c>
      <c r="I807" s="112" t="b">
        <v>0</v>
      </c>
      <c r="J807" s="112" t="b">
        <v>0</v>
      </c>
      <c r="K807" s="112" t="b">
        <v>0</v>
      </c>
      <c r="L807" s="112" t="b">
        <v>0</v>
      </c>
    </row>
    <row r="808" spans="1:12" ht="15">
      <c r="A808" s="112" t="s">
        <v>2083</v>
      </c>
      <c r="B808" s="112" t="s">
        <v>2954</v>
      </c>
      <c r="C808" s="112">
        <v>2</v>
      </c>
      <c r="D808" s="114">
        <v>0.00036261359660243913</v>
      </c>
      <c r="E808" s="114">
        <v>1.9713050754605432</v>
      </c>
      <c r="F808" s="112" t="s">
        <v>3314</v>
      </c>
      <c r="G808" s="112" t="b">
        <v>0</v>
      </c>
      <c r="H808" s="112" t="b">
        <v>0</v>
      </c>
      <c r="I808" s="112" t="b">
        <v>0</v>
      </c>
      <c r="J808" s="112" t="b">
        <v>0</v>
      </c>
      <c r="K808" s="112" t="b">
        <v>1</v>
      </c>
      <c r="L808" s="112" t="b">
        <v>0</v>
      </c>
    </row>
    <row r="809" spans="1:12" ht="15">
      <c r="A809" s="112" t="s">
        <v>2954</v>
      </c>
      <c r="B809" s="112" t="s">
        <v>2083</v>
      </c>
      <c r="C809" s="112">
        <v>2</v>
      </c>
      <c r="D809" s="114">
        <v>0.00036261359660243913</v>
      </c>
      <c r="E809" s="114">
        <v>1.981687111254265</v>
      </c>
      <c r="F809" s="112" t="s">
        <v>3314</v>
      </c>
      <c r="G809" s="112" t="b">
        <v>0</v>
      </c>
      <c r="H809" s="112" t="b">
        <v>1</v>
      </c>
      <c r="I809" s="112" t="b">
        <v>0</v>
      </c>
      <c r="J809" s="112" t="b">
        <v>0</v>
      </c>
      <c r="K809" s="112" t="b">
        <v>0</v>
      </c>
      <c r="L809" s="112" t="b">
        <v>0</v>
      </c>
    </row>
    <row r="810" spans="1:12" ht="15">
      <c r="A810" s="112" t="s">
        <v>2127</v>
      </c>
      <c r="B810" s="112" t="s">
        <v>2090</v>
      </c>
      <c r="C810" s="112">
        <v>2</v>
      </c>
      <c r="D810" s="114">
        <v>0.00036261359660243913</v>
      </c>
      <c r="E810" s="114">
        <v>0.8395803495089512</v>
      </c>
      <c r="F810" s="112" t="s">
        <v>3314</v>
      </c>
      <c r="G810" s="112" t="b">
        <v>0</v>
      </c>
      <c r="H810" s="112" t="b">
        <v>0</v>
      </c>
      <c r="I810" s="112" t="b">
        <v>0</v>
      </c>
      <c r="J810" s="112" t="b">
        <v>0</v>
      </c>
      <c r="K810" s="112" t="b">
        <v>0</v>
      </c>
      <c r="L810" s="112" t="b">
        <v>0</v>
      </c>
    </row>
    <row r="811" spans="1:12" ht="15">
      <c r="A811" s="112" t="s">
        <v>2955</v>
      </c>
      <c r="B811" s="112" t="s">
        <v>2552</v>
      </c>
      <c r="C811" s="112">
        <v>2</v>
      </c>
      <c r="D811" s="114">
        <v>0.00036261359660243913</v>
      </c>
      <c r="E811" s="114">
        <v>3.4730488050885375</v>
      </c>
      <c r="F811" s="112" t="s">
        <v>3314</v>
      </c>
      <c r="G811" s="112" t="b">
        <v>0</v>
      </c>
      <c r="H811" s="112" t="b">
        <v>0</v>
      </c>
      <c r="I811" s="112" t="b">
        <v>0</v>
      </c>
      <c r="J811" s="112" t="b">
        <v>0</v>
      </c>
      <c r="K811" s="112" t="b">
        <v>0</v>
      </c>
      <c r="L811" s="112" t="b">
        <v>0</v>
      </c>
    </row>
    <row r="812" spans="1:12" ht="15">
      <c r="A812" s="112" t="s">
        <v>2096</v>
      </c>
      <c r="B812" s="112" t="s">
        <v>2080</v>
      </c>
      <c r="C812" s="112">
        <v>2</v>
      </c>
      <c r="D812" s="114">
        <v>0.00036261359660243913</v>
      </c>
      <c r="E812" s="114">
        <v>0.2967404530606262</v>
      </c>
      <c r="F812" s="112" t="s">
        <v>3314</v>
      </c>
      <c r="G812" s="112" t="b">
        <v>0</v>
      </c>
      <c r="H812" s="112" t="b">
        <v>0</v>
      </c>
      <c r="I812" s="112" t="b">
        <v>0</v>
      </c>
      <c r="J812" s="112" t="b">
        <v>0</v>
      </c>
      <c r="K812" s="112" t="b">
        <v>0</v>
      </c>
      <c r="L812" s="112" t="b">
        <v>0</v>
      </c>
    </row>
    <row r="813" spans="1:12" ht="15">
      <c r="A813" s="112" t="s">
        <v>2181</v>
      </c>
      <c r="B813" s="112" t="s">
        <v>2961</v>
      </c>
      <c r="C813" s="112">
        <v>2</v>
      </c>
      <c r="D813" s="114">
        <v>0.00036261359660243913</v>
      </c>
      <c r="E813" s="114">
        <v>2.8709888137605755</v>
      </c>
      <c r="F813" s="112" t="s">
        <v>3314</v>
      </c>
      <c r="G813" s="112" t="b">
        <v>1</v>
      </c>
      <c r="H813" s="112" t="b">
        <v>0</v>
      </c>
      <c r="I813" s="112" t="b">
        <v>0</v>
      </c>
      <c r="J813" s="112" t="b">
        <v>1</v>
      </c>
      <c r="K813" s="112" t="b">
        <v>0</v>
      </c>
      <c r="L813" s="112" t="b">
        <v>0</v>
      </c>
    </row>
    <row r="814" spans="1:12" ht="15">
      <c r="A814" s="112" t="s">
        <v>2232</v>
      </c>
      <c r="B814" s="112" t="s">
        <v>2554</v>
      </c>
      <c r="C814" s="112">
        <v>2</v>
      </c>
      <c r="D814" s="114">
        <v>0.00036261359660243913</v>
      </c>
      <c r="E814" s="114">
        <v>2.694897554704894</v>
      </c>
      <c r="F814" s="112" t="s">
        <v>3314</v>
      </c>
      <c r="G814" s="112" t="b">
        <v>0</v>
      </c>
      <c r="H814" s="112" t="b">
        <v>0</v>
      </c>
      <c r="I814" s="112" t="b">
        <v>0</v>
      </c>
      <c r="J814" s="112" t="b">
        <v>0</v>
      </c>
      <c r="K814" s="112" t="b">
        <v>0</v>
      </c>
      <c r="L814" s="112" t="b">
        <v>0</v>
      </c>
    </row>
    <row r="815" spans="1:12" ht="15">
      <c r="A815" s="112" t="s">
        <v>2125</v>
      </c>
      <c r="B815" s="112" t="s">
        <v>2102</v>
      </c>
      <c r="C815" s="112">
        <v>2</v>
      </c>
      <c r="D815" s="114">
        <v>0.00036261359660243913</v>
      </c>
      <c r="E815" s="114">
        <v>1.189464924580736</v>
      </c>
      <c r="F815" s="112" t="s">
        <v>3314</v>
      </c>
      <c r="G815" s="112" t="b">
        <v>0</v>
      </c>
      <c r="H815" s="112" t="b">
        <v>0</v>
      </c>
      <c r="I815" s="112" t="b">
        <v>0</v>
      </c>
      <c r="J815" s="112" t="b">
        <v>0</v>
      </c>
      <c r="K815" s="112" t="b">
        <v>0</v>
      </c>
      <c r="L815" s="112" t="b">
        <v>0</v>
      </c>
    </row>
    <row r="816" spans="1:12" ht="15">
      <c r="A816" s="112" t="s">
        <v>2465</v>
      </c>
      <c r="B816" s="112" t="s">
        <v>2649</v>
      </c>
      <c r="C816" s="112">
        <v>2</v>
      </c>
      <c r="D816" s="114">
        <v>0.0004118981407517484</v>
      </c>
      <c r="E816" s="114">
        <v>3.2969575460328566</v>
      </c>
      <c r="F816" s="112" t="s">
        <v>3314</v>
      </c>
      <c r="G816" s="112" t="b">
        <v>0</v>
      </c>
      <c r="H816" s="112" t="b">
        <v>0</v>
      </c>
      <c r="I816" s="112" t="b">
        <v>0</v>
      </c>
      <c r="J816" s="112" t="b">
        <v>0</v>
      </c>
      <c r="K816" s="112" t="b">
        <v>1</v>
      </c>
      <c r="L816" s="112" t="b">
        <v>0</v>
      </c>
    </row>
    <row r="817" spans="1:12" ht="15">
      <c r="A817" s="112" t="s">
        <v>2649</v>
      </c>
      <c r="B817" s="112" t="s">
        <v>2077</v>
      </c>
      <c r="C817" s="112">
        <v>2</v>
      </c>
      <c r="D817" s="114">
        <v>0.0004118981407517484</v>
      </c>
      <c r="E817" s="114">
        <v>1.2915625141461502</v>
      </c>
      <c r="F817" s="112" t="s">
        <v>3314</v>
      </c>
      <c r="G817" s="112" t="b">
        <v>0</v>
      </c>
      <c r="H817" s="112" t="b">
        <v>1</v>
      </c>
      <c r="I817" s="112" t="b">
        <v>0</v>
      </c>
      <c r="J817" s="112" t="b">
        <v>0</v>
      </c>
      <c r="K817" s="112" t="b">
        <v>0</v>
      </c>
      <c r="L817" s="112" t="b">
        <v>0</v>
      </c>
    </row>
    <row r="818" spans="1:12" ht="15">
      <c r="A818" s="112" t="s">
        <v>2077</v>
      </c>
      <c r="B818" s="112" t="s">
        <v>2663</v>
      </c>
      <c r="C818" s="112">
        <v>2</v>
      </c>
      <c r="D818" s="114">
        <v>0.0004118981407517484</v>
      </c>
      <c r="E818" s="114">
        <v>1.287294229353477</v>
      </c>
      <c r="F818" s="112" t="s">
        <v>3314</v>
      </c>
      <c r="G818" s="112" t="b">
        <v>0</v>
      </c>
      <c r="H818" s="112" t="b">
        <v>0</v>
      </c>
      <c r="I818" s="112" t="b">
        <v>0</v>
      </c>
      <c r="J818" s="112" t="b">
        <v>0</v>
      </c>
      <c r="K818" s="112" t="b">
        <v>1</v>
      </c>
      <c r="L818" s="112" t="b">
        <v>0</v>
      </c>
    </row>
    <row r="819" spans="1:12" ht="15">
      <c r="A819" s="112" t="s">
        <v>2663</v>
      </c>
      <c r="B819" s="112" t="s">
        <v>2077</v>
      </c>
      <c r="C819" s="112">
        <v>2</v>
      </c>
      <c r="D819" s="114">
        <v>0.0004118981407517484</v>
      </c>
      <c r="E819" s="114">
        <v>1.2915625141461502</v>
      </c>
      <c r="F819" s="112" t="s">
        <v>3314</v>
      </c>
      <c r="G819" s="112" t="b">
        <v>0</v>
      </c>
      <c r="H819" s="112" t="b">
        <v>1</v>
      </c>
      <c r="I819" s="112" t="b">
        <v>0</v>
      </c>
      <c r="J819" s="112" t="b">
        <v>0</v>
      </c>
      <c r="K819" s="112" t="b">
        <v>0</v>
      </c>
      <c r="L819" s="112" t="b">
        <v>0</v>
      </c>
    </row>
    <row r="820" spans="1:12" ht="15">
      <c r="A820" s="112" t="s">
        <v>2077</v>
      </c>
      <c r="B820" s="112" t="s">
        <v>2346</v>
      </c>
      <c r="C820" s="112">
        <v>2</v>
      </c>
      <c r="D820" s="114">
        <v>0.0004118981407517484</v>
      </c>
      <c r="E820" s="114">
        <v>0.9193174440588827</v>
      </c>
      <c r="F820" s="112" t="s">
        <v>3314</v>
      </c>
      <c r="G820" s="112" t="b">
        <v>0</v>
      </c>
      <c r="H820" s="112" t="b">
        <v>0</v>
      </c>
      <c r="I820" s="112" t="b">
        <v>0</v>
      </c>
      <c r="J820" s="112" t="b">
        <v>0</v>
      </c>
      <c r="K820" s="112" t="b">
        <v>0</v>
      </c>
      <c r="L820" s="112" t="b">
        <v>0</v>
      </c>
    </row>
    <row r="821" spans="1:12" ht="15">
      <c r="A821" s="112" t="s">
        <v>2346</v>
      </c>
      <c r="B821" s="112" t="s">
        <v>2077</v>
      </c>
      <c r="C821" s="112">
        <v>2</v>
      </c>
      <c r="D821" s="114">
        <v>0.0004118981407517484</v>
      </c>
      <c r="E821" s="114">
        <v>0.9235857288515559</v>
      </c>
      <c r="F821" s="112" t="s">
        <v>3314</v>
      </c>
      <c r="G821" s="112" t="b">
        <v>0</v>
      </c>
      <c r="H821" s="112" t="b">
        <v>0</v>
      </c>
      <c r="I821" s="112" t="b">
        <v>0</v>
      </c>
      <c r="J821" s="112" t="b">
        <v>0</v>
      </c>
      <c r="K821" s="112" t="b">
        <v>0</v>
      </c>
      <c r="L821" s="112" t="b">
        <v>0</v>
      </c>
    </row>
    <row r="822" spans="1:12" ht="15">
      <c r="A822" s="112" t="s">
        <v>2965</v>
      </c>
      <c r="B822" s="112" t="s">
        <v>2966</v>
      </c>
      <c r="C822" s="112">
        <v>2</v>
      </c>
      <c r="D822" s="114">
        <v>0.0004118981407517484</v>
      </c>
      <c r="E822" s="114">
        <v>3.774078800752519</v>
      </c>
      <c r="F822" s="112" t="s">
        <v>3314</v>
      </c>
      <c r="G822" s="112" t="b">
        <v>0</v>
      </c>
      <c r="H822" s="112" t="b">
        <v>0</v>
      </c>
      <c r="I822" s="112" t="b">
        <v>0</v>
      </c>
      <c r="J822" s="112" t="b">
        <v>0</v>
      </c>
      <c r="K822" s="112" t="b">
        <v>0</v>
      </c>
      <c r="L822" s="112" t="b">
        <v>0</v>
      </c>
    </row>
    <row r="823" spans="1:12" ht="15">
      <c r="A823" s="112" t="s">
        <v>2966</v>
      </c>
      <c r="B823" s="112" t="s">
        <v>2467</v>
      </c>
      <c r="C823" s="112">
        <v>2</v>
      </c>
      <c r="D823" s="114">
        <v>0.0004118981407517484</v>
      </c>
      <c r="E823" s="114">
        <v>3.3761387920804813</v>
      </c>
      <c r="F823" s="112" t="s">
        <v>3314</v>
      </c>
      <c r="G823" s="112" t="b">
        <v>0</v>
      </c>
      <c r="H823" s="112" t="b">
        <v>0</v>
      </c>
      <c r="I823" s="112" t="b">
        <v>0</v>
      </c>
      <c r="J823" s="112" t="b">
        <v>0</v>
      </c>
      <c r="K823" s="112" t="b">
        <v>0</v>
      </c>
      <c r="L823" s="112" t="b">
        <v>0</v>
      </c>
    </row>
    <row r="824" spans="1:12" ht="15">
      <c r="A824" s="112" t="s">
        <v>2967</v>
      </c>
      <c r="B824" s="112" t="s">
        <v>2556</v>
      </c>
      <c r="C824" s="112">
        <v>2</v>
      </c>
      <c r="D824" s="114">
        <v>0.00036261359660243913</v>
      </c>
      <c r="E824" s="114">
        <v>3.4730488050885375</v>
      </c>
      <c r="F824" s="112" t="s">
        <v>3314</v>
      </c>
      <c r="G824" s="112" t="b">
        <v>0</v>
      </c>
      <c r="H824" s="112" t="b">
        <v>0</v>
      </c>
      <c r="I824" s="112" t="b">
        <v>0</v>
      </c>
      <c r="J824" s="112" t="b">
        <v>0</v>
      </c>
      <c r="K824" s="112" t="b">
        <v>0</v>
      </c>
      <c r="L824" s="112" t="b">
        <v>0</v>
      </c>
    </row>
    <row r="825" spans="1:12" ht="15">
      <c r="A825" s="112" t="s">
        <v>2102</v>
      </c>
      <c r="B825" s="112" t="s">
        <v>2968</v>
      </c>
      <c r="C825" s="112">
        <v>2</v>
      </c>
      <c r="D825" s="114">
        <v>0.0004118981407517484</v>
      </c>
      <c r="E825" s="114">
        <v>2.350832926815711</v>
      </c>
      <c r="F825" s="112" t="s">
        <v>3314</v>
      </c>
      <c r="G825" s="112" t="b">
        <v>0</v>
      </c>
      <c r="H825" s="112" t="b">
        <v>0</v>
      </c>
      <c r="I825" s="112" t="b">
        <v>0</v>
      </c>
      <c r="J825" s="112" t="b">
        <v>0</v>
      </c>
      <c r="K825" s="112" t="b">
        <v>0</v>
      </c>
      <c r="L825" s="112" t="b">
        <v>0</v>
      </c>
    </row>
    <row r="826" spans="1:12" ht="15">
      <c r="A826" s="112" t="s">
        <v>2968</v>
      </c>
      <c r="B826" s="112" t="s">
        <v>2077</v>
      </c>
      <c r="C826" s="112">
        <v>2</v>
      </c>
      <c r="D826" s="114">
        <v>0.0004118981407517484</v>
      </c>
      <c r="E826" s="114">
        <v>1.4676537732018315</v>
      </c>
      <c r="F826" s="112" t="s">
        <v>3314</v>
      </c>
      <c r="G826" s="112" t="b">
        <v>0</v>
      </c>
      <c r="H826" s="112" t="b">
        <v>0</v>
      </c>
      <c r="I826" s="112" t="b">
        <v>0</v>
      </c>
      <c r="J826" s="112" t="b">
        <v>0</v>
      </c>
      <c r="K826" s="112" t="b">
        <v>0</v>
      </c>
      <c r="L826" s="112" t="b">
        <v>0</v>
      </c>
    </row>
    <row r="827" spans="1:12" ht="15">
      <c r="A827" s="112" t="s">
        <v>2102</v>
      </c>
      <c r="B827" s="112" t="s">
        <v>2077</v>
      </c>
      <c r="C827" s="112">
        <v>2</v>
      </c>
      <c r="D827" s="114">
        <v>0.00036261359660243913</v>
      </c>
      <c r="E827" s="114">
        <v>0.04440789926502369</v>
      </c>
      <c r="F827" s="112" t="s">
        <v>3314</v>
      </c>
      <c r="G827" s="112" t="b">
        <v>0</v>
      </c>
      <c r="H827" s="112" t="b">
        <v>0</v>
      </c>
      <c r="I827" s="112" t="b">
        <v>0</v>
      </c>
      <c r="J827" s="112" t="b">
        <v>0</v>
      </c>
      <c r="K827" s="112" t="b">
        <v>0</v>
      </c>
      <c r="L827" s="112" t="b">
        <v>0</v>
      </c>
    </row>
    <row r="828" spans="1:12" ht="15">
      <c r="A828" s="112" t="s">
        <v>2102</v>
      </c>
      <c r="B828" s="112" t="s">
        <v>2201</v>
      </c>
      <c r="C828" s="112">
        <v>2</v>
      </c>
      <c r="D828" s="114">
        <v>0.0004118981407517484</v>
      </c>
      <c r="E828" s="114">
        <v>1.5057348868014542</v>
      </c>
      <c r="F828" s="112" t="s">
        <v>3314</v>
      </c>
      <c r="G828" s="112" t="b">
        <v>0</v>
      </c>
      <c r="H828" s="112" t="b">
        <v>0</v>
      </c>
      <c r="I828" s="112" t="b">
        <v>0</v>
      </c>
      <c r="J828" s="112" t="b">
        <v>0</v>
      </c>
      <c r="K828" s="112" t="b">
        <v>1</v>
      </c>
      <c r="L828" s="112" t="b">
        <v>0</v>
      </c>
    </row>
    <row r="829" spans="1:12" ht="15">
      <c r="A829" s="112" t="s">
        <v>2077</v>
      </c>
      <c r="B829" s="112" t="s">
        <v>2970</v>
      </c>
      <c r="C829" s="112">
        <v>2</v>
      </c>
      <c r="D829" s="114">
        <v>0.0004118981407517484</v>
      </c>
      <c r="E829" s="114">
        <v>1.4633854884091582</v>
      </c>
      <c r="F829" s="112" t="s">
        <v>3314</v>
      </c>
      <c r="G829" s="112" t="b">
        <v>0</v>
      </c>
      <c r="H829" s="112" t="b">
        <v>0</v>
      </c>
      <c r="I829" s="112" t="b">
        <v>0</v>
      </c>
      <c r="J829" s="112" t="b">
        <v>0</v>
      </c>
      <c r="K829" s="112" t="b">
        <v>0</v>
      </c>
      <c r="L829" s="112" t="b">
        <v>0</v>
      </c>
    </row>
    <row r="830" spans="1:12" ht="15">
      <c r="A830" s="112" t="s">
        <v>2970</v>
      </c>
      <c r="B830" s="112" t="s">
        <v>2290</v>
      </c>
      <c r="C830" s="112">
        <v>2</v>
      </c>
      <c r="D830" s="114">
        <v>0.0004118981407517484</v>
      </c>
      <c r="E830" s="114">
        <v>3.1208662869771753</v>
      </c>
      <c r="F830" s="112" t="s">
        <v>3314</v>
      </c>
      <c r="G830" s="112" t="b">
        <v>0</v>
      </c>
      <c r="H830" s="112" t="b">
        <v>0</v>
      </c>
      <c r="I830" s="112" t="b">
        <v>0</v>
      </c>
      <c r="J830" s="112" t="b">
        <v>0</v>
      </c>
      <c r="K830" s="112" t="b">
        <v>1</v>
      </c>
      <c r="L830" s="112" t="b">
        <v>0</v>
      </c>
    </row>
    <row r="831" spans="1:12" ht="15">
      <c r="A831" s="112" t="s">
        <v>2077</v>
      </c>
      <c r="B831" s="112" t="s">
        <v>2971</v>
      </c>
      <c r="C831" s="112">
        <v>2</v>
      </c>
      <c r="D831" s="114">
        <v>0.0004118981407517484</v>
      </c>
      <c r="E831" s="114">
        <v>1.4633854884091582</v>
      </c>
      <c r="F831" s="112" t="s">
        <v>3314</v>
      </c>
      <c r="G831" s="112" t="b">
        <v>0</v>
      </c>
      <c r="H831" s="112" t="b">
        <v>0</v>
      </c>
      <c r="I831" s="112" t="b">
        <v>0</v>
      </c>
      <c r="J831" s="112" t="b">
        <v>0</v>
      </c>
      <c r="K831" s="112" t="b">
        <v>0</v>
      </c>
      <c r="L831" s="112" t="b">
        <v>0</v>
      </c>
    </row>
    <row r="832" spans="1:12" ht="15">
      <c r="A832" s="112" t="s">
        <v>2704</v>
      </c>
      <c r="B832" s="112" t="s">
        <v>2077</v>
      </c>
      <c r="C832" s="112">
        <v>2</v>
      </c>
      <c r="D832" s="114">
        <v>0.0004118981407517484</v>
      </c>
      <c r="E832" s="114">
        <v>1.4676537732018315</v>
      </c>
      <c r="F832" s="112" t="s">
        <v>3314</v>
      </c>
      <c r="G832" s="112" t="b">
        <v>0</v>
      </c>
      <c r="H832" s="112" t="b">
        <v>0</v>
      </c>
      <c r="I832" s="112" t="b">
        <v>0</v>
      </c>
      <c r="J832" s="112" t="b">
        <v>0</v>
      </c>
      <c r="K832" s="112" t="b">
        <v>0</v>
      </c>
      <c r="L832" s="112" t="b">
        <v>0</v>
      </c>
    </row>
    <row r="833" spans="1:12" ht="15">
      <c r="A833" s="112" t="s">
        <v>2125</v>
      </c>
      <c r="B833" s="112" t="s">
        <v>2232</v>
      </c>
      <c r="C833" s="112">
        <v>2</v>
      </c>
      <c r="D833" s="114">
        <v>0.00036261359660243913</v>
      </c>
      <c r="E833" s="114">
        <v>1.8345595481339003</v>
      </c>
      <c r="F833" s="112" t="s">
        <v>3314</v>
      </c>
      <c r="G833" s="112" t="b">
        <v>0</v>
      </c>
      <c r="H833" s="112" t="b">
        <v>0</v>
      </c>
      <c r="I833" s="112" t="b">
        <v>0</v>
      </c>
      <c r="J833" s="112" t="b">
        <v>0</v>
      </c>
      <c r="K833" s="112" t="b">
        <v>0</v>
      </c>
      <c r="L833" s="112" t="b">
        <v>0</v>
      </c>
    </row>
    <row r="834" spans="1:12" ht="15">
      <c r="A834" s="112" t="s">
        <v>2561</v>
      </c>
      <c r="B834" s="112" t="s">
        <v>2561</v>
      </c>
      <c r="C834" s="112">
        <v>2</v>
      </c>
      <c r="D834" s="114">
        <v>0.0004118981407517484</v>
      </c>
      <c r="E834" s="114">
        <v>3.2969575460328566</v>
      </c>
      <c r="F834" s="112" t="s">
        <v>3314</v>
      </c>
      <c r="G834" s="112" t="b">
        <v>0</v>
      </c>
      <c r="H834" s="112" t="b">
        <v>0</v>
      </c>
      <c r="I834" s="112" t="b">
        <v>0</v>
      </c>
      <c r="J834" s="112" t="b">
        <v>0</v>
      </c>
      <c r="K834" s="112" t="b">
        <v>0</v>
      </c>
      <c r="L834" s="112" t="b">
        <v>0</v>
      </c>
    </row>
    <row r="835" spans="1:12" ht="15">
      <c r="A835" s="112" t="s">
        <v>2077</v>
      </c>
      <c r="B835" s="112" t="s">
        <v>2562</v>
      </c>
      <c r="C835" s="112">
        <v>2</v>
      </c>
      <c r="D835" s="114">
        <v>0.0004118981407517484</v>
      </c>
      <c r="E835" s="114">
        <v>1.1623554927451771</v>
      </c>
      <c r="F835" s="112" t="s">
        <v>3314</v>
      </c>
      <c r="G835" s="112" t="b">
        <v>0</v>
      </c>
      <c r="H835" s="112" t="b">
        <v>0</v>
      </c>
      <c r="I835" s="112" t="b">
        <v>0</v>
      </c>
      <c r="J835" s="112" t="b">
        <v>0</v>
      </c>
      <c r="K835" s="112" t="b">
        <v>0</v>
      </c>
      <c r="L835" s="112" t="b">
        <v>0</v>
      </c>
    </row>
    <row r="836" spans="1:12" ht="15">
      <c r="A836" s="112" t="s">
        <v>2562</v>
      </c>
      <c r="B836" s="112" t="s">
        <v>2077</v>
      </c>
      <c r="C836" s="112">
        <v>2</v>
      </c>
      <c r="D836" s="114">
        <v>0.0004118981407517484</v>
      </c>
      <c r="E836" s="114">
        <v>1.1666237775378503</v>
      </c>
      <c r="F836" s="112" t="s">
        <v>3314</v>
      </c>
      <c r="G836" s="112" t="b">
        <v>0</v>
      </c>
      <c r="H836" s="112" t="b">
        <v>0</v>
      </c>
      <c r="I836" s="112" t="b">
        <v>0</v>
      </c>
      <c r="J836" s="112" t="b">
        <v>0</v>
      </c>
      <c r="K836" s="112" t="b">
        <v>0</v>
      </c>
      <c r="L836" s="112" t="b">
        <v>0</v>
      </c>
    </row>
    <row r="837" spans="1:12" ht="15">
      <c r="A837" s="112" t="s">
        <v>2077</v>
      </c>
      <c r="B837" s="112" t="s">
        <v>2705</v>
      </c>
      <c r="C837" s="112">
        <v>2</v>
      </c>
      <c r="D837" s="114">
        <v>0.0004118981407517484</v>
      </c>
      <c r="E837" s="114">
        <v>1.287294229353477</v>
      </c>
      <c r="F837" s="112" t="s">
        <v>3314</v>
      </c>
      <c r="G837" s="112" t="b">
        <v>0</v>
      </c>
      <c r="H837" s="112" t="b">
        <v>0</v>
      </c>
      <c r="I837" s="112" t="b">
        <v>0</v>
      </c>
      <c r="J837" s="112" t="b">
        <v>0</v>
      </c>
      <c r="K837" s="112" t="b">
        <v>0</v>
      </c>
      <c r="L837" s="112" t="b">
        <v>0</v>
      </c>
    </row>
    <row r="838" spans="1:12" ht="15">
      <c r="A838" s="112" t="s">
        <v>2705</v>
      </c>
      <c r="B838" s="112" t="s">
        <v>2706</v>
      </c>
      <c r="C838" s="112">
        <v>2</v>
      </c>
      <c r="D838" s="114">
        <v>0.0004118981407517484</v>
      </c>
      <c r="E838" s="114">
        <v>3.4218962826411565</v>
      </c>
      <c r="F838" s="112" t="s">
        <v>3314</v>
      </c>
      <c r="G838" s="112" t="b">
        <v>0</v>
      </c>
      <c r="H838" s="112" t="b">
        <v>0</v>
      </c>
      <c r="I838" s="112" t="b">
        <v>0</v>
      </c>
      <c r="J838" s="112" t="b">
        <v>0</v>
      </c>
      <c r="K838" s="112" t="b">
        <v>0</v>
      </c>
      <c r="L838" s="112" t="b">
        <v>0</v>
      </c>
    </row>
    <row r="839" spans="1:12" ht="15">
      <c r="A839" s="112" t="s">
        <v>2973</v>
      </c>
      <c r="B839" s="112" t="s">
        <v>2974</v>
      </c>
      <c r="C839" s="112">
        <v>2</v>
      </c>
      <c r="D839" s="114">
        <v>0.0004118981407517484</v>
      </c>
      <c r="E839" s="114">
        <v>3.774078800752519</v>
      </c>
      <c r="F839" s="112" t="s">
        <v>3314</v>
      </c>
      <c r="G839" s="112" t="b">
        <v>1</v>
      </c>
      <c r="H839" s="112" t="b">
        <v>0</v>
      </c>
      <c r="I839" s="112" t="b">
        <v>0</v>
      </c>
      <c r="J839" s="112" t="b">
        <v>0</v>
      </c>
      <c r="K839" s="112" t="b">
        <v>0</v>
      </c>
      <c r="L839" s="112" t="b">
        <v>0</v>
      </c>
    </row>
    <row r="840" spans="1:12" ht="15">
      <c r="A840" s="112" t="s">
        <v>2975</v>
      </c>
      <c r="B840" s="112" t="s">
        <v>2563</v>
      </c>
      <c r="C840" s="112">
        <v>2</v>
      </c>
      <c r="D840" s="114">
        <v>0.0004118981407517484</v>
      </c>
      <c r="E840" s="114">
        <v>3.4730488050885375</v>
      </c>
      <c r="F840" s="112" t="s">
        <v>3314</v>
      </c>
      <c r="G840" s="112" t="b">
        <v>0</v>
      </c>
      <c r="H840" s="112" t="b">
        <v>0</v>
      </c>
      <c r="I840" s="112" t="b">
        <v>0</v>
      </c>
      <c r="J840" s="112" t="b">
        <v>0</v>
      </c>
      <c r="K840" s="112" t="b">
        <v>0</v>
      </c>
      <c r="L840" s="112" t="b">
        <v>0</v>
      </c>
    </row>
    <row r="841" spans="1:12" ht="15">
      <c r="A841" s="112" t="s">
        <v>2416</v>
      </c>
      <c r="B841" s="112" t="s">
        <v>2077</v>
      </c>
      <c r="C841" s="112">
        <v>2</v>
      </c>
      <c r="D841" s="114">
        <v>0.0004118981407517484</v>
      </c>
      <c r="E841" s="114">
        <v>0.9905325184821689</v>
      </c>
      <c r="F841" s="112" t="s">
        <v>3314</v>
      </c>
      <c r="G841" s="112" t="b">
        <v>0</v>
      </c>
      <c r="H841" s="112" t="b">
        <v>0</v>
      </c>
      <c r="I841" s="112" t="b">
        <v>0</v>
      </c>
      <c r="J841" s="112" t="b">
        <v>0</v>
      </c>
      <c r="K841" s="112" t="b">
        <v>0</v>
      </c>
      <c r="L841" s="112" t="b">
        <v>0</v>
      </c>
    </row>
    <row r="842" spans="1:12" ht="15">
      <c r="A842" s="112" t="s">
        <v>2976</v>
      </c>
      <c r="B842" s="112" t="s">
        <v>2977</v>
      </c>
      <c r="C842" s="112">
        <v>2</v>
      </c>
      <c r="D842" s="114">
        <v>0.0004118981407517484</v>
      </c>
      <c r="E842" s="114">
        <v>3.774078800752519</v>
      </c>
      <c r="F842" s="112" t="s">
        <v>3314</v>
      </c>
      <c r="G842" s="112" t="b">
        <v>0</v>
      </c>
      <c r="H842" s="112" t="b">
        <v>0</v>
      </c>
      <c r="I842" s="112" t="b">
        <v>0</v>
      </c>
      <c r="J842" s="112" t="b">
        <v>0</v>
      </c>
      <c r="K842" s="112" t="b">
        <v>0</v>
      </c>
      <c r="L842" s="112" t="b">
        <v>0</v>
      </c>
    </row>
    <row r="843" spans="1:12" ht="15">
      <c r="A843" s="112" t="s">
        <v>2978</v>
      </c>
      <c r="B843" s="112" t="s">
        <v>2077</v>
      </c>
      <c r="C843" s="112">
        <v>2</v>
      </c>
      <c r="D843" s="114">
        <v>0.0004118981407517484</v>
      </c>
      <c r="E843" s="114">
        <v>1.4676537732018315</v>
      </c>
      <c r="F843" s="112" t="s">
        <v>3314</v>
      </c>
      <c r="G843" s="112" t="b">
        <v>0</v>
      </c>
      <c r="H843" s="112" t="b">
        <v>0</v>
      </c>
      <c r="I843" s="112" t="b">
        <v>0</v>
      </c>
      <c r="J843" s="112" t="b">
        <v>0</v>
      </c>
      <c r="K843" s="112" t="b">
        <v>0</v>
      </c>
      <c r="L843" s="112" t="b">
        <v>0</v>
      </c>
    </row>
    <row r="844" spans="1:12" ht="15">
      <c r="A844" s="112" t="s">
        <v>2232</v>
      </c>
      <c r="B844" s="112" t="s">
        <v>2979</v>
      </c>
      <c r="C844" s="112">
        <v>2</v>
      </c>
      <c r="D844" s="114">
        <v>0.0004118981407517484</v>
      </c>
      <c r="E844" s="114">
        <v>2.9959275503688754</v>
      </c>
      <c r="F844" s="112" t="s">
        <v>3314</v>
      </c>
      <c r="G844" s="112" t="b">
        <v>0</v>
      </c>
      <c r="H844" s="112" t="b">
        <v>0</v>
      </c>
      <c r="I844" s="112" t="b">
        <v>0</v>
      </c>
      <c r="J844" s="112" t="b">
        <v>0</v>
      </c>
      <c r="K844" s="112" t="b">
        <v>0</v>
      </c>
      <c r="L844" s="112" t="b">
        <v>0</v>
      </c>
    </row>
    <row r="845" spans="1:12" ht="15">
      <c r="A845" s="112" t="s">
        <v>2139</v>
      </c>
      <c r="B845" s="112" t="s">
        <v>2094</v>
      </c>
      <c r="C845" s="112">
        <v>2</v>
      </c>
      <c r="D845" s="114">
        <v>0.00036261359660243913</v>
      </c>
      <c r="E845" s="114">
        <v>1.053919497346562</v>
      </c>
      <c r="F845" s="112" t="s">
        <v>3314</v>
      </c>
      <c r="G845" s="112" t="b">
        <v>0</v>
      </c>
      <c r="H845" s="112" t="b">
        <v>0</v>
      </c>
      <c r="I845" s="112" t="b">
        <v>0</v>
      </c>
      <c r="J845" s="112" t="b">
        <v>0</v>
      </c>
      <c r="K845" s="112" t="b">
        <v>0</v>
      </c>
      <c r="L845" s="112" t="b">
        <v>0</v>
      </c>
    </row>
    <row r="846" spans="1:12" ht="15">
      <c r="A846" s="112" t="s">
        <v>2981</v>
      </c>
      <c r="B846" s="112" t="s">
        <v>2982</v>
      </c>
      <c r="C846" s="112">
        <v>2</v>
      </c>
      <c r="D846" s="114">
        <v>0.0004118981407517484</v>
      </c>
      <c r="E846" s="114">
        <v>3.774078800752519</v>
      </c>
      <c r="F846" s="112" t="s">
        <v>3314</v>
      </c>
      <c r="G846" s="112" t="b">
        <v>0</v>
      </c>
      <c r="H846" s="112" t="b">
        <v>0</v>
      </c>
      <c r="I846" s="112" t="b">
        <v>0</v>
      </c>
      <c r="J846" s="112" t="b">
        <v>0</v>
      </c>
      <c r="K846" s="112" t="b">
        <v>0</v>
      </c>
      <c r="L846" s="112" t="b">
        <v>0</v>
      </c>
    </row>
    <row r="847" spans="1:12" ht="15">
      <c r="A847" s="112" t="s">
        <v>2202</v>
      </c>
      <c r="B847" s="112" t="s">
        <v>2246</v>
      </c>
      <c r="C847" s="112">
        <v>2</v>
      </c>
      <c r="D847" s="114">
        <v>0.00036261359660243913</v>
      </c>
      <c r="E847" s="114">
        <v>2.158654847866575</v>
      </c>
      <c r="F847" s="112" t="s">
        <v>3314</v>
      </c>
      <c r="G847" s="112" t="b">
        <v>0</v>
      </c>
      <c r="H847" s="112" t="b">
        <v>0</v>
      </c>
      <c r="I847" s="112" t="b">
        <v>0</v>
      </c>
      <c r="J847" s="112" t="b">
        <v>0</v>
      </c>
      <c r="K847" s="112" t="b">
        <v>0</v>
      </c>
      <c r="L847" s="112" t="b">
        <v>0</v>
      </c>
    </row>
    <row r="848" spans="1:12" ht="15">
      <c r="A848" s="112" t="s">
        <v>2417</v>
      </c>
      <c r="B848" s="112" t="s">
        <v>2175</v>
      </c>
      <c r="C848" s="112">
        <v>2</v>
      </c>
      <c r="D848" s="114">
        <v>0.00036261359660243913</v>
      </c>
      <c r="E848" s="114">
        <v>2.3427150365935314</v>
      </c>
      <c r="F848" s="112" t="s">
        <v>3314</v>
      </c>
      <c r="G848" s="112" t="b">
        <v>0</v>
      </c>
      <c r="H848" s="112" t="b">
        <v>0</v>
      </c>
      <c r="I848" s="112" t="b">
        <v>0</v>
      </c>
      <c r="J848" s="112" t="b">
        <v>0</v>
      </c>
      <c r="K848" s="112" t="b">
        <v>0</v>
      </c>
      <c r="L848" s="112" t="b">
        <v>0</v>
      </c>
    </row>
    <row r="849" spans="1:12" ht="15">
      <c r="A849" s="112" t="s">
        <v>2350</v>
      </c>
      <c r="B849" s="112" t="s">
        <v>2165</v>
      </c>
      <c r="C849" s="112">
        <v>2</v>
      </c>
      <c r="D849" s="114">
        <v>0.00036261359660243913</v>
      </c>
      <c r="E849" s="114">
        <v>2.230010756402243</v>
      </c>
      <c r="F849" s="112" t="s">
        <v>3314</v>
      </c>
      <c r="G849" s="112" t="b">
        <v>0</v>
      </c>
      <c r="H849" s="112" t="b">
        <v>0</v>
      </c>
      <c r="I849" s="112" t="b">
        <v>0</v>
      </c>
      <c r="J849" s="112" t="b">
        <v>0</v>
      </c>
      <c r="K849" s="112" t="b">
        <v>0</v>
      </c>
      <c r="L849" s="112" t="b">
        <v>0</v>
      </c>
    </row>
    <row r="850" spans="1:12" ht="15">
      <c r="A850" s="112" t="s">
        <v>2121</v>
      </c>
      <c r="B850" s="112" t="s">
        <v>2984</v>
      </c>
      <c r="C850" s="112">
        <v>2</v>
      </c>
      <c r="D850" s="114">
        <v>0.00036261359660243913</v>
      </c>
      <c r="E850" s="114">
        <v>2.4416403408369134</v>
      </c>
      <c r="F850" s="112" t="s">
        <v>3314</v>
      </c>
      <c r="G850" s="112" t="b">
        <v>0</v>
      </c>
      <c r="H850" s="112" t="b">
        <v>0</v>
      </c>
      <c r="I850" s="112" t="b">
        <v>0</v>
      </c>
      <c r="J850" s="112" t="b">
        <v>0</v>
      </c>
      <c r="K850" s="112" t="b">
        <v>0</v>
      </c>
      <c r="L850" s="112" t="b">
        <v>0</v>
      </c>
    </row>
    <row r="851" spans="1:12" ht="15">
      <c r="A851" s="112" t="s">
        <v>2985</v>
      </c>
      <c r="B851" s="112" t="s">
        <v>2411</v>
      </c>
      <c r="C851" s="112">
        <v>2</v>
      </c>
      <c r="D851" s="114">
        <v>0.0004118981407517484</v>
      </c>
      <c r="E851" s="114">
        <v>3.2969575460328566</v>
      </c>
      <c r="F851" s="112" t="s">
        <v>3314</v>
      </c>
      <c r="G851" s="112" t="b">
        <v>0</v>
      </c>
      <c r="H851" s="112" t="b">
        <v>0</v>
      </c>
      <c r="I851" s="112" t="b">
        <v>0</v>
      </c>
      <c r="J851" s="112" t="b">
        <v>0</v>
      </c>
      <c r="K851" s="112" t="b">
        <v>0</v>
      </c>
      <c r="L851" s="112" t="b">
        <v>0</v>
      </c>
    </row>
    <row r="852" spans="1:12" ht="15">
      <c r="A852" s="112" t="s">
        <v>2708</v>
      </c>
      <c r="B852" s="112" t="s">
        <v>2565</v>
      </c>
      <c r="C852" s="112">
        <v>2</v>
      </c>
      <c r="D852" s="114">
        <v>0.00036261359660243913</v>
      </c>
      <c r="E852" s="114">
        <v>3.2969575460328566</v>
      </c>
      <c r="F852" s="112" t="s">
        <v>3314</v>
      </c>
      <c r="G852" s="112" t="b">
        <v>0</v>
      </c>
      <c r="H852" s="112" t="b">
        <v>0</v>
      </c>
      <c r="I852" s="112" t="b">
        <v>0</v>
      </c>
      <c r="J852" s="112" t="b">
        <v>0</v>
      </c>
      <c r="K852" s="112" t="b">
        <v>0</v>
      </c>
      <c r="L852" s="112" t="b">
        <v>0</v>
      </c>
    </row>
    <row r="853" spans="1:12" ht="15">
      <c r="A853" s="112" t="s">
        <v>2418</v>
      </c>
      <c r="B853" s="112" t="s">
        <v>2709</v>
      </c>
      <c r="C853" s="112">
        <v>2</v>
      </c>
      <c r="D853" s="114">
        <v>0.0004118981407517484</v>
      </c>
      <c r="E853" s="114">
        <v>3.1208662869771753</v>
      </c>
      <c r="F853" s="112" t="s">
        <v>3314</v>
      </c>
      <c r="G853" s="112" t="b">
        <v>1</v>
      </c>
      <c r="H853" s="112" t="b">
        <v>0</v>
      </c>
      <c r="I853" s="112" t="b">
        <v>0</v>
      </c>
      <c r="J853" s="112" t="b">
        <v>1</v>
      </c>
      <c r="K853" s="112" t="b">
        <v>0</v>
      </c>
      <c r="L853" s="112" t="b">
        <v>0</v>
      </c>
    </row>
    <row r="854" spans="1:12" ht="15">
      <c r="A854" s="112" t="s">
        <v>2572</v>
      </c>
      <c r="B854" s="112" t="s">
        <v>2196</v>
      </c>
      <c r="C854" s="112">
        <v>2</v>
      </c>
      <c r="D854" s="114">
        <v>0.00036261359660243913</v>
      </c>
      <c r="E854" s="114">
        <v>2.597987541696838</v>
      </c>
      <c r="F854" s="112" t="s">
        <v>3314</v>
      </c>
      <c r="G854" s="112" t="b">
        <v>0</v>
      </c>
      <c r="H854" s="112" t="b">
        <v>0</v>
      </c>
      <c r="I854" s="112" t="b">
        <v>0</v>
      </c>
      <c r="J854" s="112" t="b">
        <v>0</v>
      </c>
      <c r="K854" s="112" t="b">
        <v>0</v>
      </c>
      <c r="L854" s="112" t="b">
        <v>0</v>
      </c>
    </row>
    <row r="855" spans="1:12" ht="15">
      <c r="A855" s="112" t="s">
        <v>2196</v>
      </c>
      <c r="B855" s="112" t="s">
        <v>2993</v>
      </c>
      <c r="C855" s="112">
        <v>2</v>
      </c>
      <c r="D855" s="114">
        <v>0.00036261359660243913</v>
      </c>
      <c r="E855" s="114">
        <v>2.8990175373608187</v>
      </c>
      <c r="F855" s="112" t="s">
        <v>3314</v>
      </c>
      <c r="G855" s="112" t="b">
        <v>0</v>
      </c>
      <c r="H855" s="112" t="b">
        <v>0</v>
      </c>
      <c r="I855" s="112" t="b">
        <v>0</v>
      </c>
      <c r="J855" s="112" t="b">
        <v>0</v>
      </c>
      <c r="K855" s="112" t="b">
        <v>0</v>
      </c>
      <c r="L855" s="112" t="b">
        <v>0</v>
      </c>
    </row>
    <row r="856" spans="1:12" ht="15">
      <c r="A856" s="112" t="s">
        <v>2714</v>
      </c>
      <c r="B856" s="112" t="s">
        <v>2470</v>
      </c>
      <c r="C856" s="112">
        <v>2</v>
      </c>
      <c r="D856" s="114">
        <v>0.00036261359660243913</v>
      </c>
      <c r="E856" s="114">
        <v>3.2000475330248</v>
      </c>
      <c r="F856" s="112" t="s">
        <v>3314</v>
      </c>
      <c r="G856" s="112" t="b">
        <v>0</v>
      </c>
      <c r="H856" s="112" t="b">
        <v>0</v>
      </c>
      <c r="I856" s="112" t="b">
        <v>0</v>
      </c>
      <c r="J856" s="112" t="b">
        <v>0</v>
      </c>
      <c r="K856" s="112" t="b">
        <v>0</v>
      </c>
      <c r="L856" s="112" t="b">
        <v>0</v>
      </c>
    </row>
    <row r="857" spans="1:12" ht="15">
      <c r="A857" s="112" t="s">
        <v>2716</v>
      </c>
      <c r="B857" s="112" t="s">
        <v>2715</v>
      </c>
      <c r="C857" s="112">
        <v>2</v>
      </c>
      <c r="D857" s="114">
        <v>0.0004118981407517484</v>
      </c>
      <c r="E857" s="114">
        <v>3.5979875416968374</v>
      </c>
      <c r="F857" s="112" t="s">
        <v>3314</v>
      </c>
      <c r="G857" s="112" t="b">
        <v>0</v>
      </c>
      <c r="H857" s="112" t="b">
        <v>0</v>
      </c>
      <c r="I857" s="112" t="b">
        <v>0</v>
      </c>
      <c r="J857" s="112" t="b">
        <v>0</v>
      </c>
      <c r="K857" s="112" t="b">
        <v>1</v>
      </c>
      <c r="L857" s="112" t="b">
        <v>0</v>
      </c>
    </row>
    <row r="858" spans="1:12" ht="15">
      <c r="A858" s="112" t="s">
        <v>2458</v>
      </c>
      <c r="B858" s="112" t="s">
        <v>2173</v>
      </c>
      <c r="C858" s="112">
        <v>2</v>
      </c>
      <c r="D858" s="114">
        <v>0.00036261359660243913</v>
      </c>
      <c r="E858" s="114">
        <v>2.4467198663661884</v>
      </c>
      <c r="F858" s="112" t="s">
        <v>3314</v>
      </c>
      <c r="G858" s="112" t="b">
        <v>0</v>
      </c>
      <c r="H858" s="112" t="b">
        <v>0</v>
      </c>
      <c r="I858" s="112" t="b">
        <v>0</v>
      </c>
      <c r="J858" s="112" t="b">
        <v>0</v>
      </c>
      <c r="K858" s="112" t="b">
        <v>0</v>
      </c>
      <c r="L858" s="112" t="b">
        <v>0</v>
      </c>
    </row>
    <row r="859" spans="1:12" ht="15">
      <c r="A859" s="112" t="s">
        <v>2577</v>
      </c>
      <c r="B859" s="112" t="s">
        <v>3009</v>
      </c>
      <c r="C859" s="112">
        <v>2</v>
      </c>
      <c r="D859" s="114">
        <v>0.00036261359660243913</v>
      </c>
      <c r="E859" s="114">
        <v>3.4730488050885375</v>
      </c>
      <c r="F859" s="112" t="s">
        <v>3314</v>
      </c>
      <c r="G859" s="112" t="b">
        <v>0</v>
      </c>
      <c r="H859" s="112" t="b">
        <v>0</v>
      </c>
      <c r="I859" s="112" t="b">
        <v>0</v>
      </c>
      <c r="J859" s="112" t="b">
        <v>0</v>
      </c>
      <c r="K859" s="112" t="b">
        <v>0</v>
      </c>
      <c r="L859" s="112" t="b">
        <v>0</v>
      </c>
    </row>
    <row r="860" spans="1:12" ht="15">
      <c r="A860" s="112" t="s">
        <v>2190</v>
      </c>
      <c r="B860" s="112" t="s">
        <v>2086</v>
      </c>
      <c r="C860" s="112">
        <v>2</v>
      </c>
      <c r="D860" s="114">
        <v>0.00036261359660243913</v>
      </c>
      <c r="E860" s="114">
        <v>1.134592311483933</v>
      </c>
      <c r="F860" s="112" t="s">
        <v>3314</v>
      </c>
      <c r="G860" s="112" t="b">
        <v>0</v>
      </c>
      <c r="H860" s="112" t="b">
        <v>0</v>
      </c>
      <c r="I860" s="112" t="b">
        <v>0</v>
      </c>
      <c r="J860" s="112" t="b">
        <v>0</v>
      </c>
      <c r="K860" s="112" t="b">
        <v>0</v>
      </c>
      <c r="L860" s="112" t="b">
        <v>0</v>
      </c>
    </row>
    <row r="861" spans="1:12" ht="15">
      <c r="A861" s="112" t="s">
        <v>3011</v>
      </c>
      <c r="B861" s="112" t="s">
        <v>3012</v>
      </c>
      <c r="C861" s="112">
        <v>2</v>
      </c>
      <c r="D861" s="114">
        <v>0.00036261359660243913</v>
      </c>
      <c r="E861" s="114">
        <v>3.774078800752519</v>
      </c>
      <c r="F861" s="112" t="s">
        <v>3314</v>
      </c>
      <c r="G861" s="112" t="b">
        <v>0</v>
      </c>
      <c r="H861" s="112" t="b">
        <v>1</v>
      </c>
      <c r="I861" s="112" t="b">
        <v>0</v>
      </c>
      <c r="J861" s="112" t="b">
        <v>0</v>
      </c>
      <c r="K861" s="112" t="b">
        <v>1</v>
      </c>
      <c r="L861" s="112" t="b">
        <v>0</v>
      </c>
    </row>
    <row r="862" spans="1:12" ht="15">
      <c r="A862" s="112" t="s">
        <v>2182</v>
      </c>
      <c r="B862" s="112" t="s">
        <v>2210</v>
      </c>
      <c r="C862" s="112">
        <v>2</v>
      </c>
      <c r="D862" s="114">
        <v>0.00036261359660243913</v>
      </c>
      <c r="E862" s="114">
        <v>2.0580754571177198</v>
      </c>
      <c r="F862" s="112" t="s">
        <v>3314</v>
      </c>
      <c r="G862" s="112" t="b">
        <v>0</v>
      </c>
      <c r="H862" s="112" t="b">
        <v>0</v>
      </c>
      <c r="I862" s="112" t="b">
        <v>0</v>
      </c>
      <c r="J862" s="112" t="b">
        <v>0</v>
      </c>
      <c r="K862" s="112" t="b">
        <v>0</v>
      </c>
      <c r="L862" s="112" t="b">
        <v>0</v>
      </c>
    </row>
    <row r="863" spans="1:12" ht="15">
      <c r="A863" s="112" t="s">
        <v>3014</v>
      </c>
      <c r="B863" s="112" t="s">
        <v>3015</v>
      </c>
      <c r="C863" s="112">
        <v>2</v>
      </c>
      <c r="D863" s="114">
        <v>0.00036261359660243913</v>
      </c>
      <c r="E863" s="114">
        <v>3.774078800752519</v>
      </c>
      <c r="F863" s="112" t="s">
        <v>3314</v>
      </c>
      <c r="G863" s="112" t="b">
        <v>0</v>
      </c>
      <c r="H863" s="112" t="b">
        <v>0</v>
      </c>
      <c r="I863" s="112" t="b">
        <v>0</v>
      </c>
      <c r="J863" s="112" t="b">
        <v>0</v>
      </c>
      <c r="K863" s="112" t="b">
        <v>0</v>
      </c>
      <c r="L863" s="112" t="b">
        <v>0</v>
      </c>
    </row>
    <row r="864" spans="1:12" ht="15">
      <c r="A864" s="112" t="s">
        <v>2181</v>
      </c>
      <c r="B864" s="112" t="s">
        <v>2578</v>
      </c>
      <c r="C864" s="112">
        <v>2</v>
      </c>
      <c r="D864" s="114">
        <v>0.00036261359660243913</v>
      </c>
      <c r="E864" s="114">
        <v>2.569958818096594</v>
      </c>
      <c r="F864" s="112" t="s">
        <v>3314</v>
      </c>
      <c r="G864" s="112" t="b">
        <v>1</v>
      </c>
      <c r="H864" s="112" t="b">
        <v>0</v>
      </c>
      <c r="I864" s="112" t="b">
        <v>0</v>
      </c>
      <c r="J864" s="112" t="b">
        <v>0</v>
      </c>
      <c r="K864" s="112" t="b">
        <v>0</v>
      </c>
      <c r="L864" s="112" t="b">
        <v>0</v>
      </c>
    </row>
    <row r="865" spans="1:12" ht="15">
      <c r="A865" s="112" t="s">
        <v>2123</v>
      </c>
      <c r="B865" s="112" t="s">
        <v>2571</v>
      </c>
      <c r="C865" s="112">
        <v>2</v>
      </c>
      <c r="D865" s="114">
        <v>0.00036261359660243913</v>
      </c>
      <c r="E865" s="114">
        <v>2.1508295103546184</v>
      </c>
      <c r="F865" s="112" t="s">
        <v>3314</v>
      </c>
      <c r="G865" s="112" t="b">
        <v>0</v>
      </c>
      <c r="H865" s="112" t="b">
        <v>0</v>
      </c>
      <c r="I865" s="112" t="b">
        <v>0</v>
      </c>
      <c r="J865" s="112" t="b">
        <v>0</v>
      </c>
      <c r="K865" s="112" t="b">
        <v>0</v>
      </c>
      <c r="L865" s="112" t="b">
        <v>0</v>
      </c>
    </row>
    <row r="866" spans="1:12" ht="15">
      <c r="A866" s="112" t="s">
        <v>2370</v>
      </c>
      <c r="B866" s="112" t="s">
        <v>2202</v>
      </c>
      <c r="C866" s="112">
        <v>2</v>
      </c>
      <c r="D866" s="114">
        <v>0.00036261359660243913</v>
      </c>
      <c r="E866" s="114">
        <v>2.354949493010543</v>
      </c>
      <c r="F866" s="112" t="s">
        <v>3314</v>
      </c>
      <c r="G866" s="112" t="b">
        <v>0</v>
      </c>
      <c r="H866" s="112" t="b">
        <v>0</v>
      </c>
      <c r="I866" s="112" t="b">
        <v>0</v>
      </c>
      <c r="J866" s="112" t="b">
        <v>0</v>
      </c>
      <c r="K866" s="112" t="b">
        <v>0</v>
      </c>
      <c r="L866" s="112" t="b">
        <v>0</v>
      </c>
    </row>
    <row r="867" spans="1:12" ht="15">
      <c r="A867" s="112" t="s">
        <v>2202</v>
      </c>
      <c r="B867" s="112" t="s">
        <v>2202</v>
      </c>
      <c r="C867" s="112">
        <v>2</v>
      </c>
      <c r="D867" s="114">
        <v>0.00036261359660243913</v>
      </c>
      <c r="E867" s="114">
        <v>2.023956273969119</v>
      </c>
      <c r="F867" s="112" t="s">
        <v>3314</v>
      </c>
      <c r="G867" s="112" t="b">
        <v>0</v>
      </c>
      <c r="H867" s="112" t="b">
        <v>0</v>
      </c>
      <c r="I867" s="112" t="b">
        <v>0</v>
      </c>
      <c r="J867" s="112" t="b">
        <v>0</v>
      </c>
      <c r="K867" s="112" t="b">
        <v>0</v>
      </c>
      <c r="L867" s="112" t="b">
        <v>0</v>
      </c>
    </row>
    <row r="868" spans="1:12" ht="15">
      <c r="A868" s="112" t="s">
        <v>2202</v>
      </c>
      <c r="B868" s="112" t="s">
        <v>2203</v>
      </c>
      <c r="C868" s="112">
        <v>2</v>
      </c>
      <c r="D868" s="114">
        <v>0.00036261359660243913</v>
      </c>
      <c r="E868" s="114">
        <v>2.023956273969119</v>
      </c>
      <c r="F868" s="112" t="s">
        <v>3314</v>
      </c>
      <c r="G868" s="112" t="b">
        <v>0</v>
      </c>
      <c r="H868" s="112" t="b">
        <v>0</v>
      </c>
      <c r="I868" s="112" t="b">
        <v>0</v>
      </c>
      <c r="J868" s="112" t="b">
        <v>0</v>
      </c>
      <c r="K868" s="112" t="b">
        <v>0</v>
      </c>
      <c r="L868" s="112" t="b">
        <v>0</v>
      </c>
    </row>
    <row r="869" spans="1:12" ht="15">
      <c r="A869" s="112" t="s">
        <v>2203</v>
      </c>
      <c r="B869" s="112" t="s">
        <v>2417</v>
      </c>
      <c r="C869" s="112">
        <v>2</v>
      </c>
      <c r="D869" s="114">
        <v>0.00036261359660243913</v>
      </c>
      <c r="E869" s="114">
        <v>2.4518595060185997</v>
      </c>
      <c r="F869" s="112" t="s">
        <v>3314</v>
      </c>
      <c r="G869" s="112" t="b">
        <v>0</v>
      </c>
      <c r="H869" s="112" t="b">
        <v>0</v>
      </c>
      <c r="I869" s="112" t="b">
        <v>0</v>
      </c>
      <c r="J869" s="112" t="b">
        <v>0</v>
      </c>
      <c r="K869" s="112" t="b">
        <v>0</v>
      </c>
      <c r="L869" s="112" t="b">
        <v>0</v>
      </c>
    </row>
    <row r="870" spans="1:12" ht="15">
      <c r="A870" s="112" t="s">
        <v>2246</v>
      </c>
      <c r="B870" s="112" t="s">
        <v>2203</v>
      </c>
      <c r="C870" s="112">
        <v>2</v>
      </c>
      <c r="D870" s="114">
        <v>0.00036261359660243913</v>
      </c>
      <c r="E870" s="114">
        <v>2.158654847866575</v>
      </c>
      <c r="F870" s="112" t="s">
        <v>3314</v>
      </c>
      <c r="G870" s="112" t="b">
        <v>0</v>
      </c>
      <c r="H870" s="112" t="b">
        <v>0</v>
      </c>
      <c r="I870" s="112" t="b">
        <v>0</v>
      </c>
      <c r="J870" s="112" t="b">
        <v>0</v>
      </c>
      <c r="K870" s="112" t="b">
        <v>0</v>
      </c>
      <c r="L870" s="112" t="b">
        <v>0</v>
      </c>
    </row>
    <row r="871" spans="1:12" ht="15">
      <c r="A871" s="112" t="s">
        <v>3026</v>
      </c>
      <c r="B871" s="112" t="s">
        <v>3027</v>
      </c>
      <c r="C871" s="112">
        <v>2</v>
      </c>
      <c r="D871" s="114">
        <v>0.00036261359660243913</v>
      </c>
      <c r="E871" s="114">
        <v>3.774078800752519</v>
      </c>
      <c r="F871" s="112" t="s">
        <v>3314</v>
      </c>
      <c r="G871" s="112" t="b">
        <v>0</v>
      </c>
      <c r="H871" s="112" t="b">
        <v>0</v>
      </c>
      <c r="I871" s="112" t="b">
        <v>0</v>
      </c>
      <c r="J871" s="112" t="b">
        <v>0</v>
      </c>
      <c r="K871" s="112" t="b">
        <v>0</v>
      </c>
      <c r="L871" s="112" t="b">
        <v>0</v>
      </c>
    </row>
    <row r="872" spans="1:12" ht="15">
      <c r="A872" s="112" t="s">
        <v>3027</v>
      </c>
      <c r="B872" s="112" t="s">
        <v>2370</v>
      </c>
      <c r="C872" s="112">
        <v>2</v>
      </c>
      <c r="D872" s="114">
        <v>0.00036261359660243913</v>
      </c>
      <c r="E872" s="114">
        <v>3.230010756402243</v>
      </c>
      <c r="F872" s="112" t="s">
        <v>3314</v>
      </c>
      <c r="G872" s="112" t="b">
        <v>0</v>
      </c>
      <c r="H872" s="112" t="b">
        <v>0</v>
      </c>
      <c r="I872" s="112" t="b">
        <v>0</v>
      </c>
      <c r="J872" s="112" t="b">
        <v>0</v>
      </c>
      <c r="K872" s="112" t="b">
        <v>0</v>
      </c>
      <c r="L872" s="112" t="b">
        <v>0</v>
      </c>
    </row>
    <row r="873" spans="1:12" ht="15">
      <c r="A873" s="112" t="s">
        <v>2153</v>
      </c>
      <c r="B873" s="112" t="s">
        <v>2169</v>
      </c>
      <c r="C873" s="112">
        <v>2</v>
      </c>
      <c r="D873" s="114">
        <v>0.00036261359660243913</v>
      </c>
      <c r="E873" s="114">
        <v>1.7229262783051376</v>
      </c>
      <c r="F873" s="112" t="s">
        <v>3314</v>
      </c>
      <c r="G873" s="112" t="b">
        <v>0</v>
      </c>
      <c r="H873" s="112" t="b">
        <v>0</v>
      </c>
      <c r="I873" s="112" t="b">
        <v>0</v>
      </c>
      <c r="J873" s="112" t="b">
        <v>0</v>
      </c>
      <c r="K873" s="112" t="b">
        <v>0</v>
      </c>
      <c r="L873" s="112" t="b">
        <v>0</v>
      </c>
    </row>
    <row r="874" spans="1:12" ht="15">
      <c r="A874" s="112" t="s">
        <v>2370</v>
      </c>
      <c r="B874" s="112" t="s">
        <v>2203</v>
      </c>
      <c r="C874" s="112">
        <v>2</v>
      </c>
      <c r="D874" s="114">
        <v>0.0004118981407517484</v>
      </c>
      <c r="E874" s="114">
        <v>2.354949493010543</v>
      </c>
      <c r="F874" s="112" t="s">
        <v>3314</v>
      </c>
      <c r="G874" s="112" t="b">
        <v>0</v>
      </c>
      <c r="H874" s="112" t="b">
        <v>0</v>
      </c>
      <c r="I874" s="112" t="b">
        <v>0</v>
      </c>
      <c r="J874" s="112" t="b">
        <v>0</v>
      </c>
      <c r="K874" s="112" t="b">
        <v>0</v>
      </c>
      <c r="L874" s="112" t="b">
        <v>0</v>
      </c>
    </row>
    <row r="875" spans="1:12" ht="15">
      <c r="A875" s="112" t="s">
        <v>2096</v>
      </c>
      <c r="B875" s="112" t="s">
        <v>2475</v>
      </c>
      <c r="C875" s="112">
        <v>2</v>
      </c>
      <c r="D875" s="114">
        <v>0.00036261359660243913</v>
      </c>
      <c r="E875" s="114">
        <v>1.838319697007207</v>
      </c>
      <c r="F875" s="112" t="s">
        <v>3314</v>
      </c>
      <c r="G875" s="112" t="b">
        <v>0</v>
      </c>
      <c r="H875" s="112" t="b">
        <v>0</v>
      </c>
      <c r="I875" s="112" t="b">
        <v>0</v>
      </c>
      <c r="J875" s="112" t="b">
        <v>0</v>
      </c>
      <c r="K875" s="112" t="b">
        <v>0</v>
      </c>
      <c r="L875" s="112" t="b">
        <v>0</v>
      </c>
    </row>
    <row r="876" spans="1:12" ht="15">
      <c r="A876" s="112" t="s">
        <v>2373</v>
      </c>
      <c r="B876" s="112" t="s">
        <v>2089</v>
      </c>
      <c r="C876" s="112">
        <v>2</v>
      </c>
      <c r="D876" s="114">
        <v>0.00036261359660243913</v>
      </c>
      <c r="E876" s="114">
        <v>1.6157163086572692</v>
      </c>
      <c r="F876" s="112" t="s">
        <v>3314</v>
      </c>
      <c r="G876" s="112" t="b">
        <v>0</v>
      </c>
      <c r="H876" s="112" t="b">
        <v>0</v>
      </c>
      <c r="I876" s="112" t="b">
        <v>0</v>
      </c>
      <c r="J876" s="112" t="b">
        <v>0</v>
      </c>
      <c r="K876" s="112" t="b">
        <v>0</v>
      </c>
      <c r="L876" s="112" t="b">
        <v>0</v>
      </c>
    </row>
    <row r="877" spans="1:12" ht="15">
      <c r="A877" s="112" t="s">
        <v>2089</v>
      </c>
      <c r="B877" s="112" t="s">
        <v>2373</v>
      </c>
      <c r="C877" s="112">
        <v>2</v>
      </c>
      <c r="D877" s="114">
        <v>0.00036261359660243913</v>
      </c>
      <c r="E877" s="114">
        <v>1.638946149375744</v>
      </c>
      <c r="F877" s="112" t="s">
        <v>3314</v>
      </c>
      <c r="G877" s="112" t="b">
        <v>0</v>
      </c>
      <c r="H877" s="112" t="b">
        <v>0</v>
      </c>
      <c r="I877" s="112" t="b">
        <v>0</v>
      </c>
      <c r="J877" s="112" t="b">
        <v>0</v>
      </c>
      <c r="K877" s="112" t="b">
        <v>0</v>
      </c>
      <c r="L877" s="112" t="b">
        <v>0</v>
      </c>
    </row>
    <row r="878" spans="1:12" ht="15">
      <c r="A878" s="112" t="s">
        <v>2373</v>
      </c>
      <c r="B878" s="112" t="s">
        <v>2373</v>
      </c>
      <c r="C878" s="112">
        <v>2</v>
      </c>
      <c r="D878" s="114">
        <v>0.00036261359660243913</v>
      </c>
      <c r="E878" s="114">
        <v>2.819836291313194</v>
      </c>
      <c r="F878" s="112" t="s">
        <v>3314</v>
      </c>
      <c r="G878" s="112" t="b">
        <v>0</v>
      </c>
      <c r="H878" s="112" t="b">
        <v>0</v>
      </c>
      <c r="I878" s="112" t="b">
        <v>0</v>
      </c>
      <c r="J878" s="112" t="b">
        <v>0</v>
      </c>
      <c r="K878" s="112" t="b">
        <v>0</v>
      </c>
      <c r="L878" s="112" t="b">
        <v>0</v>
      </c>
    </row>
    <row r="879" spans="1:12" ht="15">
      <c r="A879" s="112" t="s">
        <v>2096</v>
      </c>
      <c r="B879" s="112" t="s">
        <v>2094</v>
      </c>
      <c r="C879" s="112">
        <v>2</v>
      </c>
      <c r="D879" s="114">
        <v>0.00036261359660243913</v>
      </c>
      <c r="E879" s="114">
        <v>0.6921916613289691</v>
      </c>
      <c r="F879" s="112" t="s">
        <v>3314</v>
      </c>
      <c r="G879" s="112" t="b">
        <v>0</v>
      </c>
      <c r="H879" s="112" t="b">
        <v>0</v>
      </c>
      <c r="I879" s="112" t="b">
        <v>0</v>
      </c>
      <c r="J879" s="112" t="b">
        <v>0</v>
      </c>
      <c r="K879" s="112" t="b">
        <v>0</v>
      </c>
      <c r="L879" s="112" t="b">
        <v>0</v>
      </c>
    </row>
    <row r="880" spans="1:12" ht="15">
      <c r="A880" s="112" t="s">
        <v>2084</v>
      </c>
      <c r="B880" s="112" t="s">
        <v>2100</v>
      </c>
      <c r="C880" s="112">
        <v>2</v>
      </c>
      <c r="D880" s="114">
        <v>0.00036261359660243913</v>
      </c>
      <c r="E880" s="114">
        <v>0.564563786209888</v>
      </c>
      <c r="F880" s="112" t="s">
        <v>3314</v>
      </c>
      <c r="G880" s="112" t="b">
        <v>0</v>
      </c>
      <c r="H880" s="112" t="b">
        <v>1</v>
      </c>
      <c r="I880" s="112" t="b">
        <v>0</v>
      </c>
      <c r="J880" s="112" t="b">
        <v>0</v>
      </c>
      <c r="K880" s="112" t="b">
        <v>0</v>
      </c>
      <c r="L880" s="112" t="b">
        <v>0</v>
      </c>
    </row>
    <row r="881" spans="1:12" ht="15">
      <c r="A881" s="112" t="s">
        <v>2089</v>
      </c>
      <c r="B881" s="112" t="s">
        <v>2258</v>
      </c>
      <c r="C881" s="112">
        <v>2</v>
      </c>
      <c r="D881" s="114">
        <v>0.00036261359660243913</v>
      </c>
      <c r="E881" s="114">
        <v>1.4170973997593876</v>
      </c>
      <c r="F881" s="112" t="s">
        <v>3314</v>
      </c>
      <c r="G881" s="112" t="b">
        <v>0</v>
      </c>
      <c r="H881" s="112" t="b">
        <v>0</v>
      </c>
      <c r="I881" s="112" t="b">
        <v>0</v>
      </c>
      <c r="J881" s="112" t="b">
        <v>0</v>
      </c>
      <c r="K881" s="112" t="b">
        <v>0</v>
      </c>
      <c r="L881" s="112" t="b">
        <v>0</v>
      </c>
    </row>
    <row r="882" spans="1:12" ht="15">
      <c r="A882" s="112" t="s">
        <v>2477</v>
      </c>
      <c r="B882" s="112" t="s">
        <v>2185</v>
      </c>
      <c r="C882" s="112">
        <v>2</v>
      </c>
      <c r="D882" s="114">
        <v>0.00036261359660243913</v>
      </c>
      <c r="E882" s="114">
        <v>2.4467198663661884</v>
      </c>
      <c r="F882" s="112" t="s">
        <v>3314</v>
      </c>
      <c r="G882" s="112" t="b">
        <v>0</v>
      </c>
      <c r="H882" s="112" t="b">
        <v>0</v>
      </c>
      <c r="I882" s="112" t="b">
        <v>0</v>
      </c>
      <c r="J882" s="112" t="b">
        <v>0</v>
      </c>
      <c r="K882" s="112" t="b">
        <v>0</v>
      </c>
      <c r="L882" s="112" t="b">
        <v>0</v>
      </c>
    </row>
    <row r="883" spans="1:12" ht="15">
      <c r="A883" s="112" t="s">
        <v>2185</v>
      </c>
      <c r="B883" s="112" t="s">
        <v>2584</v>
      </c>
      <c r="C883" s="112">
        <v>2</v>
      </c>
      <c r="D883" s="114">
        <v>0.00036261359660243913</v>
      </c>
      <c r="E883" s="114">
        <v>2.569958818096594</v>
      </c>
      <c r="F883" s="112" t="s">
        <v>3314</v>
      </c>
      <c r="G883" s="112" t="b">
        <v>0</v>
      </c>
      <c r="H883" s="112" t="b">
        <v>0</v>
      </c>
      <c r="I883" s="112" t="b">
        <v>0</v>
      </c>
      <c r="J883" s="112" t="b">
        <v>0</v>
      </c>
      <c r="K883" s="112" t="b">
        <v>0</v>
      </c>
      <c r="L883" s="112" t="b">
        <v>0</v>
      </c>
    </row>
    <row r="884" spans="1:12" ht="15">
      <c r="A884" s="112" t="s">
        <v>2375</v>
      </c>
      <c r="B884" s="112" t="s">
        <v>2089</v>
      </c>
      <c r="C884" s="112">
        <v>2</v>
      </c>
      <c r="D884" s="114">
        <v>0.00036261359660243913</v>
      </c>
      <c r="E884" s="114">
        <v>1.5487695190266562</v>
      </c>
      <c r="F884" s="112" t="s">
        <v>3314</v>
      </c>
      <c r="G884" s="112" t="b">
        <v>0</v>
      </c>
      <c r="H884" s="112" t="b">
        <v>0</v>
      </c>
      <c r="I884" s="112" t="b">
        <v>0</v>
      </c>
      <c r="J884" s="112" t="b">
        <v>0</v>
      </c>
      <c r="K884" s="112" t="b">
        <v>0</v>
      </c>
      <c r="L884" s="112" t="b">
        <v>0</v>
      </c>
    </row>
    <row r="885" spans="1:12" ht="15">
      <c r="A885" s="112" t="s">
        <v>2142</v>
      </c>
      <c r="B885" s="112" t="s">
        <v>2356</v>
      </c>
      <c r="C885" s="112">
        <v>2</v>
      </c>
      <c r="D885" s="114">
        <v>0.00036261359660243913</v>
      </c>
      <c r="E885" s="114">
        <v>2.0838827207240054</v>
      </c>
      <c r="F885" s="112" t="s">
        <v>3314</v>
      </c>
      <c r="G885" s="112" t="b">
        <v>0</v>
      </c>
      <c r="H885" s="112" t="b">
        <v>0</v>
      </c>
      <c r="I885" s="112" t="b">
        <v>0</v>
      </c>
      <c r="J885" s="112" t="b">
        <v>0</v>
      </c>
      <c r="K885" s="112" t="b">
        <v>0</v>
      </c>
      <c r="L885" s="112" t="b">
        <v>0</v>
      </c>
    </row>
    <row r="886" spans="1:12" ht="15">
      <c r="A886" s="112" t="s">
        <v>2160</v>
      </c>
      <c r="B886" s="112" t="s">
        <v>2080</v>
      </c>
      <c r="C886" s="112">
        <v>2</v>
      </c>
      <c r="D886" s="114">
        <v>0.00036261359660243913</v>
      </c>
      <c r="E886" s="114">
        <v>0.8133702490639623</v>
      </c>
      <c r="F886" s="112" t="s">
        <v>3314</v>
      </c>
      <c r="G886" s="112" t="b">
        <v>0</v>
      </c>
      <c r="H886" s="112" t="b">
        <v>1</v>
      </c>
      <c r="I886" s="112" t="b">
        <v>0</v>
      </c>
      <c r="J886" s="112" t="b">
        <v>0</v>
      </c>
      <c r="K886" s="112" t="b">
        <v>0</v>
      </c>
      <c r="L886" s="112" t="b">
        <v>0</v>
      </c>
    </row>
    <row r="887" spans="1:12" ht="15">
      <c r="A887" s="112" t="s">
        <v>2126</v>
      </c>
      <c r="B887" s="112" t="s">
        <v>2137</v>
      </c>
      <c r="C887" s="112">
        <v>2</v>
      </c>
      <c r="D887" s="114">
        <v>0.00036261359660243913</v>
      </c>
      <c r="E887" s="114">
        <v>1.268928822432613</v>
      </c>
      <c r="F887" s="112" t="s">
        <v>3314</v>
      </c>
      <c r="G887" s="112" t="b">
        <v>0</v>
      </c>
      <c r="H887" s="112" t="b">
        <v>0</v>
      </c>
      <c r="I887" s="112" t="b">
        <v>0</v>
      </c>
      <c r="J887" s="112" t="b">
        <v>0</v>
      </c>
      <c r="K887" s="112" t="b">
        <v>0</v>
      </c>
      <c r="L887" s="112" t="b">
        <v>0</v>
      </c>
    </row>
    <row r="888" spans="1:12" ht="15">
      <c r="A888" s="112" t="s">
        <v>2078</v>
      </c>
      <c r="B888" s="112" t="s">
        <v>2080</v>
      </c>
      <c r="C888" s="112">
        <v>2</v>
      </c>
      <c r="D888" s="114">
        <v>0.00036261359660243913</v>
      </c>
      <c r="E888" s="114">
        <v>-0.3640975388205223</v>
      </c>
      <c r="F888" s="112" t="s">
        <v>3314</v>
      </c>
      <c r="G888" s="112" t="b">
        <v>0</v>
      </c>
      <c r="H888" s="112" t="b">
        <v>0</v>
      </c>
      <c r="I888" s="112" t="b">
        <v>0</v>
      </c>
      <c r="J888" s="112" t="b">
        <v>0</v>
      </c>
      <c r="K888" s="112" t="b">
        <v>0</v>
      </c>
      <c r="L888" s="112" t="b">
        <v>0</v>
      </c>
    </row>
    <row r="889" spans="1:12" ht="15">
      <c r="A889" s="112" t="s">
        <v>2735</v>
      </c>
      <c r="B889" s="112" t="s">
        <v>2736</v>
      </c>
      <c r="C889" s="112">
        <v>2</v>
      </c>
      <c r="D889" s="114">
        <v>0.0004118981407517484</v>
      </c>
      <c r="E889" s="114">
        <v>3.4218962826411565</v>
      </c>
      <c r="F889" s="112" t="s">
        <v>3314</v>
      </c>
      <c r="G889" s="112" t="b">
        <v>0</v>
      </c>
      <c r="H889" s="112" t="b">
        <v>0</v>
      </c>
      <c r="I889" s="112" t="b">
        <v>0</v>
      </c>
      <c r="J889" s="112" t="b">
        <v>0</v>
      </c>
      <c r="K889" s="112" t="b">
        <v>0</v>
      </c>
      <c r="L889" s="112" t="b">
        <v>0</v>
      </c>
    </row>
    <row r="890" spans="1:12" ht="15">
      <c r="A890" s="112" t="s">
        <v>2737</v>
      </c>
      <c r="B890" s="112" t="s">
        <v>2479</v>
      </c>
      <c r="C890" s="112">
        <v>2</v>
      </c>
      <c r="D890" s="114">
        <v>0.00036261359660243913</v>
      </c>
      <c r="E890" s="114">
        <v>3.2000475330248</v>
      </c>
      <c r="F890" s="112" t="s">
        <v>3314</v>
      </c>
      <c r="G890" s="112" t="b">
        <v>0</v>
      </c>
      <c r="H890" s="112" t="b">
        <v>0</v>
      </c>
      <c r="I890" s="112" t="b">
        <v>0</v>
      </c>
      <c r="J890" s="112" t="b">
        <v>0</v>
      </c>
      <c r="K890" s="112" t="b">
        <v>0</v>
      </c>
      <c r="L890" s="112" t="b">
        <v>0</v>
      </c>
    </row>
    <row r="891" spans="1:12" ht="15">
      <c r="A891" s="112" t="s">
        <v>2325</v>
      </c>
      <c r="B891" s="112" t="s">
        <v>3048</v>
      </c>
      <c r="C891" s="112">
        <v>2</v>
      </c>
      <c r="D891" s="114">
        <v>0.00036261359660243913</v>
      </c>
      <c r="E891" s="114">
        <v>3.1720188094245563</v>
      </c>
      <c r="F891" s="112" t="s">
        <v>3314</v>
      </c>
      <c r="G891" s="112" t="b">
        <v>0</v>
      </c>
      <c r="H891" s="112" t="b">
        <v>0</v>
      </c>
      <c r="I891" s="112" t="b">
        <v>0</v>
      </c>
      <c r="J891" s="112" t="b">
        <v>0</v>
      </c>
      <c r="K891" s="112" t="b">
        <v>0</v>
      </c>
      <c r="L891" s="112" t="b">
        <v>0</v>
      </c>
    </row>
    <row r="892" spans="1:12" ht="15">
      <c r="A892" s="112" t="s">
        <v>3048</v>
      </c>
      <c r="B892" s="112" t="s">
        <v>2325</v>
      </c>
      <c r="C892" s="112">
        <v>2</v>
      </c>
      <c r="D892" s="114">
        <v>0.00036261359660243913</v>
      </c>
      <c r="E892" s="114">
        <v>3.1720188094245563</v>
      </c>
      <c r="F892" s="112" t="s">
        <v>3314</v>
      </c>
      <c r="G892" s="112" t="b">
        <v>0</v>
      </c>
      <c r="H892" s="112" t="b">
        <v>0</v>
      </c>
      <c r="I892" s="112" t="b">
        <v>0</v>
      </c>
      <c r="J892" s="112" t="b">
        <v>0</v>
      </c>
      <c r="K892" s="112" t="b">
        <v>0</v>
      </c>
      <c r="L892" s="112" t="b">
        <v>0</v>
      </c>
    </row>
    <row r="893" spans="1:12" ht="15">
      <c r="A893" s="112" t="s">
        <v>2738</v>
      </c>
      <c r="B893" s="112" t="s">
        <v>2325</v>
      </c>
      <c r="C893" s="112">
        <v>2</v>
      </c>
      <c r="D893" s="114">
        <v>0.00036261359660243913</v>
      </c>
      <c r="E893" s="114">
        <v>2.9959275503688754</v>
      </c>
      <c r="F893" s="112" t="s">
        <v>3314</v>
      </c>
      <c r="G893" s="112" t="b">
        <v>0</v>
      </c>
      <c r="H893" s="112" t="b">
        <v>0</v>
      </c>
      <c r="I893" s="112" t="b">
        <v>0</v>
      </c>
      <c r="J893" s="112" t="b">
        <v>0</v>
      </c>
      <c r="K893" s="112" t="b">
        <v>0</v>
      </c>
      <c r="L893" s="112" t="b">
        <v>0</v>
      </c>
    </row>
    <row r="894" spans="1:12" ht="15">
      <c r="A894" s="112" t="s">
        <v>2325</v>
      </c>
      <c r="B894" s="112" t="s">
        <v>3049</v>
      </c>
      <c r="C894" s="112">
        <v>2</v>
      </c>
      <c r="D894" s="114">
        <v>0.00036261359660243913</v>
      </c>
      <c r="E894" s="114">
        <v>3.1720188094245563</v>
      </c>
      <c r="F894" s="112" t="s">
        <v>3314</v>
      </c>
      <c r="G894" s="112" t="b">
        <v>0</v>
      </c>
      <c r="H894" s="112" t="b">
        <v>0</v>
      </c>
      <c r="I894" s="112" t="b">
        <v>0</v>
      </c>
      <c r="J894" s="112" t="b">
        <v>0</v>
      </c>
      <c r="K894" s="112" t="b">
        <v>0</v>
      </c>
      <c r="L894" s="112" t="b">
        <v>0</v>
      </c>
    </row>
    <row r="895" spans="1:12" ht="15">
      <c r="A895" s="112" t="s">
        <v>3051</v>
      </c>
      <c r="B895" s="112" t="s">
        <v>3052</v>
      </c>
      <c r="C895" s="112">
        <v>2</v>
      </c>
      <c r="D895" s="114">
        <v>0.00036261359660243913</v>
      </c>
      <c r="E895" s="114">
        <v>3.774078800752519</v>
      </c>
      <c r="F895" s="112" t="s">
        <v>3314</v>
      </c>
      <c r="G895" s="112" t="b">
        <v>0</v>
      </c>
      <c r="H895" s="112" t="b">
        <v>0</v>
      </c>
      <c r="I895" s="112" t="b">
        <v>0</v>
      </c>
      <c r="J895" s="112" t="b">
        <v>0</v>
      </c>
      <c r="K895" s="112" t="b">
        <v>0</v>
      </c>
      <c r="L895" s="112" t="b">
        <v>0</v>
      </c>
    </row>
    <row r="896" spans="1:12" ht="15">
      <c r="A896" s="112" t="s">
        <v>3053</v>
      </c>
      <c r="B896" s="112" t="s">
        <v>3054</v>
      </c>
      <c r="C896" s="112">
        <v>2</v>
      </c>
      <c r="D896" s="114">
        <v>0.00036261359660243913</v>
      </c>
      <c r="E896" s="114">
        <v>3.774078800752519</v>
      </c>
      <c r="F896" s="112" t="s">
        <v>3314</v>
      </c>
      <c r="G896" s="112" t="b">
        <v>0</v>
      </c>
      <c r="H896" s="112" t="b">
        <v>0</v>
      </c>
      <c r="I896" s="112" t="b">
        <v>0</v>
      </c>
      <c r="J896" s="112" t="b">
        <v>0</v>
      </c>
      <c r="K896" s="112" t="b">
        <v>0</v>
      </c>
      <c r="L896" s="112" t="b">
        <v>0</v>
      </c>
    </row>
    <row r="897" spans="1:12" ht="15">
      <c r="A897" s="112" t="s">
        <v>3055</v>
      </c>
      <c r="B897" s="112" t="s">
        <v>3056</v>
      </c>
      <c r="C897" s="112">
        <v>2</v>
      </c>
      <c r="D897" s="114">
        <v>0.00036261359660243913</v>
      </c>
      <c r="E897" s="114">
        <v>3.774078800752519</v>
      </c>
      <c r="F897" s="112" t="s">
        <v>3314</v>
      </c>
      <c r="G897" s="112" t="b">
        <v>0</v>
      </c>
      <c r="H897" s="112" t="b">
        <v>0</v>
      </c>
      <c r="I897" s="112" t="b">
        <v>0</v>
      </c>
      <c r="J897" s="112" t="b">
        <v>0</v>
      </c>
      <c r="K897" s="112" t="b">
        <v>0</v>
      </c>
      <c r="L897" s="112" t="b">
        <v>0</v>
      </c>
    </row>
    <row r="898" spans="1:12" ht="15">
      <c r="A898" s="112" t="s">
        <v>3056</v>
      </c>
      <c r="B898" s="112" t="s">
        <v>3057</v>
      </c>
      <c r="C898" s="112">
        <v>2</v>
      </c>
      <c r="D898" s="114">
        <v>0.00036261359660243913</v>
      </c>
      <c r="E898" s="114">
        <v>3.774078800752519</v>
      </c>
      <c r="F898" s="112" t="s">
        <v>3314</v>
      </c>
      <c r="G898" s="112" t="b">
        <v>0</v>
      </c>
      <c r="H898" s="112" t="b">
        <v>0</v>
      </c>
      <c r="I898" s="112" t="b">
        <v>0</v>
      </c>
      <c r="J898" s="112" t="b">
        <v>0</v>
      </c>
      <c r="K898" s="112" t="b">
        <v>0</v>
      </c>
      <c r="L898" s="112" t="b">
        <v>0</v>
      </c>
    </row>
    <row r="899" spans="1:12" ht="15">
      <c r="A899" s="112" t="s">
        <v>3057</v>
      </c>
      <c r="B899" s="112" t="s">
        <v>2739</v>
      </c>
      <c r="C899" s="112">
        <v>2</v>
      </c>
      <c r="D899" s="114">
        <v>0.00036261359660243913</v>
      </c>
      <c r="E899" s="114">
        <v>3.5979875416968374</v>
      </c>
      <c r="F899" s="112" t="s">
        <v>3314</v>
      </c>
      <c r="G899" s="112" t="b">
        <v>0</v>
      </c>
      <c r="H899" s="112" t="b">
        <v>0</v>
      </c>
      <c r="I899" s="112" t="b">
        <v>0</v>
      </c>
      <c r="J899" s="112" t="b">
        <v>0</v>
      </c>
      <c r="K899" s="112" t="b">
        <v>0</v>
      </c>
      <c r="L899" s="112" t="b">
        <v>0</v>
      </c>
    </row>
    <row r="900" spans="1:12" ht="15">
      <c r="A900" s="112" t="s">
        <v>2740</v>
      </c>
      <c r="B900" s="112" t="s">
        <v>2741</v>
      </c>
      <c r="C900" s="112">
        <v>2</v>
      </c>
      <c r="D900" s="114">
        <v>0.0004118981407517484</v>
      </c>
      <c r="E900" s="114">
        <v>3.4218962826411565</v>
      </c>
      <c r="F900" s="112" t="s">
        <v>3314</v>
      </c>
      <c r="G900" s="112" t="b">
        <v>0</v>
      </c>
      <c r="H900" s="112" t="b">
        <v>0</v>
      </c>
      <c r="I900" s="112" t="b">
        <v>0</v>
      </c>
      <c r="J900" s="112" t="b">
        <v>0</v>
      </c>
      <c r="K900" s="112" t="b">
        <v>0</v>
      </c>
      <c r="L900" s="112" t="b">
        <v>0</v>
      </c>
    </row>
    <row r="901" spans="1:12" ht="15">
      <c r="A901" s="112" t="s">
        <v>2139</v>
      </c>
      <c r="B901" s="112" t="s">
        <v>2096</v>
      </c>
      <c r="C901" s="112">
        <v>2</v>
      </c>
      <c r="D901" s="114">
        <v>0.00036261359660243913</v>
      </c>
      <c r="E901" s="114">
        <v>1.0861041807179632</v>
      </c>
      <c r="F901" s="112" t="s">
        <v>3314</v>
      </c>
      <c r="G901" s="112" t="b">
        <v>0</v>
      </c>
      <c r="H901" s="112" t="b">
        <v>0</v>
      </c>
      <c r="I901" s="112" t="b">
        <v>0</v>
      </c>
      <c r="J901" s="112" t="b">
        <v>0</v>
      </c>
      <c r="K901" s="112" t="b">
        <v>0</v>
      </c>
      <c r="L901" s="112" t="b">
        <v>0</v>
      </c>
    </row>
    <row r="902" spans="1:12" ht="15">
      <c r="A902" s="112" t="s">
        <v>2163</v>
      </c>
      <c r="B902" s="112" t="s">
        <v>2301</v>
      </c>
      <c r="C902" s="112">
        <v>2</v>
      </c>
      <c r="D902" s="114">
        <v>0.00036261359660243913</v>
      </c>
      <c r="E902" s="114">
        <v>2.1431426816883272</v>
      </c>
      <c r="F902" s="112" t="s">
        <v>3314</v>
      </c>
      <c r="G902" s="112" t="b">
        <v>0</v>
      </c>
      <c r="H902" s="112" t="b">
        <v>1</v>
      </c>
      <c r="I902" s="112" t="b">
        <v>0</v>
      </c>
      <c r="J902" s="112" t="b">
        <v>0</v>
      </c>
      <c r="K902" s="112" t="b">
        <v>0</v>
      </c>
      <c r="L902" s="112" t="b">
        <v>0</v>
      </c>
    </row>
    <row r="903" spans="1:12" ht="15">
      <c r="A903" s="112" t="s">
        <v>3058</v>
      </c>
      <c r="B903" s="112" t="s">
        <v>3059</v>
      </c>
      <c r="C903" s="112">
        <v>2</v>
      </c>
      <c r="D903" s="114">
        <v>0.0004118981407517484</v>
      </c>
      <c r="E903" s="114">
        <v>3.774078800752519</v>
      </c>
      <c r="F903" s="112" t="s">
        <v>3314</v>
      </c>
      <c r="G903" s="112" t="b">
        <v>0</v>
      </c>
      <c r="H903" s="112" t="b">
        <v>0</v>
      </c>
      <c r="I903" s="112" t="b">
        <v>0</v>
      </c>
      <c r="J903" s="112" t="b">
        <v>0</v>
      </c>
      <c r="K903" s="112" t="b">
        <v>0</v>
      </c>
      <c r="L903" s="112" t="b">
        <v>0</v>
      </c>
    </row>
    <row r="904" spans="1:12" ht="15">
      <c r="A904" s="112" t="s">
        <v>3059</v>
      </c>
      <c r="B904" s="112" t="s">
        <v>2588</v>
      </c>
      <c r="C904" s="112">
        <v>2</v>
      </c>
      <c r="D904" s="114">
        <v>0.0004118981407517484</v>
      </c>
      <c r="E904" s="114">
        <v>3.4730488050885375</v>
      </c>
      <c r="F904" s="112" t="s">
        <v>3314</v>
      </c>
      <c r="G904" s="112" t="b">
        <v>0</v>
      </c>
      <c r="H904" s="112" t="b">
        <v>0</v>
      </c>
      <c r="I904" s="112" t="b">
        <v>0</v>
      </c>
      <c r="J904" s="112" t="b">
        <v>0</v>
      </c>
      <c r="K904" s="112" t="b">
        <v>0</v>
      </c>
      <c r="L904" s="112" t="b">
        <v>0</v>
      </c>
    </row>
    <row r="905" spans="1:12" ht="15">
      <c r="A905" s="112" t="s">
        <v>2117</v>
      </c>
      <c r="B905" s="112" t="s">
        <v>2247</v>
      </c>
      <c r="C905" s="112">
        <v>2</v>
      </c>
      <c r="D905" s="114">
        <v>0.00036261359660243913</v>
      </c>
      <c r="E905" s="114">
        <v>1.7633549353607458</v>
      </c>
      <c r="F905" s="112" t="s">
        <v>3314</v>
      </c>
      <c r="G905" s="112" t="b">
        <v>0</v>
      </c>
      <c r="H905" s="112" t="b">
        <v>0</v>
      </c>
      <c r="I905" s="112" t="b">
        <v>0</v>
      </c>
      <c r="J905" s="112" t="b">
        <v>0</v>
      </c>
      <c r="K905" s="112" t="b">
        <v>0</v>
      </c>
      <c r="L905" s="112" t="b">
        <v>0</v>
      </c>
    </row>
    <row r="906" spans="1:12" ht="15">
      <c r="A906" s="112" t="s">
        <v>2086</v>
      </c>
      <c r="B906" s="112" t="s">
        <v>2182</v>
      </c>
      <c r="C906" s="112">
        <v>2</v>
      </c>
      <c r="D906" s="114">
        <v>0.00036261359660243913</v>
      </c>
      <c r="E906" s="114">
        <v>1.1122661152152578</v>
      </c>
      <c r="F906" s="112" t="s">
        <v>3314</v>
      </c>
      <c r="G906" s="112" t="b">
        <v>0</v>
      </c>
      <c r="H906" s="112" t="b">
        <v>0</v>
      </c>
      <c r="I906" s="112" t="b">
        <v>0</v>
      </c>
      <c r="J906" s="112" t="b">
        <v>0</v>
      </c>
      <c r="K906" s="112" t="b">
        <v>0</v>
      </c>
      <c r="L906" s="112" t="b">
        <v>0</v>
      </c>
    </row>
    <row r="907" spans="1:12" ht="15">
      <c r="A907" s="112" t="s">
        <v>2182</v>
      </c>
      <c r="B907" s="112" t="s">
        <v>2464</v>
      </c>
      <c r="C907" s="112">
        <v>2</v>
      </c>
      <c r="D907" s="114">
        <v>0.00036261359660243913</v>
      </c>
      <c r="E907" s="114">
        <v>2.4730488050885375</v>
      </c>
      <c r="F907" s="112" t="s">
        <v>3314</v>
      </c>
      <c r="G907" s="112" t="b">
        <v>0</v>
      </c>
      <c r="H907" s="112" t="b">
        <v>0</v>
      </c>
      <c r="I907" s="112" t="b">
        <v>0</v>
      </c>
      <c r="J907" s="112" t="b">
        <v>0</v>
      </c>
      <c r="K907" s="112" t="b">
        <v>1</v>
      </c>
      <c r="L907" s="112" t="b">
        <v>0</v>
      </c>
    </row>
    <row r="908" spans="1:12" ht="15">
      <c r="A908" s="112" t="s">
        <v>2464</v>
      </c>
      <c r="B908" s="112" t="s">
        <v>2743</v>
      </c>
      <c r="C908" s="112">
        <v>2</v>
      </c>
      <c r="D908" s="114">
        <v>0.00036261359660243913</v>
      </c>
      <c r="E908" s="114">
        <v>3.2000475330248</v>
      </c>
      <c r="F908" s="112" t="s">
        <v>3314</v>
      </c>
      <c r="G908" s="112" t="b">
        <v>0</v>
      </c>
      <c r="H908" s="112" t="b">
        <v>1</v>
      </c>
      <c r="I908" s="112" t="b">
        <v>0</v>
      </c>
      <c r="J908" s="112" t="b">
        <v>0</v>
      </c>
      <c r="K908" s="112" t="b">
        <v>0</v>
      </c>
      <c r="L908" s="112" t="b">
        <v>0</v>
      </c>
    </row>
    <row r="909" spans="1:12" ht="15">
      <c r="A909" s="112" t="s">
        <v>2743</v>
      </c>
      <c r="B909" s="112" t="s">
        <v>2137</v>
      </c>
      <c r="C909" s="112">
        <v>2</v>
      </c>
      <c r="D909" s="114">
        <v>0.00036261359660243913</v>
      </c>
      <c r="E909" s="114">
        <v>2.393867559040913</v>
      </c>
      <c r="F909" s="112" t="s">
        <v>3314</v>
      </c>
      <c r="G909" s="112" t="b">
        <v>0</v>
      </c>
      <c r="H909" s="112" t="b">
        <v>0</v>
      </c>
      <c r="I909" s="112" t="b">
        <v>0</v>
      </c>
      <c r="J909" s="112" t="b">
        <v>0</v>
      </c>
      <c r="K909" s="112" t="b">
        <v>0</v>
      </c>
      <c r="L909" s="112" t="b">
        <v>0</v>
      </c>
    </row>
    <row r="910" spans="1:12" ht="15">
      <c r="A910" s="112" t="s">
        <v>2137</v>
      </c>
      <c r="B910" s="112" t="s">
        <v>2137</v>
      </c>
      <c r="C910" s="112">
        <v>2</v>
      </c>
      <c r="D910" s="114">
        <v>0.00036261359660243913</v>
      </c>
      <c r="E910" s="114">
        <v>1.3658388354406694</v>
      </c>
      <c r="F910" s="112" t="s">
        <v>3314</v>
      </c>
      <c r="G910" s="112" t="b">
        <v>0</v>
      </c>
      <c r="H910" s="112" t="b">
        <v>0</v>
      </c>
      <c r="I910" s="112" t="b">
        <v>0</v>
      </c>
      <c r="J910" s="112" t="b">
        <v>0</v>
      </c>
      <c r="K910" s="112" t="b">
        <v>0</v>
      </c>
      <c r="L910" s="112" t="b">
        <v>0</v>
      </c>
    </row>
    <row r="911" spans="1:12" ht="15">
      <c r="A911" s="112" t="s">
        <v>2137</v>
      </c>
      <c r="B911" s="112" t="s">
        <v>2143</v>
      </c>
      <c r="C911" s="112">
        <v>2</v>
      </c>
      <c r="D911" s="114">
        <v>0.00036261359660243913</v>
      </c>
      <c r="E911" s="114">
        <v>1.423830782418356</v>
      </c>
      <c r="F911" s="112" t="s">
        <v>3314</v>
      </c>
      <c r="G911" s="112" t="b">
        <v>0</v>
      </c>
      <c r="H911" s="112" t="b">
        <v>0</v>
      </c>
      <c r="I911" s="112" t="b">
        <v>0</v>
      </c>
      <c r="J911" s="112" t="b">
        <v>0</v>
      </c>
      <c r="K911" s="112" t="b">
        <v>0</v>
      </c>
      <c r="L911" s="112" t="b">
        <v>0</v>
      </c>
    </row>
    <row r="912" spans="1:12" ht="15">
      <c r="A912" s="112" t="s">
        <v>2087</v>
      </c>
      <c r="B912" s="112" t="s">
        <v>2729</v>
      </c>
      <c r="C912" s="112">
        <v>2</v>
      </c>
      <c r="D912" s="114">
        <v>0.00036261359660243913</v>
      </c>
      <c r="E912" s="114">
        <v>1.8655937818738693</v>
      </c>
      <c r="F912" s="112" t="s">
        <v>3314</v>
      </c>
      <c r="G912" s="112" t="b">
        <v>0</v>
      </c>
      <c r="H912" s="112" t="b">
        <v>0</v>
      </c>
      <c r="I912" s="112" t="b">
        <v>0</v>
      </c>
      <c r="J912" s="112" t="b">
        <v>0</v>
      </c>
      <c r="K912" s="112" t="b">
        <v>0</v>
      </c>
      <c r="L912" s="112" t="b">
        <v>0</v>
      </c>
    </row>
    <row r="913" spans="1:12" ht="15">
      <c r="A913" s="112" t="s">
        <v>2729</v>
      </c>
      <c r="B913" s="112" t="s">
        <v>2558</v>
      </c>
      <c r="C913" s="112">
        <v>2</v>
      </c>
      <c r="D913" s="114">
        <v>0.00036261359660243913</v>
      </c>
      <c r="E913" s="114">
        <v>3.2969575460328566</v>
      </c>
      <c r="F913" s="112" t="s">
        <v>3314</v>
      </c>
      <c r="G913" s="112" t="b">
        <v>0</v>
      </c>
      <c r="H913" s="112" t="b">
        <v>0</v>
      </c>
      <c r="I913" s="112" t="b">
        <v>0</v>
      </c>
      <c r="J913" s="112" t="b">
        <v>0</v>
      </c>
      <c r="K913" s="112" t="b">
        <v>0</v>
      </c>
      <c r="L913" s="112" t="b">
        <v>0</v>
      </c>
    </row>
    <row r="914" spans="1:12" ht="15">
      <c r="A914" s="112" t="s">
        <v>2558</v>
      </c>
      <c r="B914" s="112" t="s">
        <v>2455</v>
      </c>
      <c r="C914" s="112">
        <v>2</v>
      </c>
      <c r="D914" s="114">
        <v>0.00036261359660243913</v>
      </c>
      <c r="E914" s="114">
        <v>3.2000475330248</v>
      </c>
      <c r="F914" s="112" t="s">
        <v>3314</v>
      </c>
      <c r="G914" s="112" t="b">
        <v>0</v>
      </c>
      <c r="H914" s="112" t="b">
        <v>0</v>
      </c>
      <c r="I914" s="112" t="b">
        <v>0</v>
      </c>
      <c r="J914" s="112" t="b">
        <v>0</v>
      </c>
      <c r="K914" s="112" t="b">
        <v>0</v>
      </c>
      <c r="L914" s="112" t="b">
        <v>0</v>
      </c>
    </row>
    <row r="915" spans="1:12" ht="15">
      <c r="A915" s="112" t="s">
        <v>2455</v>
      </c>
      <c r="B915" s="112" t="s">
        <v>3060</v>
      </c>
      <c r="C915" s="112">
        <v>2</v>
      </c>
      <c r="D915" s="114">
        <v>0.00036261359660243913</v>
      </c>
      <c r="E915" s="114">
        <v>3.4730488050885375</v>
      </c>
      <c r="F915" s="112" t="s">
        <v>3314</v>
      </c>
      <c r="G915" s="112" t="b">
        <v>0</v>
      </c>
      <c r="H915" s="112" t="b">
        <v>0</v>
      </c>
      <c r="I915" s="112" t="b">
        <v>0</v>
      </c>
      <c r="J915" s="112" t="b">
        <v>0</v>
      </c>
      <c r="K915" s="112" t="b">
        <v>0</v>
      </c>
      <c r="L915" s="112" t="b">
        <v>0</v>
      </c>
    </row>
    <row r="916" spans="1:12" ht="15">
      <c r="A916" s="112" t="s">
        <v>3060</v>
      </c>
      <c r="B916" s="112" t="s">
        <v>2247</v>
      </c>
      <c r="C916" s="112">
        <v>2</v>
      </c>
      <c r="D916" s="114">
        <v>0.00036261359660243913</v>
      </c>
      <c r="E916" s="114">
        <v>3.0751087964165</v>
      </c>
      <c r="F916" s="112" t="s">
        <v>3314</v>
      </c>
      <c r="G916" s="112" t="b">
        <v>0</v>
      </c>
      <c r="H916" s="112" t="b">
        <v>0</v>
      </c>
      <c r="I916" s="112" t="b">
        <v>0</v>
      </c>
      <c r="J916" s="112" t="b">
        <v>0</v>
      </c>
      <c r="K916" s="112" t="b">
        <v>0</v>
      </c>
      <c r="L916" s="112" t="b">
        <v>0</v>
      </c>
    </row>
    <row r="917" spans="1:12" ht="15">
      <c r="A917" s="112" t="s">
        <v>2293</v>
      </c>
      <c r="B917" s="112" t="s">
        <v>2744</v>
      </c>
      <c r="C917" s="112">
        <v>2</v>
      </c>
      <c r="D917" s="114">
        <v>0.00036261359660243913</v>
      </c>
      <c r="E917" s="114">
        <v>2.944775027921494</v>
      </c>
      <c r="F917" s="112" t="s">
        <v>3314</v>
      </c>
      <c r="G917" s="112" t="b">
        <v>0</v>
      </c>
      <c r="H917" s="112" t="b">
        <v>0</v>
      </c>
      <c r="I917" s="112" t="b">
        <v>0</v>
      </c>
      <c r="J917" s="112" t="b">
        <v>0</v>
      </c>
      <c r="K917" s="112" t="b">
        <v>0</v>
      </c>
      <c r="L917" s="112" t="b">
        <v>0</v>
      </c>
    </row>
    <row r="918" spans="1:12" ht="15">
      <c r="A918" s="112" t="s">
        <v>2744</v>
      </c>
      <c r="B918" s="112" t="s">
        <v>2419</v>
      </c>
      <c r="C918" s="112">
        <v>2</v>
      </c>
      <c r="D918" s="114">
        <v>0.00036261359660243913</v>
      </c>
      <c r="E918" s="114">
        <v>3.1208662869771753</v>
      </c>
      <c r="F918" s="112" t="s">
        <v>3314</v>
      </c>
      <c r="G918" s="112" t="b">
        <v>0</v>
      </c>
      <c r="H918" s="112" t="b">
        <v>0</v>
      </c>
      <c r="I918" s="112" t="b">
        <v>0</v>
      </c>
      <c r="J918" s="112" t="b">
        <v>0</v>
      </c>
      <c r="K918" s="112" t="b">
        <v>0</v>
      </c>
      <c r="L918" s="112" t="b">
        <v>0</v>
      </c>
    </row>
    <row r="919" spans="1:12" ht="15">
      <c r="A919" s="112" t="s">
        <v>2096</v>
      </c>
      <c r="B919" s="112" t="s">
        <v>2159</v>
      </c>
      <c r="C919" s="112">
        <v>2</v>
      </c>
      <c r="D919" s="114">
        <v>0.00036261359660243913</v>
      </c>
      <c r="E919" s="114">
        <v>1.2150704066093068</v>
      </c>
      <c r="F919" s="112" t="s">
        <v>3314</v>
      </c>
      <c r="G919" s="112" t="b">
        <v>0</v>
      </c>
      <c r="H919" s="112" t="b">
        <v>0</v>
      </c>
      <c r="I919" s="112" t="b">
        <v>0</v>
      </c>
      <c r="J919" s="112" t="b">
        <v>0</v>
      </c>
      <c r="K919" s="112" t="b">
        <v>0</v>
      </c>
      <c r="L919" s="112" t="b">
        <v>0</v>
      </c>
    </row>
    <row r="920" spans="1:12" ht="15">
      <c r="A920" s="112" t="s">
        <v>2159</v>
      </c>
      <c r="B920" s="112" t="s">
        <v>2094</v>
      </c>
      <c r="C920" s="112">
        <v>2</v>
      </c>
      <c r="D920" s="114">
        <v>0.00036261359660243913</v>
      </c>
      <c r="E920" s="114">
        <v>1.2300107564022433</v>
      </c>
      <c r="F920" s="112" t="s">
        <v>3314</v>
      </c>
      <c r="G920" s="112" t="b">
        <v>0</v>
      </c>
      <c r="H920" s="112" t="b">
        <v>0</v>
      </c>
      <c r="I920" s="112" t="b">
        <v>0</v>
      </c>
      <c r="J920" s="112" t="b">
        <v>0</v>
      </c>
      <c r="K920" s="112" t="b">
        <v>0</v>
      </c>
      <c r="L920" s="112" t="b">
        <v>0</v>
      </c>
    </row>
    <row r="921" spans="1:12" ht="15">
      <c r="A921" s="112" t="s">
        <v>2090</v>
      </c>
      <c r="B921" s="112" t="s">
        <v>2272</v>
      </c>
      <c r="C921" s="112">
        <v>2</v>
      </c>
      <c r="D921" s="114">
        <v>0.00036261359660243913</v>
      </c>
      <c r="E921" s="114">
        <v>1.4467198663661887</v>
      </c>
      <c r="F921" s="112" t="s">
        <v>3314</v>
      </c>
      <c r="G921" s="112" t="b">
        <v>0</v>
      </c>
      <c r="H921" s="112" t="b">
        <v>0</v>
      </c>
      <c r="I921" s="112" t="b">
        <v>0</v>
      </c>
      <c r="J921" s="112" t="b">
        <v>0</v>
      </c>
      <c r="K921" s="112" t="b">
        <v>0</v>
      </c>
      <c r="L921" s="112" t="b">
        <v>0</v>
      </c>
    </row>
    <row r="922" spans="1:12" ht="15">
      <c r="A922" s="112" t="s">
        <v>2289</v>
      </c>
      <c r="B922" s="112" t="s">
        <v>2086</v>
      </c>
      <c r="C922" s="112">
        <v>2</v>
      </c>
      <c r="D922" s="114">
        <v>0.00036261359660243913</v>
      </c>
      <c r="E922" s="114">
        <v>1.4356223071479142</v>
      </c>
      <c r="F922" s="112" t="s">
        <v>3314</v>
      </c>
      <c r="G922" s="112" t="b">
        <v>0</v>
      </c>
      <c r="H922" s="112" t="b">
        <v>0</v>
      </c>
      <c r="I922" s="112" t="b">
        <v>0</v>
      </c>
      <c r="J922" s="112" t="b">
        <v>0</v>
      </c>
      <c r="K922" s="112" t="b">
        <v>0</v>
      </c>
      <c r="L922" s="112" t="b">
        <v>0</v>
      </c>
    </row>
    <row r="923" spans="1:12" ht="15">
      <c r="A923" s="112" t="s">
        <v>2082</v>
      </c>
      <c r="B923" s="112" t="s">
        <v>2731</v>
      </c>
      <c r="C923" s="112">
        <v>2</v>
      </c>
      <c r="D923" s="114">
        <v>0.00036261359660243913</v>
      </c>
      <c r="E923" s="114">
        <v>1.7719127389960112</v>
      </c>
      <c r="F923" s="112" t="s">
        <v>3314</v>
      </c>
      <c r="G923" s="112" t="b">
        <v>0</v>
      </c>
      <c r="H923" s="112" t="b">
        <v>0</v>
      </c>
      <c r="I923" s="112" t="b">
        <v>0</v>
      </c>
      <c r="J923" s="112" t="b">
        <v>0</v>
      </c>
      <c r="K923" s="112" t="b">
        <v>0</v>
      </c>
      <c r="L923" s="112" t="b">
        <v>0</v>
      </c>
    </row>
    <row r="924" spans="1:12" ht="15">
      <c r="A924" s="112" t="s">
        <v>2731</v>
      </c>
      <c r="B924" s="112" t="s">
        <v>2086</v>
      </c>
      <c r="C924" s="112">
        <v>2</v>
      </c>
      <c r="D924" s="114">
        <v>0.00036261359660243913</v>
      </c>
      <c r="E924" s="114">
        <v>1.8615910394201953</v>
      </c>
      <c r="F924" s="112" t="s">
        <v>3314</v>
      </c>
      <c r="G924" s="112" t="b">
        <v>0</v>
      </c>
      <c r="H924" s="112" t="b">
        <v>0</v>
      </c>
      <c r="I924" s="112" t="b">
        <v>0</v>
      </c>
      <c r="J924" s="112" t="b">
        <v>0</v>
      </c>
      <c r="K924" s="112" t="b">
        <v>0</v>
      </c>
      <c r="L924" s="112" t="b">
        <v>0</v>
      </c>
    </row>
    <row r="925" spans="1:12" ht="15">
      <c r="A925" s="112" t="s">
        <v>2083</v>
      </c>
      <c r="B925" s="112" t="s">
        <v>2356</v>
      </c>
      <c r="C925" s="112">
        <v>2</v>
      </c>
      <c r="D925" s="114">
        <v>0.0004118981407517484</v>
      </c>
      <c r="E925" s="114">
        <v>1.4272370311102676</v>
      </c>
      <c r="F925" s="112" t="s">
        <v>3314</v>
      </c>
      <c r="G925" s="112" t="b">
        <v>0</v>
      </c>
      <c r="H925" s="112" t="b">
        <v>0</v>
      </c>
      <c r="I925" s="112" t="b">
        <v>0</v>
      </c>
      <c r="J925" s="112" t="b">
        <v>0</v>
      </c>
      <c r="K925" s="112" t="b">
        <v>0</v>
      </c>
      <c r="L925" s="112" t="b">
        <v>0</v>
      </c>
    </row>
    <row r="926" spans="1:12" ht="15">
      <c r="A926" s="112" t="s">
        <v>2089</v>
      </c>
      <c r="B926" s="112" t="s">
        <v>2374</v>
      </c>
      <c r="C926" s="112">
        <v>2</v>
      </c>
      <c r="D926" s="114">
        <v>0.00036261359660243913</v>
      </c>
      <c r="E926" s="114">
        <v>1.5719993597451307</v>
      </c>
      <c r="F926" s="112" t="s">
        <v>3314</v>
      </c>
      <c r="G926" s="112" t="b">
        <v>0</v>
      </c>
      <c r="H926" s="112" t="b">
        <v>0</v>
      </c>
      <c r="I926" s="112" t="b">
        <v>0</v>
      </c>
      <c r="J926" s="112" t="b">
        <v>0</v>
      </c>
      <c r="K926" s="112" t="b">
        <v>0</v>
      </c>
      <c r="L926" s="112" t="b">
        <v>0</v>
      </c>
    </row>
    <row r="927" spans="1:12" ht="15">
      <c r="A927" s="112" t="s">
        <v>2422</v>
      </c>
      <c r="B927" s="112" t="s">
        <v>3065</v>
      </c>
      <c r="C927" s="112">
        <v>2</v>
      </c>
      <c r="D927" s="114">
        <v>0.00036261359660243913</v>
      </c>
      <c r="E927" s="114">
        <v>3.2969575460328566</v>
      </c>
      <c r="F927" s="112" t="s">
        <v>3314</v>
      </c>
      <c r="G927" s="112" t="b">
        <v>0</v>
      </c>
      <c r="H927" s="112" t="b">
        <v>0</v>
      </c>
      <c r="I927" s="112" t="b">
        <v>0</v>
      </c>
      <c r="J927" s="112" t="b">
        <v>0</v>
      </c>
      <c r="K927" s="112" t="b">
        <v>0</v>
      </c>
      <c r="L927" s="112" t="b">
        <v>0</v>
      </c>
    </row>
    <row r="928" spans="1:12" ht="15">
      <c r="A928" s="112" t="s">
        <v>3065</v>
      </c>
      <c r="B928" s="112" t="s">
        <v>2089</v>
      </c>
      <c r="C928" s="112">
        <v>2</v>
      </c>
      <c r="D928" s="114">
        <v>0.00036261359660243913</v>
      </c>
      <c r="E928" s="114">
        <v>2.0928375633769316</v>
      </c>
      <c r="F928" s="112" t="s">
        <v>3314</v>
      </c>
      <c r="G928" s="112" t="b">
        <v>0</v>
      </c>
      <c r="H928" s="112" t="b">
        <v>0</v>
      </c>
      <c r="I928" s="112" t="b">
        <v>0</v>
      </c>
      <c r="J928" s="112" t="b">
        <v>0</v>
      </c>
      <c r="K928" s="112" t="b">
        <v>0</v>
      </c>
      <c r="L928" s="112" t="b">
        <v>0</v>
      </c>
    </row>
    <row r="929" spans="1:12" ht="15">
      <c r="A929" s="112" t="s">
        <v>2089</v>
      </c>
      <c r="B929" s="112" t="s">
        <v>2422</v>
      </c>
      <c r="C929" s="112">
        <v>2</v>
      </c>
      <c r="D929" s="114">
        <v>0.00036261359660243913</v>
      </c>
      <c r="E929" s="114">
        <v>1.8150374084314251</v>
      </c>
      <c r="F929" s="112" t="s">
        <v>3314</v>
      </c>
      <c r="G929" s="112" t="b">
        <v>0</v>
      </c>
      <c r="H929" s="112" t="b">
        <v>0</v>
      </c>
      <c r="I929" s="112" t="b">
        <v>0</v>
      </c>
      <c r="J929" s="112" t="b">
        <v>0</v>
      </c>
      <c r="K929" s="112" t="b">
        <v>0</v>
      </c>
      <c r="L929" s="112" t="b">
        <v>0</v>
      </c>
    </row>
    <row r="930" spans="1:12" ht="15">
      <c r="A930" s="112" t="s">
        <v>2422</v>
      </c>
      <c r="B930" s="112" t="s">
        <v>2089</v>
      </c>
      <c r="C930" s="112">
        <v>2</v>
      </c>
      <c r="D930" s="114">
        <v>0.00036261359660243913</v>
      </c>
      <c r="E930" s="114">
        <v>1.6157163086572692</v>
      </c>
      <c r="F930" s="112" t="s">
        <v>3314</v>
      </c>
      <c r="G930" s="112" t="b">
        <v>0</v>
      </c>
      <c r="H930" s="112" t="b">
        <v>0</v>
      </c>
      <c r="I930" s="112" t="b">
        <v>0</v>
      </c>
      <c r="J930" s="112" t="b">
        <v>0</v>
      </c>
      <c r="K930" s="112" t="b">
        <v>0</v>
      </c>
      <c r="L930" s="112" t="b">
        <v>0</v>
      </c>
    </row>
    <row r="931" spans="1:12" ht="15">
      <c r="A931" s="112" t="s">
        <v>2089</v>
      </c>
      <c r="B931" s="112" t="s">
        <v>2193</v>
      </c>
      <c r="C931" s="112">
        <v>2</v>
      </c>
      <c r="D931" s="114">
        <v>0.00036261359660243913</v>
      </c>
      <c r="E931" s="114">
        <v>1.2129774171034629</v>
      </c>
      <c r="F931" s="112" t="s">
        <v>3314</v>
      </c>
      <c r="G931" s="112" t="b">
        <v>0</v>
      </c>
      <c r="H931" s="112" t="b">
        <v>0</v>
      </c>
      <c r="I931" s="112" t="b">
        <v>0</v>
      </c>
      <c r="J931" s="112" t="b">
        <v>0</v>
      </c>
      <c r="K931" s="112" t="b">
        <v>0</v>
      </c>
      <c r="L931" s="112" t="b">
        <v>0</v>
      </c>
    </row>
    <row r="932" spans="1:12" ht="15">
      <c r="A932" s="112" t="s">
        <v>2193</v>
      </c>
      <c r="B932" s="112" t="s">
        <v>2422</v>
      </c>
      <c r="C932" s="112">
        <v>2</v>
      </c>
      <c r="D932" s="114">
        <v>0.00036261359660243913</v>
      </c>
      <c r="E932" s="114">
        <v>2.597987541696838</v>
      </c>
      <c r="F932" s="112" t="s">
        <v>3314</v>
      </c>
      <c r="G932" s="112" t="b">
        <v>0</v>
      </c>
      <c r="H932" s="112" t="b">
        <v>0</v>
      </c>
      <c r="I932" s="112" t="b">
        <v>0</v>
      </c>
      <c r="J932" s="112" t="b">
        <v>0</v>
      </c>
      <c r="K932" s="112" t="b">
        <v>0</v>
      </c>
      <c r="L932" s="112" t="b">
        <v>0</v>
      </c>
    </row>
    <row r="933" spans="1:12" ht="15">
      <c r="A933" s="112" t="s">
        <v>2422</v>
      </c>
      <c r="B933" s="112" t="s">
        <v>2193</v>
      </c>
      <c r="C933" s="112">
        <v>2</v>
      </c>
      <c r="D933" s="114">
        <v>0.00036261359660243913</v>
      </c>
      <c r="E933" s="114">
        <v>2.393867559040913</v>
      </c>
      <c r="F933" s="112" t="s">
        <v>3314</v>
      </c>
      <c r="G933" s="112" t="b">
        <v>0</v>
      </c>
      <c r="H933" s="112" t="b">
        <v>0</v>
      </c>
      <c r="I933" s="112" t="b">
        <v>0</v>
      </c>
      <c r="J933" s="112" t="b">
        <v>0</v>
      </c>
      <c r="K933" s="112" t="b">
        <v>0</v>
      </c>
      <c r="L933" s="112" t="b">
        <v>0</v>
      </c>
    </row>
    <row r="934" spans="1:12" ht="15">
      <c r="A934" s="112" t="s">
        <v>2193</v>
      </c>
      <c r="B934" s="112" t="s">
        <v>2375</v>
      </c>
      <c r="C934" s="112">
        <v>2</v>
      </c>
      <c r="D934" s="114">
        <v>0.00036261359660243913</v>
      </c>
      <c r="E934" s="114">
        <v>2.354949493010543</v>
      </c>
      <c r="F934" s="112" t="s">
        <v>3314</v>
      </c>
      <c r="G934" s="112" t="b">
        <v>0</v>
      </c>
      <c r="H934" s="112" t="b">
        <v>0</v>
      </c>
      <c r="I934" s="112" t="b">
        <v>0</v>
      </c>
      <c r="J934" s="112" t="b">
        <v>0</v>
      </c>
      <c r="K934" s="112" t="b">
        <v>0</v>
      </c>
      <c r="L934" s="112" t="b">
        <v>0</v>
      </c>
    </row>
    <row r="935" spans="1:12" ht="15">
      <c r="A935" s="112" t="s">
        <v>2480</v>
      </c>
      <c r="B935" s="112" t="s">
        <v>2089</v>
      </c>
      <c r="C935" s="112">
        <v>2</v>
      </c>
      <c r="D935" s="114">
        <v>0.00036261359660243913</v>
      </c>
      <c r="E935" s="114">
        <v>1.6948975547048941</v>
      </c>
      <c r="F935" s="112" t="s">
        <v>3314</v>
      </c>
      <c r="G935" s="112" t="b">
        <v>0</v>
      </c>
      <c r="H935" s="112" t="b">
        <v>0</v>
      </c>
      <c r="I935" s="112" t="b">
        <v>0</v>
      </c>
      <c r="J935" s="112" t="b">
        <v>0</v>
      </c>
      <c r="K935" s="112" t="b">
        <v>0</v>
      </c>
      <c r="L935" s="112" t="b">
        <v>0</v>
      </c>
    </row>
    <row r="936" spans="1:12" ht="15">
      <c r="A936" s="112" t="s">
        <v>2589</v>
      </c>
      <c r="B936" s="112" t="s">
        <v>2337</v>
      </c>
      <c r="C936" s="112">
        <v>2</v>
      </c>
      <c r="D936" s="114">
        <v>0.0004118981407517484</v>
      </c>
      <c r="E936" s="114">
        <v>2.8709888137605755</v>
      </c>
      <c r="F936" s="112" t="s">
        <v>3314</v>
      </c>
      <c r="G936" s="112" t="b">
        <v>0</v>
      </c>
      <c r="H936" s="112" t="b">
        <v>0</v>
      </c>
      <c r="I936" s="112" t="b">
        <v>0</v>
      </c>
      <c r="J936" s="112" t="b">
        <v>0</v>
      </c>
      <c r="K936" s="112" t="b">
        <v>0</v>
      </c>
      <c r="L936" s="112" t="b">
        <v>0</v>
      </c>
    </row>
    <row r="937" spans="1:12" ht="15">
      <c r="A937" s="112" t="s">
        <v>2337</v>
      </c>
      <c r="B937" s="112" t="s">
        <v>2337</v>
      </c>
      <c r="C937" s="112">
        <v>2</v>
      </c>
      <c r="D937" s="114">
        <v>0.0004118981407517484</v>
      </c>
      <c r="E937" s="114">
        <v>2.569958818096594</v>
      </c>
      <c r="F937" s="112" t="s">
        <v>3314</v>
      </c>
      <c r="G937" s="112" t="b">
        <v>0</v>
      </c>
      <c r="H937" s="112" t="b">
        <v>0</v>
      </c>
      <c r="I937" s="112" t="b">
        <v>0</v>
      </c>
      <c r="J937" s="112" t="b">
        <v>0</v>
      </c>
      <c r="K937" s="112" t="b">
        <v>0</v>
      </c>
      <c r="L937" s="112" t="b">
        <v>0</v>
      </c>
    </row>
    <row r="938" spans="1:12" ht="15">
      <c r="A938" s="112" t="s">
        <v>2423</v>
      </c>
      <c r="B938" s="112" t="s">
        <v>2423</v>
      </c>
      <c r="C938" s="112">
        <v>2</v>
      </c>
      <c r="D938" s="114">
        <v>0.00036261359660243913</v>
      </c>
      <c r="E938" s="114">
        <v>2.8990175373608187</v>
      </c>
      <c r="F938" s="112" t="s">
        <v>3314</v>
      </c>
      <c r="G938" s="112" t="b">
        <v>0</v>
      </c>
      <c r="H938" s="112" t="b">
        <v>0</v>
      </c>
      <c r="I938" s="112" t="b">
        <v>0</v>
      </c>
      <c r="J938" s="112" t="b">
        <v>0</v>
      </c>
      <c r="K938" s="112" t="b">
        <v>0</v>
      </c>
      <c r="L938" s="112" t="b">
        <v>0</v>
      </c>
    </row>
    <row r="939" spans="1:12" ht="15">
      <c r="A939" s="112" t="s">
        <v>2096</v>
      </c>
      <c r="B939" s="112" t="s">
        <v>2463</v>
      </c>
      <c r="C939" s="112">
        <v>2</v>
      </c>
      <c r="D939" s="114">
        <v>0.0004118981407517484</v>
      </c>
      <c r="E939" s="114">
        <v>1.838319697007207</v>
      </c>
      <c r="F939" s="112" t="s">
        <v>3314</v>
      </c>
      <c r="G939" s="112" t="b">
        <v>0</v>
      </c>
      <c r="H939" s="112" t="b">
        <v>0</v>
      </c>
      <c r="I939" s="112" t="b">
        <v>0</v>
      </c>
      <c r="J939" s="112" t="b">
        <v>0</v>
      </c>
      <c r="K939" s="112" t="b">
        <v>0</v>
      </c>
      <c r="L939" s="112" t="b">
        <v>0</v>
      </c>
    </row>
    <row r="940" spans="1:12" ht="15">
      <c r="A940" s="112" t="s">
        <v>2463</v>
      </c>
      <c r="B940" s="112" t="s">
        <v>2096</v>
      </c>
      <c r="C940" s="112">
        <v>2</v>
      </c>
      <c r="D940" s="114">
        <v>0.0004118981407517484</v>
      </c>
      <c r="E940" s="114">
        <v>1.8642554311016069</v>
      </c>
      <c r="F940" s="112" t="s">
        <v>3314</v>
      </c>
      <c r="G940" s="112" t="b">
        <v>0</v>
      </c>
      <c r="H940" s="112" t="b">
        <v>0</v>
      </c>
      <c r="I940" s="112" t="b">
        <v>0</v>
      </c>
      <c r="J940" s="112" t="b">
        <v>0</v>
      </c>
      <c r="K940" s="112" t="b">
        <v>0</v>
      </c>
      <c r="L940" s="112" t="b">
        <v>0</v>
      </c>
    </row>
    <row r="941" spans="1:12" ht="15">
      <c r="A941" s="112" t="s">
        <v>2689</v>
      </c>
      <c r="B941" s="112" t="s">
        <v>2475</v>
      </c>
      <c r="C941" s="112">
        <v>2</v>
      </c>
      <c r="D941" s="114">
        <v>0.0004118981407517484</v>
      </c>
      <c r="E941" s="114">
        <v>3.2000475330248</v>
      </c>
      <c r="F941" s="112" t="s">
        <v>3314</v>
      </c>
      <c r="G941" s="112" t="b">
        <v>0</v>
      </c>
      <c r="H941" s="112" t="b">
        <v>0</v>
      </c>
      <c r="I941" s="112" t="b">
        <v>0</v>
      </c>
      <c r="J941" s="112" t="b">
        <v>0</v>
      </c>
      <c r="K941" s="112" t="b">
        <v>0</v>
      </c>
      <c r="L941" s="112" t="b">
        <v>0</v>
      </c>
    </row>
    <row r="942" spans="1:12" ht="15">
      <c r="A942" s="112" t="s">
        <v>3066</v>
      </c>
      <c r="B942" s="112" t="s">
        <v>2279</v>
      </c>
      <c r="C942" s="112">
        <v>2</v>
      </c>
      <c r="D942" s="114">
        <v>0.0004118981407517484</v>
      </c>
      <c r="E942" s="114">
        <v>3.1208662869771753</v>
      </c>
      <c r="F942" s="112" t="s">
        <v>3314</v>
      </c>
      <c r="G942" s="112" t="b">
        <v>0</v>
      </c>
      <c r="H942" s="112" t="b">
        <v>0</v>
      </c>
      <c r="I942" s="112" t="b">
        <v>0</v>
      </c>
      <c r="J942" s="112" t="b">
        <v>0</v>
      </c>
      <c r="K942" s="112" t="b">
        <v>0</v>
      </c>
      <c r="L942" s="112" t="b">
        <v>0</v>
      </c>
    </row>
    <row r="943" spans="1:12" ht="15">
      <c r="A943" s="112" t="s">
        <v>3067</v>
      </c>
      <c r="B943" s="112" t="s">
        <v>3068</v>
      </c>
      <c r="C943" s="112">
        <v>2</v>
      </c>
      <c r="D943" s="114">
        <v>0.00036261359660243913</v>
      </c>
      <c r="E943" s="114">
        <v>3.774078800752519</v>
      </c>
      <c r="F943" s="112" t="s">
        <v>3314</v>
      </c>
      <c r="G943" s="112" t="b">
        <v>0</v>
      </c>
      <c r="H943" s="112" t="b">
        <v>0</v>
      </c>
      <c r="I943" s="112" t="b">
        <v>0</v>
      </c>
      <c r="J943" s="112" t="b">
        <v>0</v>
      </c>
      <c r="K943" s="112" t="b">
        <v>0</v>
      </c>
      <c r="L943" s="112" t="b">
        <v>0</v>
      </c>
    </row>
    <row r="944" spans="1:12" ht="15">
      <c r="A944" s="112" t="s">
        <v>2239</v>
      </c>
      <c r="B944" s="112" t="s">
        <v>2096</v>
      </c>
      <c r="C944" s="112">
        <v>2</v>
      </c>
      <c r="D944" s="114">
        <v>0.00036261359660243913</v>
      </c>
      <c r="E944" s="114">
        <v>1.6089829259983008</v>
      </c>
      <c r="F944" s="112" t="s">
        <v>3314</v>
      </c>
      <c r="G944" s="112" t="b">
        <v>0</v>
      </c>
      <c r="H944" s="112" t="b">
        <v>0</v>
      </c>
      <c r="I944" s="112" t="b">
        <v>0</v>
      </c>
      <c r="J944" s="112" t="b">
        <v>0</v>
      </c>
      <c r="K944" s="112" t="b">
        <v>0</v>
      </c>
      <c r="L944" s="112" t="b">
        <v>0</v>
      </c>
    </row>
    <row r="945" spans="1:12" ht="15">
      <c r="A945" s="112" t="s">
        <v>2221</v>
      </c>
      <c r="B945" s="112" t="s">
        <v>2089</v>
      </c>
      <c r="C945" s="112">
        <v>2</v>
      </c>
      <c r="D945" s="114">
        <v>0.0004118981407517484</v>
      </c>
      <c r="E945" s="114">
        <v>1.2799242067340761</v>
      </c>
      <c r="F945" s="112" t="s">
        <v>3314</v>
      </c>
      <c r="G945" s="112" t="b">
        <v>0</v>
      </c>
      <c r="H945" s="112" t="b">
        <v>0</v>
      </c>
      <c r="I945" s="112" t="b">
        <v>0</v>
      </c>
      <c r="J945" s="112" t="b">
        <v>0</v>
      </c>
      <c r="K945" s="112" t="b">
        <v>0</v>
      </c>
      <c r="L945" s="112" t="b">
        <v>0</v>
      </c>
    </row>
    <row r="946" spans="1:12" ht="15">
      <c r="A946" s="112" t="s">
        <v>3069</v>
      </c>
      <c r="B946" s="112" t="s">
        <v>2300</v>
      </c>
      <c r="C946" s="112">
        <v>2</v>
      </c>
      <c r="D946" s="114">
        <v>0.00036261359660243913</v>
      </c>
      <c r="E946" s="114">
        <v>3.1208662869771753</v>
      </c>
      <c r="F946" s="112" t="s">
        <v>3314</v>
      </c>
      <c r="G946" s="112" t="b">
        <v>0</v>
      </c>
      <c r="H946" s="112" t="b">
        <v>0</v>
      </c>
      <c r="I946" s="112" t="b">
        <v>0</v>
      </c>
      <c r="J946" s="112" t="b">
        <v>0</v>
      </c>
      <c r="K946" s="112" t="b">
        <v>0</v>
      </c>
      <c r="L946" s="112" t="b">
        <v>0</v>
      </c>
    </row>
    <row r="947" spans="1:12" ht="15">
      <c r="A947" s="112" t="s">
        <v>2106</v>
      </c>
      <c r="B947" s="112" t="s">
        <v>2257</v>
      </c>
      <c r="C947" s="112">
        <v>2</v>
      </c>
      <c r="D947" s="114">
        <v>0.00036261359660243913</v>
      </c>
      <c r="E947" s="114">
        <v>1.7040409341447638</v>
      </c>
      <c r="F947" s="112" t="s">
        <v>3314</v>
      </c>
      <c r="G947" s="112" t="b">
        <v>0</v>
      </c>
      <c r="H947" s="112" t="b">
        <v>0</v>
      </c>
      <c r="I947" s="112" t="b">
        <v>0</v>
      </c>
      <c r="J947" s="112" t="b">
        <v>0</v>
      </c>
      <c r="K947" s="112" t="b">
        <v>0</v>
      </c>
      <c r="L947" s="112" t="b">
        <v>0</v>
      </c>
    </row>
    <row r="948" spans="1:12" ht="15">
      <c r="A948" s="112" t="s">
        <v>2137</v>
      </c>
      <c r="B948" s="112" t="s">
        <v>2220</v>
      </c>
      <c r="C948" s="112">
        <v>2</v>
      </c>
      <c r="D948" s="114">
        <v>0.00036261359660243913</v>
      </c>
      <c r="E948" s="114">
        <v>1.7570454614537385</v>
      </c>
      <c r="F948" s="112" t="s">
        <v>3314</v>
      </c>
      <c r="G948" s="112" t="b">
        <v>0</v>
      </c>
      <c r="H948" s="112" t="b">
        <v>0</v>
      </c>
      <c r="I948" s="112" t="b">
        <v>0</v>
      </c>
      <c r="J948" s="112" t="b">
        <v>0</v>
      </c>
      <c r="K948" s="112" t="b">
        <v>1</v>
      </c>
      <c r="L948" s="112" t="b">
        <v>0</v>
      </c>
    </row>
    <row r="949" spans="1:12" ht="15">
      <c r="A949" s="112" t="s">
        <v>2159</v>
      </c>
      <c r="B949" s="112" t="s">
        <v>2096</v>
      </c>
      <c r="C949" s="112">
        <v>2</v>
      </c>
      <c r="D949" s="114">
        <v>0.00036261359660243913</v>
      </c>
      <c r="E949" s="114">
        <v>1.2621954397736446</v>
      </c>
      <c r="F949" s="112" t="s">
        <v>3314</v>
      </c>
      <c r="G949" s="112" t="b">
        <v>0</v>
      </c>
      <c r="H949" s="112" t="b">
        <v>0</v>
      </c>
      <c r="I949" s="112" t="b">
        <v>0</v>
      </c>
      <c r="J949" s="112" t="b">
        <v>0</v>
      </c>
      <c r="K949" s="112" t="b">
        <v>0</v>
      </c>
      <c r="L949" s="112" t="b">
        <v>0</v>
      </c>
    </row>
    <row r="950" spans="1:12" ht="15">
      <c r="A950" s="112" t="s">
        <v>2372</v>
      </c>
      <c r="B950" s="112" t="s">
        <v>3071</v>
      </c>
      <c r="C950" s="112">
        <v>2</v>
      </c>
      <c r="D950" s="114">
        <v>0.0004118981407517484</v>
      </c>
      <c r="E950" s="114">
        <v>3.230010756402243</v>
      </c>
      <c r="F950" s="112" t="s">
        <v>3314</v>
      </c>
      <c r="G950" s="112" t="b">
        <v>0</v>
      </c>
      <c r="H950" s="112" t="b">
        <v>0</v>
      </c>
      <c r="I950" s="112" t="b">
        <v>0</v>
      </c>
      <c r="J950" s="112" t="b">
        <v>0</v>
      </c>
      <c r="K950" s="112" t="b">
        <v>0</v>
      </c>
      <c r="L950" s="112" t="b">
        <v>0</v>
      </c>
    </row>
    <row r="951" spans="1:12" ht="15">
      <c r="A951" s="112" t="s">
        <v>2592</v>
      </c>
      <c r="B951" s="112" t="s">
        <v>2081</v>
      </c>
      <c r="C951" s="112">
        <v>2</v>
      </c>
      <c r="D951" s="114">
        <v>0.0004118981407517484</v>
      </c>
      <c r="E951" s="114">
        <v>1.5487695190266562</v>
      </c>
      <c r="F951" s="112" t="s">
        <v>3314</v>
      </c>
      <c r="G951" s="112" t="b">
        <v>0</v>
      </c>
      <c r="H951" s="112" t="b">
        <v>0</v>
      </c>
      <c r="I951" s="112" t="b">
        <v>0</v>
      </c>
      <c r="J951" s="112" t="b">
        <v>0</v>
      </c>
      <c r="K951" s="112" t="b">
        <v>0</v>
      </c>
      <c r="L951" s="112" t="b">
        <v>0</v>
      </c>
    </row>
    <row r="952" spans="1:12" ht="15">
      <c r="A952" s="112" t="s">
        <v>2749</v>
      </c>
      <c r="B952" s="112" t="s">
        <v>3074</v>
      </c>
      <c r="C952" s="112">
        <v>2</v>
      </c>
      <c r="D952" s="114">
        <v>0.00036261359660243913</v>
      </c>
      <c r="E952" s="114">
        <v>3.5979875416968374</v>
      </c>
      <c r="F952" s="112" t="s">
        <v>3314</v>
      </c>
      <c r="G952" s="112" t="b">
        <v>0</v>
      </c>
      <c r="H952" s="112" t="b">
        <v>0</v>
      </c>
      <c r="I952" s="112" t="b">
        <v>0</v>
      </c>
      <c r="J952" s="112" t="b">
        <v>0</v>
      </c>
      <c r="K952" s="112" t="b">
        <v>0</v>
      </c>
      <c r="L952" s="112" t="b">
        <v>0</v>
      </c>
    </row>
    <row r="953" spans="1:12" ht="15">
      <c r="A953" s="112" t="s">
        <v>2268</v>
      </c>
      <c r="B953" s="112" t="s">
        <v>2332</v>
      </c>
      <c r="C953" s="112">
        <v>2</v>
      </c>
      <c r="D953" s="114">
        <v>0.00036261359660243913</v>
      </c>
      <c r="E953" s="114">
        <v>2.4730488050885375</v>
      </c>
      <c r="F953" s="112" t="s">
        <v>3314</v>
      </c>
      <c r="G953" s="112" t="b">
        <v>0</v>
      </c>
      <c r="H953" s="112" t="b">
        <v>0</v>
      </c>
      <c r="I953" s="112" t="b">
        <v>0</v>
      </c>
      <c r="J953" s="112" t="b">
        <v>0</v>
      </c>
      <c r="K953" s="112" t="b">
        <v>0</v>
      </c>
      <c r="L953" s="112" t="b">
        <v>0</v>
      </c>
    </row>
    <row r="954" spans="1:12" ht="15">
      <c r="A954" s="112" t="s">
        <v>2593</v>
      </c>
      <c r="B954" s="112" t="s">
        <v>2296</v>
      </c>
      <c r="C954" s="112">
        <v>2</v>
      </c>
      <c r="D954" s="114">
        <v>0.00036261359660243913</v>
      </c>
      <c r="E954" s="114">
        <v>2.819836291313194</v>
      </c>
      <c r="F954" s="112" t="s">
        <v>3314</v>
      </c>
      <c r="G954" s="112" t="b">
        <v>0</v>
      </c>
      <c r="H954" s="112" t="b">
        <v>0</v>
      </c>
      <c r="I954" s="112" t="b">
        <v>0</v>
      </c>
      <c r="J954" s="112" t="b">
        <v>0</v>
      </c>
      <c r="K954" s="112" t="b">
        <v>1</v>
      </c>
      <c r="L954" s="112" t="b">
        <v>0</v>
      </c>
    </row>
    <row r="955" spans="1:12" ht="15">
      <c r="A955" s="112" t="s">
        <v>2082</v>
      </c>
      <c r="B955" s="112" t="s">
        <v>2459</v>
      </c>
      <c r="C955" s="112">
        <v>2</v>
      </c>
      <c r="D955" s="114">
        <v>0.00036261359660243913</v>
      </c>
      <c r="E955" s="114">
        <v>1.5500639893796548</v>
      </c>
      <c r="F955" s="112" t="s">
        <v>3314</v>
      </c>
      <c r="G955" s="112" t="b">
        <v>0</v>
      </c>
      <c r="H955" s="112" t="b">
        <v>0</v>
      </c>
      <c r="I955" s="112" t="b">
        <v>0</v>
      </c>
      <c r="J955" s="112" t="b">
        <v>0</v>
      </c>
      <c r="K955" s="112" t="b">
        <v>0</v>
      </c>
      <c r="L955" s="112" t="b">
        <v>0</v>
      </c>
    </row>
    <row r="956" spans="1:12" ht="15">
      <c r="A956" s="112" t="s">
        <v>2082</v>
      </c>
      <c r="B956" s="112" t="s">
        <v>2133</v>
      </c>
      <c r="C956" s="112">
        <v>2</v>
      </c>
      <c r="D956" s="114">
        <v>0.00036261359660243913</v>
      </c>
      <c r="E956" s="114">
        <v>0.7175550766734186</v>
      </c>
      <c r="F956" s="112" t="s">
        <v>3314</v>
      </c>
      <c r="G956" s="112" t="b">
        <v>0</v>
      </c>
      <c r="H956" s="112" t="b">
        <v>0</v>
      </c>
      <c r="I956" s="112" t="b">
        <v>0</v>
      </c>
      <c r="J956" s="112" t="b">
        <v>0</v>
      </c>
      <c r="K956" s="112" t="b">
        <v>0</v>
      </c>
      <c r="L956" s="112" t="b">
        <v>0</v>
      </c>
    </row>
    <row r="957" spans="1:12" ht="15">
      <c r="A957" s="112" t="s">
        <v>3084</v>
      </c>
      <c r="B957" s="112" t="s">
        <v>2081</v>
      </c>
      <c r="C957" s="112">
        <v>2</v>
      </c>
      <c r="D957" s="114">
        <v>0.0004118981407517484</v>
      </c>
      <c r="E957" s="114">
        <v>1.8497995146906372</v>
      </c>
      <c r="F957" s="112" t="s">
        <v>3314</v>
      </c>
      <c r="G957" s="112" t="b">
        <v>0</v>
      </c>
      <c r="H957" s="112" t="b">
        <v>0</v>
      </c>
      <c r="I957" s="112" t="b">
        <v>0</v>
      </c>
      <c r="J957" s="112" t="b">
        <v>0</v>
      </c>
      <c r="K957" s="112" t="b">
        <v>0</v>
      </c>
      <c r="L957" s="112" t="b">
        <v>0</v>
      </c>
    </row>
    <row r="958" spans="1:12" ht="15">
      <c r="A958" s="112" t="s">
        <v>2221</v>
      </c>
      <c r="B958" s="112" t="s">
        <v>2297</v>
      </c>
      <c r="C958" s="112">
        <v>2</v>
      </c>
      <c r="D958" s="114">
        <v>0.0004118981407517484</v>
      </c>
      <c r="E958" s="114">
        <v>2.3079529303343196</v>
      </c>
      <c r="F958" s="112" t="s">
        <v>3314</v>
      </c>
      <c r="G958" s="112" t="b">
        <v>0</v>
      </c>
      <c r="H958" s="112" t="b">
        <v>0</v>
      </c>
      <c r="I958" s="112" t="b">
        <v>0</v>
      </c>
      <c r="J958" s="112" t="b">
        <v>0</v>
      </c>
      <c r="K958" s="112" t="b">
        <v>0</v>
      </c>
      <c r="L958" s="112" t="b">
        <v>0</v>
      </c>
    </row>
    <row r="959" spans="1:12" ht="15">
      <c r="A959" s="112" t="s">
        <v>2221</v>
      </c>
      <c r="B959" s="112" t="s">
        <v>2221</v>
      </c>
      <c r="C959" s="112">
        <v>2</v>
      </c>
      <c r="D959" s="114">
        <v>0.0004118981407517484</v>
      </c>
      <c r="E959" s="114">
        <v>2.359105452781701</v>
      </c>
      <c r="F959" s="112" t="s">
        <v>3314</v>
      </c>
      <c r="G959" s="112" t="b">
        <v>0</v>
      </c>
      <c r="H959" s="112" t="b">
        <v>0</v>
      </c>
      <c r="I959" s="112" t="b">
        <v>0</v>
      </c>
      <c r="J959" s="112" t="b">
        <v>0</v>
      </c>
      <c r="K959" s="112" t="b">
        <v>0</v>
      </c>
      <c r="L959" s="112" t="b">
        <v>0</v>
      </c>
    </row>
    <row r="960" spans="1:12" ht="15">
      <c r="A960" s="112" t="s">
        <v>2183</v>
      </c>
      <c r="B960" s="112" t="s">
        <v>2222</v>
      </c>
      <c r="C960" s="112">
        <v>2</v>
      </c>
      <c r="D960" s="114">
        <v>0.00036261359660243913</v>
      </c>
      <c r="E960" s="114">
        <v>2.0317465183953707</v>
      </c>
      <c r="F960" s="112" t="s">
        <v>3314</v>
      </c>
      <c r="G960" s="112" t="b">
        <v>0</v>
      </c>
      <c r="H960" s="112" t="b">
        <v>1</v>
      </c>
      <c r="I960" s="112" t="b">
        <v>0</v>
      </c>
      <c r="J960" s="112" t="b">
        <v>0</v>
      </c>
      <c r="K960" s="112" t="b">
        <v>0</v>
      </c>
      <c r="L960" s="112" t="b">
        <v>0</v>
      </c>
    </row>
    <row r="961" spans="1:12" ht="15">
      <c r="A961" s="112" t="s">
        <v>2106</v>
      </c>
      <c r="B961" s="112" t="s">
        <v>2083</v>
      </c>
      <c r="C961" s="112">
        <v>2</v>
      </c>
      <c r="D961" s="114">
        <v>0.00036261359660243913</v>
      </c>
      <c r="E961" s="114">
        <v>0.6106192489825287</v>
      </c>
      <c r="F961" s="112" t="s">
        <v>3314</v>
      </c>
      <c r="G961" s="112" t="b">
        <v>0</v>
      </c>
      <c r="H961" s="112" t="b">
        <v>0</v>
      </c>
      <c r="I961" s="112" t="b">
        <v>0</v>
      </c>
      <c r="J961" s="112" t="b">
        <v>0</v>
      </c>
      <c r="K961" s="112" t="b">
        <v>0</v>
      </c>
      <c r="L961" s="112" t="b">
        <v>0</v>
      </c>
    </row>
    <row r="962" spans="1:12" ht="15">
      <c r="A962" s="112" t="s">
        <v>2086</v>
      </c>
      <c r="B962" s="112" t="s">
        <v>2755</v>
      </c>
      <c r="C962" s="112">
        <v>2</v>
      </c>
      <c r="D962" s="114">
        <v>0.00036261359660243913</v>
      </c>
      <c r="E962" s="114">
        <v>1.8655937818738693</v>
      </c>
      <c r="F962" s="112" t="s">
        <v>3314</v>
      </c>
      <c r="G962" s="112" t="b">
        <v>0</v>
      </c>
      <c r="H962" s="112" t="b">
        <v>0</v>
      </c>
      <c r="I962" s="112" t="b">
        <v>0</v>
      </c>
      <c r="J962" s="112" t="b">
        <v>0</v>
      </c>
      <c r="K962" s="112" t="b">
        <v>0</v>
      </c>
      <c r="L962" s="112" t="b">
        <v>0</v>
      </c>
    </row>
    <row r="963" spans="1:12" ht="15">
      <c r="A963" s="112" t="s">
        <v>2096</v>
      </c>
      <c r="B963" s="112" t="s">
        <v>2327</v>
      </c>
      <c r="C963" s="112">
        <v>2</v>
      </c>
      <c r="D963" s="114">
        <v>0.00036261359660243913</v>
      </c>
      <c r="E963" s="114">
        <v>1.6341997143512823</v>
      </c>
      <c r="F963" s="112" t="s">
        <v>3314</v>
      </c>
      <c r="G963" s="112" t="b">
        <v>0</v>
      </c>
      <c r="H963" s="112" t="b">
        <v>0</v>
      </c>
      <c r="I963" s="112" t="b">
        <v>0</v>
      </c>
      <c r="J963" s="112" t="b">
        <v>0</v>
      </c>
      <c r="K963" s="112" t="b">
        <v>0</v>
      </c>
      <c r="L963" s="112" t="b">
        <v>0</v>
      </c>
    </row>
    <row r="964" spans="1:12" ht="15">
      <c r="A964" s="112" t="s">
        <v>2090</v>
      </c>
      <c r="B964" s="112" t="s">
        <v>2242</v>
      </c>
      <c r="C964" s="112">
        <v>2</v>
      </c>
      <c r="D964" s="114">
        <v>0.00036261359660243913</v>
      </c>
      <c r="E964" s="114">
        <v>1.4053271812079635</v>
      </c>
      <c r="F964" s="112" t="s">
        <v>3314</v>
      </c>
      <c r="G964" s="112" t="b">
        <v>0</v>
      </c>
      <c r="H964" s="112" t="b">
        <v>0</v>
      </c>
      <c r="I964" s="112" t="b">
        <v>0</v>
      </c>
      <c r="J964" s="112" t="b">
        <v>0</v>
      </c>
      <c r="K964" s="112" t="b">
        <v>1</v>
      </c>
      <c r="L964" s="112" t="b">
        <v>0</v>
      </c>
    </row>
    <row r="965" spans="1:12" ht="15">
      <c r="A965" s="112" t="s">
        <v>2335</v>
      </c>
      <c r="B965" s="112" t="s">
        <v>2094</v>
      </c>
      <c r="C965" s="112">
        <v>2</v>
      </c>
      <c r="D965" s="114">
        <v>0.00036261359660243913</v>
      </c>
      <c r="E965" s="114">
        <v>1.6279507650742808</v>
      </c>
      <c r="F965" s="112" t="s">
        <v>3314</v>
      </c>
      <c r="G965" s="112" t="b">
        <v>0</v>
      </c>
      <c r="H965" s="112" t="b">
        <v>0</v>
      </c>
      <c r="I965" s="112" t="b">
        <v>0</v>
      </c>
      <c r="J965" s="112" t="b">
        <v>0</v>
      </c>
      <c r="K965" s="112" t="b">
        <v>0</v>
      </c>
      <c r="L965" s="112" t="b">
        <v>0</v>
      </c>
    </row>
    <row r="966" spans="1:12" ht="15">
      <c r="A966" s="112" t="s">
        <v>2761</v>
      </c>
      <c r="B966" s="112" t="s">
        <v>2762</v>
      </c>
      <c r="C966" s="112">
        <v>2</v>
      </c>
      <c r="D966" s="114">
        <v>0.00036261359660243913</v>
      </c>
      <c r="E966" s="114">
        <v>3.4218962826411565</v>
      </c>
      <c r="F966" s="112" t="s">
        <v>3314</v>
      </c>
      <c r="G966" s="112" t="b">
        <v>0</v>
      </c>
      <c r="H966" s="112" t="b">
        <v>0</v>
      </c>
      <c r="I966" s="112" t="b">
        <v>0</v>
      </c>
      <c r="J966" s="112" t="b">
        <v>0</v>
      </c>
      <c r="K966" s="112" t="b">
        <v>0</v>
      </c>
      <c r="L966" s="112" t="b">
        <v>0</v>
      </c>
    </row>
    <row r="967" spans="1:12" ht="15">
      <c r="A967" s="112" t="s">
        <v>2763</v>
      </c>
      <c r="B967" s="112" t="s">
        <v>2203</v>
      </c>
      <c r="C967" s="112">
        <v>2</v>
      </c>
      <c r="D967" s="114">
        <v>0.00036261359660243913</v>
      </c>
      <c r="E967" s="114">
        <v>2.722926278305138</v>
      </c>
      <c r="F967" s="112" t="s">
        <v>3314</v>
      </c>
      <c r="G967" s="112" t="b">
        <v>0</v>
      </c>
      <c r="H967" s="112" t="b">
        <v>0</v>
      </c>
      <c r="I967" s="112" t="b">
        <v>0</v>
      </c>
      <c r="J967" s="112" t="b">
        <v>0</v>
      </c>
      <c r="K967" s="112" t="b">
        <v>0</v>
      </c>
      <c r="L967" s="112" t="b">
        <v>0</v>
      </c>
    </row>
    <row r="968" spans="1:12" ht="15">
      <c r="A968" s="112" t="s">
        <v>2203</v>
      </c>
      <c r="B968" s="112" t="s">
        <v>3103</v>
      </c>
      <c r="C968" s="112">
        <v>2</v>
      </c>
      <c r="D968" s="114">
        <v>0.00036261359660243913</v>
      </c>
      <c r="E968" s="114">
        <v>2.928980760738262</v>
      </c>
      <c r="F968" s="112" t="s">
        <v>3314</v>
      </c>
      <c r="G968" s="112" t="b">
        <v>0</v>
      </c>
      <c r="H968" s="112" t="b">
        <v>0</v>
      </c>
      <c r="I968" s="112" t="b">
        <v>0</v>
      </c>
      <c r="J968" s="112" t="b">
        <v>0</v>
      </c>
      <c r="K968" s="112" t="b">
        <v>0</v>
      </c>
      <c r="L968" s="112" t="b">
        <v>0</v>
      </c>
    </row>
    <row r="969" spans="1:12" ht="15">
      <c r="A969" s="112" t="s">
        <v>3104</v>
      </c>
      <c r="B969" s="112" t="s">
        <v>3105</v>
      </c>
      <c r="C969" s="112">
        <v>2</v>
      </c>
      <c r="D969" s="114">
        <v>0.0004118981407517484</v>
      </c>
      <c r="E969" s="114">
        <v>3.774078800752519</v>
      </c>
      <c r="F969" s="112" t="s">
        <v>3314</v>
      </c>
      <c r="G969" s="112" t="b">
        <v>0</v>
      </c>
      <c r="H969" s="112" t="b">
        <v>0</v>
      </c>
      <c r="I969" s="112" t="b">
        <v>0</v>
      </c>
      <c r="J969" s="112" t="b">
        <v>0</v>
      </c>
      <c r="K969" s="112" t="b">
        <v>0</v>
      </c>
      <c r="L969" s="112" t="b">
        <v>0</v>
      </c>
    </row>
    <row r="970" spans="1:12" ht="15">
      <c r="A970" s="112" t="s">
        <v>3111</v>
      </c>
      <c r="B970" s="112" t="s">
        <v>3112</v>
      </c>
      <c r="C970" s="112">
        <v>2</v>
      </c>
      <c r="D970" s="114">
        <v>0.0004118981407517484</v>
      </c>
      <c r="E970" s="114">
        <v>3.774078800752519</v>
      </c>
      <c r="F970" s="112" t="s">
        <v>3314</v>
      </c>
      <c r="G970" s="112" t="b">
        <v>0</v>
      </c>
      <c r="H970" s="112" t="b">
        <v>0</v>
      </c>
      <c r="I970" s="112" t="b">
        <v>0</v>
      </c>
      <c r="J970" s="112" t="b">
        <v>0</v>
      </c>
      <c r="K970" s="112" t="b">
        <v>0</v>
      </c>
      <c r="L970" s="112" t="b">
        <v>0</v>
      </c>
    </row>
    <row r="971" spans="1:12" ht="15">
      <c r="A971" s="112" t="s">
        <v>2275</v>
      </c>
      <c r="B971" s="112" t="s">
        <v>2172</v>
      </c>
      <c r="C971" s="112">
        <v>2</v>
      </c>
      <c r="D971" s="114">
        <v>0.0004118981407517484</v>
      </c>
      <c r="E971" s="114">
        <v>2.1208662869771753</v>
      </c>
      <c r="F971" s="112" t="s">
        <v>3314</v>
      </c>
      <c r="G971" s="112" t="b">
        <v>0</v>
      </c>
      <c r="H971" s="112" t="b">
        <v>0</v>
      </c>
      <c r="I971" s="112" t="b">
        <v>0</v>
      </c>
      <c r="J971" s="112" t="b">
        <v>0</v>
      </c>
      <c r="K971" s="112" t="b">
        <v>0</v>
      </c>
      <c r="L971" s="112" t="b">
        <v>0</v>
      </c>
    </row>
    <row r="972" spans="1:12" ht="15">
      <c r="A972" s="112" t="s">
        <v>2172</v>
      </c>
      <c r="B972" s="112" t="s">
        <v>2479</v>
      </c>
      <c r="C972" s="112">
        <v>2</v>
      </c>
      <c r="D972" s="114">
        <v>0.0004118981407517484</v>
      </c>
      <c r="E972" s="114">
        <v>2.4218962826411565</v>
      </c>
      <c r="F972" s="112" t="s">
        <v>3314</v>
      </c>
      <c r="G972" s="112" t="b">
        <v>0</v>
      </c>
      <c r="H972" s="112" t="b">
        <v>0</v>
      </c>
      <c r="I972" s="112" t="b">
        <v>0</v>
      </c>
      <c r="J972" s="112" t="b">
        <v>0</v>
      </c>
      <c r="K972" s="112" t="b">
        <v>0</v>
      </c>
      <c r="L972" s="112" t="b">
        <v>0</v>
      </c>
    </row>
    <row r="973" spans="1:12" ht="15">
      <c r="A973" s="112" t="s">
        <v>2368</v>
      </c>
      <c r="B973" s="112" t="s">
        <v>2172</v>
      </c>
      <c r="C973" s="112">
        <v>2</v>
      </c>
      <c r="D973" s="114">
        <v>0.00036261359660243913</v>
      </c>
      <c r="E973" s="114">
        <v>2.2757682469629184</v>
      </c>
      <c r="F973" s="112" t="s">
        <v>3314</v>
      </c>
      <c r="G973" s="112" t="b">
        <v>0</v>
      </c>
      <c r="H973" s="112" t="b">
        <v>0</v>
      </c>
      <c r="I973" s="112" t="b">
        <v>0</v>
      </c>
      <c r="J973" s="112" t="b">
        <v>0</v>
      </c>
      <c r="K973" s="112" t="b">
        <v>0</v>
      </c>
      <c r="L973" s="112" t="b">
        <v>0</v>
      </c>
    </row>
    <row r="974" spans="1:12" ht="15">
      <c r="A974" s="112" t="s">
        <v>3126</v>
      </c>
      <c r="B974" s="112" t="s">
        <v>3127</v>
      </c>
      <c r="C974" s="112">
        <v>2</v>
      </c>
      <c r="D974" s="114">
        <v>0.00036261359660243913</v>
      </c>
      <c r="E974" s="114">
        <v>3.774078800752519</v>
      </c>
      <c r="F974" s="112" t="s">
        <v>3314</v>
      </c>
      <c r="G974" s="112" t="b">
        <v>0</v>
      </c>
      <c r="H974" s="112" t="b">
        <v>0</v>
      </c>
      <c r="I974" s="112" t="b">
        <v>0</v>
      </c>
      <c r="J974" s="112" t="b">
        <v>0</v>
      </c>
      <c r="K974" s="112" t="b">
        <v>0</v>
      </c>
      <c r="L974" s="112" t="b">
        <v>0</v>
      </c>
    </row>
    <row r="975" spans="1:12" ht="15">
      <c r="A975" s="112" t="s">
        <v>2167</v>
      </c>
      <c r="B975" s="112" t="s">
        <v>2775</v>
      </c>
      <c r="C975" s="112">
        <v>2</v>
      </c>
      <c r="D975" s="114">
        <v>0.00036261359660243913</v>
      </c>
      <c r="E975" s="114">
        <v>2.5979875416968374</v>
      </c>
      <c r="F975" s="112" t="s">
        <v>3314</v>
      </c>
      <c r="G975" s="112" t="b">
        <v>0</v>
      </c>
      <c r="H975" s="112" t="b">
        <v>0</v>
      </c>
      <c r="I975" s="112" t="b">
        <v>0</v>
      </c>
      <c r="J975" s="112" t="b">
        <v>0</v>
      </c>
      <c r="K975" s="112" t="b">
        <v>0</v>
      </c>
      <c r="L975" s="112" t="b">
        <v>0</v>
      </c>
    </row>
    <row r="976" spans="1:12" ht="15">
      <c r="A976" s="112" t="s">
        <v>2485</v>
      </c>
      <c r="B976" s="112" t="s">
        <v>2574</v>
      </c>
      <c r="C976" s="112">
        <v>2</v>
      </c>
      <c r="D976" s="114">
        <v>0.00036261359660243913</v>
      </c>
      <c r="E976" s="114">
        <v>3.0751087964165</v>
      </c>
      <c r="F976" s="112" t="s">
        <v>3314</v>
      </c>
      <c r="G976" s="112" t="b">
        <v>0</v>
      </c>
      <c r="H976" s="112" t="b">
        <v>0</v>
      </c>
      <c r="I976" s="112" t="b">
        <v>0</v>
      </c>
      <c r="J976" s="112" t="b">
        <v>0</v>
      </c>
      <c r="K976" s="112" t="b">
        <v>0</v>
      </c>
      <c r="L976" s="112" t="b">
        <v>0</v>
      </c>
    </row>
    <row r="977" spans="1:12" ht="15">
      <c r="A977" s="112" t="s">
        <v>2567</v>
      </c>
      <c r="B977" s="112" t="s">
        <v>2296</v>
      </c>
      <c r="C977" s="112">
        <v>2</v>
      </c>
      <c r="D977" s="114">
        <v>0.0004118981407517484</v>
      </c>
      <c r="E977" s="114">
        <v>2.819836291313194</v>
      </c>
      <c r="F977" s="112" t="s">
        <v>3314</v>
      </c>
      <c r="G977" s="112" t="b">
        <v>0</v>
      </c>
      <c r="H977" s="112" t="b">
        <v>0</v>
      </c>
      <c r="I977" s="112" t="b">
        <v>0</v>
      </c>
      <c r="J977" s="112" t="b">
        <v>0</v>
      </c>
      <c r="K977" s="112" t="b">
        <v>1</v>
      </c>
      <c r="L977" s="112" t="b">
        <v>0</v>
      </c>
    </row>
    <row r="978" spans="1:12" ht="15">
      <c r="A978" s="112" t="s">
        <v>2156</v>
      </c>
      <c r="B978" s="112" t="s">
        <v>2382</v>
      </c>
      <c r="C978" s="112">
        <v>2</v>
      </c>
      <c r="D978" s="114">
        <v>0.00036261359660243913</v>
      </c>
      <c r="E978" s="114">
        <v>2.236259705679245</v>
      </c>
      <c r="F978" s="112" t="s">
        <v>3314</v>
      </c>
      <c r="G978" s="112" t="b">
        <v>0</v>
      </c>
      <c r="H978" s="112" t="b">
        <v>0</v>
      </c>
      <c r="I978" s="112" t="b">
        <v>0</v>
      </c>
      <c r="J978" s="112" t="b">
        <v>0</v>
      </c>
      <c r="K978" s="112" t="b">
        <v>0</v>
      </c>
      <c r="L978" s="112" t="b">
        <v>0</v>
      </c>
    </row>
    <row r="979" spans="1:12" ht="15">
      <c r="A979" s="112" t="s">
        <v>2778</v>
      </c>
      <c r="B979" s="112" t="s">
        <v>3149</v>
      </c>
      <c r="C979" s="112">
        <v>2</v>
      </c>
      <c r="D979" s="114">
        <v>0.0004118981407517484</v>
      </c>
      <c r="E979" s="114">
        <v>3.5979875416968374</v>
      </c>
      <c r="F979" s="112" t="s">
        <v>3314</v>
      </c>
      <c r="G979" s="112" t="b">
        <v>0</v>
      </c>
      <c r="H979" s="112" t="b">
        <v>0</v>
      </c>
      <c r="I979" s="112" t="b">
        <v>0</v>
      </c>
      <c r="J979" s="112" t="b">
        <v>0</v>
      </c>
      <c r="K979" s="112" t="b">
        <v>0</v>
      </c>
      <c r="L979" s="112" t="b">
        <v>0</v>
      </c>
    </row>
    <row r="980" spans="1:12" ht="15">
      <c r="A980" s="112" t="s">
        <v>3149</v>
      </c>
      <c r="B980" s="112" t="s">
        <v>3150</v>
      </c>
      <c r="C980" s="112">
        <v>2</v>
      </c>
      <c r="D980" s="114">
        <v>0.0004118981407517484</v>
      </c>
      <c r="E980" s="114">
        <v>3.774078800752519</v>
      </c>
      <c r="F980" s="112" t="s">
        <v>3314</v>
      </c>
      <c r="G980" s="112" t="b">
        <v>0</v>
      </c>
      <c r="H980" s="112" t="b">
        <v>0</v>
      </c>
      <c r="I980" s="112" t="b">
        <v>0</v>
      </c>
      <c r="J980" s="112" t="b">
        <v>0</v>
      </c>
      <c r="K980" s="112" t="b">
        <v>0</v>
      </c>
      <c r="L980" s="112" t="b">
        <v>0</v>
      </c>
    </row>
    <row r="981" spans="1:12" ht="15">
      <c r="A981" s="112" t="s">
        <v>3158</v>
      </c>
      <c r="B981" s="112" t="s">
        <v>2302</v>
      </c>
      <c r="C981" s="112">
        <v>2</v>
      </c>
      <c r="D981" s="114">
        <v>0.00036261359660243913</v>
      </c>
      <c r="E981" s="114">
        <v>3.1208662869771753</v>
      </c>
      <c r="F981" s="112" t="s">
        <v>3314</v>
      </c>
      <c r="G981" s="112" t="b">
        <v>0</v>
      </c>
      <c r="H981" s="112" t="b">
        <v>0</v>
      </c>
      <c r="I981" s="112" t="b">
        <v>0</v>
      </c>
      <c r="J981" s="112" t="b">
        <v>0</v>
      </c>
      <c r="K981" s="112" t="b">
        <v>0</v>
      </c>
      <c r="L981" s="112" t="b">
        <v>0</v>
      </c>
    </row>
    <row r="982" spans="1:12" ht="15">
      <c r="A982" s="112" t="s">
        <v>2601</v>
      </c>
      <c r="B982" s="112" t="s">
        <v>2386</v>
      </c>
      <c r="C982" s="112">
        <v>2</v>
      </c>
      <c r="D982" s="114">
        <v>0.00036261359660243913</v>
      </c>
      <c r="E982" s="114">
        <v>2.9959275503688754</v>
      </c>
      <c r="F982" s="112" t="s">
        <v>3314</v>
      </c>
      <c r="G982" s="112" t="b">
        <v>0</v>
      </c>
      <c r="H982" s="112" t="b">
        <v>0</v>
      </c>
      <c r="I982" s="112" t="b">
        <v>0</v>
      </c>
      <c r="J982" s="112" t="b">
        <v>0</v>
      </c>
      <c r="K982" s="112" t="b">
        <v>0</v>
      </c>
      <c r="L982" s="112" t="b">
        <v>0</v>
      </c>
    </row>
    <row r="983" spans="1:12" ht="15">
      <c r="A983" s="112" t="s">
        <v>2141</v>
      </c>
      <c r="B983" s="112" t="s">
        <v>2134</v>
      </c>
      <c r="C983" s="112">
        <v>2</v>
      </c>
      <c r="D983" s="114">
        <v>0.00036261359660243913</v>
      </c>
      <c r="E983" s="114">
        <v>1.4085908158616192</v>
      </c>
      <c r="F983" s="112" t="s">
        <v>3314</v>
      </c>
      <c r="G983" s="112" t="b">
        <v>0</v>
      </c>
      <c r="H983" s="112" t="b">
        <v>0</v>
      </c>
      <c r="I983" s="112" t="b">
        <v>0</v>
      </c>
      <c r="J983" s="112" t="b">
        <v>0</v>
      </c>
      <c r="K983" s="112" t="b">
        <v>0</v>
      </c>
      <c r="L983" s="112" t="b">
        <v>0</v>
      </c>
    </row>
    <row r="984" spans="1:12" ht="15">
      <c r="A984" s="112" t="s">
        <v>2106</v>
      </c>
      <c r="B984" s="112" t="s">
        <v>2254</v>
      </c>
      <c r="C984" s="112">
        <v>2</v>
      </c>
      <c r="D984" s="114">
        <v>0.00036261359660243913</v>
      </c>
      <c r="E984" s="114">
        <v>1.7040409341447638</v>
      </c>
      <c r="F984" s="112" t="s">
        <v>3314</v>
      </c>
      <c r="G984" s="112" t="b">
        <v>0</v>
      </c>
      <c r="H984" s="112" t="b">
        <v>0</v>
      </c>
      <c r="I984" s="112" t="b">
        <v>0</v>
      </c>
      <c r="J984" s="112" t="b">
        <v>0</v>
      </c>
      <c r="K984" s="112" t="b">
        <v>0</v>
      </c>
      <c r="L984" s="112" t="b">
        <v>0</v>
      </c>
    </row>
    <row r="985" spans="1:12" ht="15">
      <c r="A985" s="112" t="s">
        <v>2120</v>
      </c>
      <c r="B985" s="112" t="s">
        <v>2577</v>
      </c>
      <c r="C985" s="112">
        <v>2</v>
      </c>
      <c r="D985" s="114">
        <v>0.00036261359660243913</v>
      </c>
      <c r="E985" s="114">
        <v>2.1406103451729326</v>
      </c>
      <c r="F985" s="112" t="s">
        <v>3314</v>
      </c>
      <c r="G985" s="112" t="b">
        <v>0</v>
      </c>
      <c r="H985" s="112" t="b">
        <v>0</v>
      </c>
      <c r="I985" s="112" t="b">
        <v>0</v>
      </c>
      <c r="J985" s="112" t="b">
        <v>0</v>
      </c>
      <c r="K985" s="112" t="b">
        <v>0</v>
      </c>
      <c r="L985" s="112" t="b">
        <v>0</v>
      </c>
    </row>
    <row r="986" spans="1:12" ht="15">
      <c r="A986" s="112" t="s">
        <v>2201</v>
      </c>
      <c r="B986" s="112" t="s">
        <v>2201</v>
      </c>
      <c r="C986" s="112">
        <v>2</v>
      </c>
      <c r="D986" s="114">
        <v>0.00036261359660243913</v>
      </c>
      <c r="E986" s="114">
        <v>2.0838827207240054</v>
      </c>
      <c r="F986" s="112" t="s">
        <v>3314</v>
      </c>
      <c r="G986" s="112" t="b">
        <v>0</v>
      </c>
      <c r="H986" s="112" t="b">
        <v>1</v>
      </c>
      <c r="I986" s="112" t="b">
        <v>0</v>
      </c>
      <c r="J986" s="112" t="b">
        <v>0</v>
      </c>
      <c r="K986" s="112" t="b">
        <v>1</v>
      </c>
      <c r="L986" s="112" t="b">
        <v>0</v>
      </c>
    </row>
    <row r="987" spans="1:12" ht="15">
      <c r="A987" s="112" t="s">
        <v>3191</v>
      </c>
      <c r="B987" s="112" t="s">
        <v>3192</v>
      </c>
      <c r="C987" s="112">
        <v>2</v>
      </c>
      <c r="D987" s="114">
        <v>0.00036261359660243913</v>
      </c>
      <c r="E987" s="114">
        <v>3.774078800752519</v>
      </c>
      <c r="F987" s="112" t="s">
        <v>3314</v>
      </c>
      <c r="G987" s="112" t="b">
        <v>0</v>
      </c>
      <c r="H987" s="112" t="b">
        <v>0</v>
      </c>
      <c r="I987" s="112" t="b">
        <v>0</v>
      </c>
      <c r="J987" s="112" t="b">
        <v>0</v>
      </c>
      <c r="K987" s="112" t="b">
        <v>0</v>
      </c>
      <c r="L987" s="112" t="b">
        <v>0</v>
      </c>
    </row>
    <row r="988" spans="1:12" ht="15">
      <c r="A988" s="112" t="s">
        <v>3192</v>
      </c>
      <c r="B988" s="112" t="s">
        <v>3193</v>
      </c>
      <c r="C988" s="112">
        <v>2</v>
      </c>
      <c r="D988" s="114">
        <v>0.00036261359660243913</v>
      </c>
      <c r="E988" s="114">
        <v>3.774078800752519</v>
      </c>
      <c r="F988" s="112" t="s">
        <v>3314</v>
      </c>
      <c r="G988" s="112" t="b">
        <v>0</v>
      </c>
      <c r="H988" s="112" t="b">
        <v>0</v>
      </c>
      <c r="I988" s="112" t="b">
        <v>0</v>
      </c>
      <c r="J988" s="112" t="b">
        <v>0</v>
      </c>
      <c r="K988" s="112" t="b">
        <v>0</v>
      </c>
      <c r="L988" s="112" t="b">
        <v>0</v>
      </c>
    </row>
    <row r="989" spans="1:12" ht="15">
      <c r="A989" s="112" t="s">
        <v>2756</v>
      </c>
      <c r="B989" s="112" t="s">
        <v>2712</v>
      </c>
      <c r="C989" s="112">
        <v>2</v>
      </c>
      <c r="D989" s="114">
        <v>0.00036261359660243913</v>
      </c>
      <c r="E989" s="114">
        <v>3.4218962826411565</v>
      </c>
      <c r="F989" s="112" t="s">
        <v>3314</v>
      </c>
      <c r="G989" s="112" t="b">
        <v>0</v>
      </c>
      <c r="H989" s="112" t="b">
        <v>0</v>
      </c>
      <c r="I989" s="112" t="b">
        <v>0</v>
      </c>
      <c r="J989" s="112" t="b">
        <v>0</v>
      </c>
      <c r="K989" s="112" t="b">
        <v>0</v>
      </c>
      <c r="L989" s="112" t="b">
        <v>0</v>
      </c>
    </row>
    <row r="990" spans="1:12" ht="15">
      <c r="A990" s="112" t="s">
        <v>2336</v>
      </c>
      <c r="B990" s="112" t="s">
        <v>2493</v>
      </c>
      <c r="C990" s="112">
        <v>2</v>
      </c>
      <c r="D990" s="114">
        <v>0.00036261359660243913</v>
      </c>
      <c r="E990" s="114">
        <v>2.774078800752519</v>
      </c>
      <c r="F990" s="112" t="s">
        <v>3314</v>
      </c>
      <c r="G990" s="112" t="b">
        <v>0</v>
      </c>
      <c r="H990" s="112" t="b">
        <v>0</v>
      </c>
      <c r="I990" s="112" t="b">
        <v>0</v>
      </c>
      <c r="J990" s="112" t="b">
        <v>0</v>
      </c>
      <c r="K990" s="112" t="b">
        <v>0</v>
      </c>
      <c r="L990" s="112" t="b">
        <v>0</v>
      </c>
    </row>
    <row r="991" spans="1:12" ht="15">
      <c r="A991" s="112" t="s">
        <v>3203</v>
      </c>
      <c r="B991" s="112" t="s">
        <v>3204</v>
      </c>
      <c r="C991" s="112">
        <v>2</v>
      </c>
      <c r="D991" s="114">
        <v>0.0004118981407517484</v>
      </c>
      <c r="E991" s="114">
        <v>3.774078800752519</v>
      </c>
      <c r="F991" s="112" t="s">
        <v>3314</v>
      </c>
      <c r="G991" s="112" t="b">
        <v>0</v>
      </c>
      <c r="H991" s="112" t="b">
        <v>0</v>
      </c>
      <c r="I991" s="112" t="b">
        <v>0</v>
      </c>
      <c r="J991" s="112" t="b">
        <v>0</v>
      </c>
      <c r="K991" s="112" t="b">
        <v>0</v>
      </c>
      <c r="L991" s="112" t="b">
        <v>0</v>
      </c>
    </row>
    <row r="992" spans="1:12" ht="15">
      <c r="A992" s="112" t="s">
        <v>2169</v>
      </c>
      <c r="B992" s="112" t="s">
        <v>3205</v>
      </c>
      <c r="C992" s="112">
        <v>2</v>
      </c>
      <c r="D992" s="114">
        <v>0.0004118981407517484</v>
      </c>
      <c r="E992" s="114">
        <v>2.774078800752519</v>
      </c>
      <c r="F992" s="112" t="s">
        <v>3314</v>
      </c>
      <c r="G992" s="112" t="b">
        <v>0</v>
      </c>
      <c r="H992" s="112" t="b">
        <v>0</v>
      </c>
      <c r="I992" s="112" t="b">
        <v>0</v>
      </c>
      <c r="J992" s="112" t="b">
        <v>0</v>
      </c>
      <c r="K992" s="112" t="b">
        <v>0</v>
      </c>
      <c r="L992" s="112" t="b">
        <v>0</v>
      </c>
    </row>
    <row r="993" spans="1:12" ht="15">
      <c r="A993" s="112" t="s">
        <v>2103</v>
      </c>
      <c r="B993" s="112" t="s">
        <v>2077</v>
      </c>
      <c r="C993" s="112">
        <v>2</v>
      </c>
      <c r="D993" s="114">
        <v>0.00036261359660243913</v>
      </c>
      <c r="E993" s="114">
        <v>0.05268042523101363</v>
      </c>
      <c r="F993" s="112" t="s">
        <v>3314</v>
      </c>
      <c r="G993" s="112" t="b">
        <v>0</v>
      </c>
      <c r="H993" s="112" t="b">
        <v>0</v>
      </c>
      <c r="I993" s="112" t="b">
        <v>0</v>
      </c>
      <c r="J993" s="112" t="b">
        <v>0</v>
      </c>
      <c r="K993" s="112" t="b">
        <v>0</v>
      </c>
      <c r="L993" s="112" t="b">
        <v>0</v>
      </c>
    </row>
    <row r="994" spans="1:12" ht="15">
      <c r="A994" s="112" t="s">
        <v>2077</v>
      </c>
      <c r="B994" s="112" t="s">
        <v>2185</v>
      </c>
      <c r="C994" s="112">
        <v>2</v>
      </c>
      <c r="D994" s="114">
        <v>0.00036261359660243913</v>
      </c>
      <c r="E994" s="114">
        <v>0.5339665626948655</v>
      </c>
      <c r="F994" s="112" t="s">
        <v>3314</v>
      </c>
      <c r="G994" s="112" t="b">
        <v>0</v>
      </c>
      <c r="H994" s="112" t="b">
        <v>0</v>
      </c>
      <c r="I994" s="112" t="b">
        <v>0</v>
      </c>
      <c r="J994" s="112" t="b">
        <v>0</v>
      </c>
      <c r="K994" s="112" t="b">
        <v>0</v>
      </c>
      <c r="L994" s="112" t="b">
        <v>0</v>
      </c>
    </row>
    <row r="995" spans="1:12" ht="15">
      <c r="A995" s="112" t="s">
        <v>2185</v>
      </c>
      <c r="B995" s="112" t="s">
        <v>2476</v>
      </c>
      <c r="C995" s="112">
        <v>2</v>
      </c>
      <c r="D995" s="114">
        <v>0.00036261359660243913</v>
      </c>
      <c r="E995" s="114">
        <v>2.4730488050885375</v>
      </c>
      <c r="F995" s="112" t="s">
        <v>3314</v>
      </c>
      <c r="G995" s="112" t="b">
        <v>0</v>
      </c>
      <c r="H995" s="112" t="b">
        <v>0</v>
      </c>
      <c r="I995" s="112" t="b">
        <v>0</v>
      </c>
      <c r="J995" s="112" t="b">
        <v>0</v>
      </c>
      <c r="K995" s="112" t="b">
        <v>0</v>
      </c>
      <c r="L995" s="112" t="b">
        <v>0</v>
      </c>
    </row>
    <row r="996" spans="1:12" ht="15">
      <c r="A996" s="112" t="s">
        <v>2477</v>
      </c>
      <c r="B996" s="112" t="s">
        <v>2218</v>
      </c>
      <c r="C996" s="112">
        <v>2</v>
      </c>
      <c r="D996" s="114">
        <v>0.00036261359660243913</v>
      </c>
      <c r="E996" s="114">
        <v>2.5632254354376256</v>
      </c>
      <c r="F996" s="112" t="s">
        <v>3314</v>
      </c>
      <c r="G996" s="112" t="b">
        <v>0</v>
      </c>
      <c r="H996" s="112" t="b">
        <v>0</v>
      </c>
      <c r="I996" s="112" t="b">
        <v>0</v>
      </c>
      <c r="J996" s="112" t="b">
        <v>0</v>
      </c>
      <c r="K996" s="112" t="b">
        <v>0</v>
      </c>
      <c r="L996" s="112" t="b">
        <v>0</v>
      </c>
    </row>
    <row r="997" spans="1:12" ht="15">
      <c r="A997" s="112" t="s">
        <v>2732</v>
      </c>
      <c r="B997" s="112" t="s">
        <v>2584</v>
      </c>
      <c r="C997" s="112">
        <v>2</v>
      </c>
      <c r="D997" s="114">
        <v>0.00036261359660243913</v>
      </c>
      <c r="E997" s="114">
        <v>3.2969575460328566</v>
      </c>
      <c r="F997" s="112" t="s">
        <v>3314</v>
      </c>
      <c r="G997" s="112" t="b">
        <v>0</v>
      </c>
      <c r="H997" s="112" t="b">
        <v>0</v>
      </c>
      <c r="I997" s="112" t="b">
        <v>0</v>
      </c>
      <c r="J997" s="112" t="b">
        <v>0</v>
      </c>
      <c r="K997" s="112" t="b">
        <v>0</v>
      </c>
      <c r="L997" s="112" t="b">
        <v>0</v>
      </c>
    </row>
    <row r="998" spans="1:12" ht="15">
      <c r="A998" s="112" t="s">
        <v>2474</v>
      </c>
      <c r="B998" s="112" t="s">
        <v>3210</v>
      </c>
      <c r="C998" s="112">
        <v>2</v>
      </c>
      <c r="D998" s="114">
        <v>0.00036261359660243913</v>
      </c>
      <c r="E998" s="114">
        <v>3.3761387920804813</v>
      </c>
      <c r="F998" s="112" t="s">
        <v>3314</v>
      </c>
      <c r="G998" s="112" t="b">
        <v>0</v>
      </c>
      <c r="H998" s="112" t="b">
        <v>0</v>
      </c>
      <c r="I998" s="112" t="b">
        <v>0</v>
      </c>
      <c r="J998" s="112" t="b">
        <v>0</v>
      </c>
      <c r="K998" s="112" t="b">
        <v>0</v>
      </c>
      <c r="L998" s="112" t="b">
        <v>0</v>
      </c>
    </row>
    <row r="999" spans="1:12" ht="15">
      <c r="A999" s="112" t="s">
        <v>2142</v>
      </c>
      <c r="B999" s="112" t="s">
        <v>2713</v>
      </c>
      <c r="C999" s="112">
        <v>2</v>
      </c>
      <c r="D999" s="114">
        <v>0.0004118981407517484</v>
      </c>
      <c r="E999" s="114">
        <v>2.4518595060185997</v>
      </c>
      <c r="F999" s="112" t="s">
        <v>3314</v>
      </c>
      <c r="G999" s="112" t="b">
        <v>0</v>
      </c>
      <c r="H999" s="112" t="b">
        <v>0</v>
      </c>
      <c r="I999" s="112" t="b">
        <v>0</v>
      </c>
      <c r="J999" s="112" t="b">
        <v>0</v>
      </c>
      <c r="K999" s="112" t="b">
        <v>0</v>
      </c>
      <c r="L999" s="112" t="b">
        <v>0</v>
      </c>
    </row>
    <row r="1000" spans="1:12" ht="15">
      <c r="A1000" s="112" t="s">
        <v>2082</v>
      </c>
      <c r="B1000" s="112" t="s">
        <v>2688</v>
      </c>
      <c r="C1000" s="112">
        <v>2</v>
      </c>
      <c r="D1000" s="114">
        <v>0.0004118981407517484</v>
      </c>
      <c r="E1000" s="114">
        <v>1.7719127389960112</v>
      </c>
      <c r="F1000" s="112" t="s">
        <v>3314</v>
      </c>
      <c r="G1000" s="112" t="b">
        <v>0</v>
      </c>
      <c r="H1000" s="112" t="b">
        <v>0</v>
      </c>
      <c r="I1000" s="112" t="b">
        <v>0</v>
      </c>
      <c r="J1000" s="112" t="b">
        <v>0</v>
      </c>
      <c r="K1000" s="112" t="b">
        <v>0</v>
      </c>
      <c r="L1000" s="112" t="b">
        <v>0</v>
      </c>
    </row>
    <row r="1001" spans="1:12" ht="15">
      <c r="A1001" s="112" t="s">
        <v>3222</v>
      </c>
      <c r="B1001" s="112" t="s">
        <v>2495</v>
      </c>
      <c r="C1001" s="112">
        <v>2</v>
      </c>
      <c r="D1001" s="114">
        <v>0.00036261359660243913</v>
      </c>
      <c r="E1001" s="114">
        <v>3.3761387920804813</v>
      </c>
      <c r="F1001" s="112" t="s">
        <v>3314</v>
      </c>
      <c r="G1001" s="112" t="b">
        <v>0</v>
      </c>
      <c r="H1001" s="112" t="b">
        <v>1</v>
      </c>
      <c r="I1001" s="112" t="b">
        <v>0</v>
      </c>
      <c r="J1001" s="112" t="b">
        <v>1</v>
      </c>
      <c r="K1001" s="112" t="b">
        <v>0</v>
      </c>
      <c r="L1001" s="112" t="b">
        <v>0</v>
      </c>
    </row>
    <row r="1002" spans="1:12" ht="15">
      <c r="A1002" s="112" t="s">
        <v>2573</v>
      </c>
      <c r="B1002" s="112" t="s">
        <v>2236</v>
      </c>
      <c r="C1002" s="112">
        <v>2</v>
      </c>
      <c r="D1002" s="114">
        <v>0.00036261359660243913</v>
      </c>
      <c r="E1002" s="114">
        <v>2.732686115594294</v>
      </c>
      <c r="F1002" s="112" t="s">
        <v>3314</v>
      </c>
      <c r="G1002" s="112" t="b">
        <v>0</v>
      </c>
      <c r="H1002" s="112" t="b">
        <v>0</v>
      </c>
      <c r="I1002" s="112" t="b">
        <v>0</v>
      </c>
      <c r="J1002" s="112" t="b">
        <v>0</v>
      </c>
      <c r="K1002" s="112" t="b">
        <v>0</v>
      </c>
      <c r="L1002" s="112" t="b">
        <v>0</v>
      </c>
    </row>
    <row r="1003" spans="1:12" ht="15">
      <c r="A1003" s="112" t="s">
        <v>2471</v>
      </c>
      <c r="B1003" s="112" t="s">
        <v>2614</v>
      </c>
      <c r="C1003" s="112">
        <v>2</v>
      </c>
      <c r="D1003" s="114">
        <v>0.0004118981407517484</v>
      </c>
      <c r="E1003" s="114">
        <v>3.0751087964165</v>
      </c>
      <c r="F1003" s="112" t="s">
        <v>3314</v>
      </c>
      <c r="G1003" s="112" t="b">
        <v>0</v>
      </c>
      <c r="H1003" s="112" t="b">
        <v>0</v>
      </c>
      <c r="I1003" s="112" t="b">
        <v>0</v>
      </c>
      <c r="J1003" s="112" t="b">
        <v>0</v>
      </c>
      <c r="K1003" s="112" t="b">
        <v>0</v>
      </c>
      <c r="L1003" s="112" t="b">
        <v>0</v>
      </c>
    </row>
    <row r="1004" spans="1:12" ht="15">
      <c r="A1004" s="112" t="s">
        <v>2123</v>
      </c>
      <c r="B1004" s="112" t="s">
        <v>2233</v>
      </c>
      <c r="C1004" s="112">
        <v>2</v>
      </c>
      <c r="D1004" s="114">
        <v>0.00036261359660243913</v>
      </c>
      <c r="E1004" s="114">
        <v>1.673708255634956</v>
      </c>
      <c r="F1004" s="112" t="s">
        <v>3314</v>
      </c>
      <c r="G1004" s="112" t="b">
        <v>0</v>
      </c>
      <c r="H1004" s="112" t="b">
        <v>0</v>
      </c>
      <c r="I1004" s="112" t="b">
        <v>0</v>
      </c>
      <c r="J1004" s="112" t="b">
        <v>0</v>
      </c>
      <c r="K1004" s="112" t="b">
        <v>0</v>
      </c>
      <c r="L1004" s="112" t="b">
        <v>0</v>
      </c>
    </row>
    <row r="1005" spans="1:12" ht="15">
      <c r="A1005" s="112" t="s">
        <v>2210</v>
      </c>
      <c r="B1005" s="112" t="s">
        <v>2182</v>
      </c>
      <c r="C1005" s="112">
        <v>2</v>
      </c>
      <c r="D1005" s="114">
        <v>0.00036261359660243913</v>
      </c>
      <c r="E1005" s="114">
        <v>2.0317465183953707</v>
      </c>
      <c r="F1005" s="112" t="s">
        <v>3314</v>
      </c>
      <c r="G1005" s="112" t="b">
        <v>0</v>
      </c>
      <c r="H1005" s="112" t="b">
        <v>0</v>
      </c>
      <c r="I1005" s="112" t="b">
        <v>0</v>
      </c>
      <c r="J1005" s="112" t="b">
        <v>0</v>
      </c>
      <c r="K1005" s="112" t="b">
        <v>0</v>
      </c>
      <c r="L1005" s="112" t="b">
        <v>0</v>
      </c>
    </row>
    <row r="1006" spans="1:12" ht="15">
      <c r="A1006" s="112" t="s">
        <v>3226</v>
      </c>
      <c r="B1006" s="112" t="s">
        <v>2252</v>
      </c>
      <c r="C1006" s="112">
        <v>2</v>
      </c>
      <c r="D1006" s="114">
        <v>0.0004118981407517484</v>
      </c>
      <c r="E1006" s="114">
        <v>3.0751087964165</v>
      </c>
      <c r="F1006" s="112" t="s">
        <v>3314</v>
      </c>
      <c r="G1006" s="112" t="b">
        <v>0</v>
      </c>
      <c r="H1006" s="112" t="b">
        <v>0</v>
      </c>
      <c r="I1006" s="112" t="b">
        <v>0</v>
      </c>
      <c r="J1006" s="112" t="b">
        <v>0</v>
      </c>
      <c r="K1006" s="112" t="b">
        <v>0</v>
      </c>
      <c r="L1006" s="112" t="b">
        <v>0</v>
      </c>
    </row>
    <row r="1007" spans="1:12" ht="15">
      <c r="A1007" s="112" t="s">
        <v>2787</v>
      </c>
      <c r="B1007" s="112" t="s">
        <v>3227</v>
      </c>
      <c r="C1007" s="112">
        <v>2</v>
      </c>
      <c r="D1007" s="114">
        <v>0.0004118981407517484</v>
      </c>
      <c r="E1007" s="114">
        <v>3.5979875416968374</v>
      </c>
      <c r="F1007" s="112" t="s">
        <v>3314</v>
      </c>
      <c r="G1007" s="112" t="b">
        <v>0</v>
      </c>
      <c r="H1007" s="112" t="b">
        <v>0</v>
      </c>
      <c r="I1007" s="112" t="b">
        <v>0</v>
      </c>
      <c r="J1007" s="112" t="b">
        <v>0</v>
      </c>
      <c r="K1007" s="112" t="b">
        <v>0</v>
      </c>
      <c r="L1007" s="112" t="b">
        <v>0</v>
      </c>
    </row>
    <row r="1008" spans="1:12" ht="15">
      <c r="A1008" s="112" t="s">
        <v>2606</v>
      </c>
      <c r="B1008" s="112" t="s">
        <v>2631</v>
      </c>
      <c r="C1008" s="112">
        <v>2</v>
      </c>
      <c r="D1008" s="114">
        <v>0.0004118981407517484</v>
      </c>
      <c r="E1008" s="114">
        <v>3.2969575460328566</v>
      </c>
      <c r="F1008" s="112" t="s">
        <v>3314</v>
      </c>
      <c r="G1008" s="112" t="b">
        <v>0</v>
      </c>
      <c r="H1008" s="112" t="b">
        <v>0</v>
      </c>
      <c r="I1008" s="112" t="b">
        <v>0</v>
      </c>
      <c r="J1008" s="112" t="b">
        <v>0</v>
      </c>
      <c r="K1008" s="112" t="b">
        <v>0</v>
      </c>
      <c r="L1008" s="112" t="b">
        <v>0</v>
      </c>
    </row>
    <row r="1009" spans="1:12" ht="15">
      <c r="A1009" s="112" t="s">
        <v>2631</v>
      </c>
      <c r="B1009" s="112" t="s">
        <v>2310</v>
      </c>
      <c r="C1009" s="112">
        <v>2</v>
      </c>
      <c r="D1009" s="114">
        <v>0.0004118981407517484</v>
      </c>
      <c r="E1009" s="114">
        <v>3.053919497346562</v>
      </c>
      <c r="F1009" s="112" t="s">
        <v>3314</v>
      </c>
      <c r="G1009" s="112" t="b">
        <v>0</v>
      </c>
      <c r="H1009" s="112" t="b">
        <v>0</v>
      </c>
      <c r="I1009" s="112" t="b">
        <v>0</v>
      </c>
      <c r="J1009" s="112" t="b">
        <v>0</v>
      </c>
      <c r="K1009" s="112" t="b">
        <v>0</v>
      </c>
      <c r="L1009" s="112" t="b">
        <v>0</v>
      </c>
    </row>
    <row r="1010" spans="1:12" ht="15">
      <c r="A1010" s="112" t="s">
        <v>2176</v>
      </c>
      <c r="B1010" s="112" t="s">
        <v>2403</v>
      </c>
      <c r="C1010" s="112">
        <v>2</v>
      </c>
      <c r="D1010" s="114">
        <v>0.00036261359660243913</v>
      </c>
      <c r="E1010" s="114">
        <v>2.3675386203185638</v>
      </c>
      <c r="F1010" s="112" t="s">
        <v>3314</v>
      </c>
      <c r="G1010" s="112" t="b">
        <v>0</v>
      </c>
      <c r="H1010" s="112" t="b">
        <v>0</v>
      </c>
      <c r="I1010" s="112" t="b">
        <v>0</v>
      </c>
      <c r="J1010" s="112" t="b">
        <v>0</v>
      </c>
      <c r="K1010" s="112" t="b">
        <v>0</v>
      </c>
      <c r="L1010" s="112" t="b">
        <v>0</v>
      </c>
    </row>
    <row r="1011" spans="1:12" ht="15">
      <c r="A1011" s="112" t="s">
        <v>2403</v>
      </c>
      <c r="B1011" s="112" t="s">
        <v>2799</v>
      </c>
      <c r="C1011" s="112">
        <v>2</v>
      </c>
      <c r="D1011" s="114">
        <v>0.00036261359660243913</v>
      </c>
      <c r="E1011" s="114">
        <v>3.1208662869771753</v>
      </c>
      <c r="F1011" s="112" t="s">
        <v>3314</v>
      </c>
      <c r="G1011" s="112" t="b">
        <v>0</v>
      </c>
      <c r="H1011" s="112" t="b">
        <v>0</v>
      </c>
      <c r="I1011" s="112" t="b">
        <v>0</v>
      </c>
      <c r="J1011" s="112" t="b">
        <v>0</v>
      </c>
      <c r="K1011" s="112" t="b">
        <v>0</v>
      </c>
      <c r="L1011" s="112" t="b">
        <v>0</v>
      </c>
    </row>
    <row r="1012" spans="1:12" ht="15">
      <c r="A1012" s="112" t="s">
        <v>2758</v>
      </c>
      <c r="B1012" s="112" t="s">
        <v>2757</v>
      </c>
      <c r="C1012" s="112">
        <v>2</v>
      </c>
      <c r="D1012" s="114">
        <v>0.0004118981407517484</v>
      </c>
      <c r="E1012" s="114">
        <v>3.4218962826411565</v>
      </c>
      <c r="F1012" s="112" t="s">
        <v>3314</v>
      </c>
      <c r="G1012" s="112" t="b">
        <v>0</v>
      </c>
      <c r="H1012" s="112" t="b">
        <v>0</v>
      </c>
      <c r="I1012" s="112" t="b">
        <v>0</v>
      </c>
      <c r="J1012" s="112" t="b">
        <v>0</v>
      </c>
      <c r="K1012" s="112" t="b">
        <v>0</v>
      </c>
      <c r="L1012" s="112" t="b">
        <v>0</v>
      </c>
    </row>
    <row r="1013" spans="1:12" ht="15">
      <c r="A1013" s="112" t="s">
        <v>3236</v>
      </c>
      <c r="B1013" s="112" t="s">
        <v>3237</v>
      </c>
      <c r="C1013" s="112">
        <v>2</v>
      </c>
      <c r="D1013" s="114">
        <v>0.0004118981407517484</v>
      </c>
      <c r="E1013" s="114">
        <v>3.774078800752519</v>
      </c>
      <c r="F1013" s="112" t="s">
        <v>3314</v>
      </c>
      <c r="G1013" s="112" t="b">
        <v>0</v>
      </c>
      <c r="H1013" s="112" t="b">
        <v>0</v>
      </c>
      <c r="I1013" s="112" t="b">
        <v>0</v>
      </c>
      <c r="J1013" s="112" t="b">
        <v>0</v>
      </c>
      <c r="K1013" s="112" t="b">
        <v>0</v>
      </c>
      <c r="L1013" s="112" t="b">
        <v>0</v>
      </c>
    </row>
    <row r="1014" spans="1:12" ht="15">
      <c r="A1014" s="112" t="s">
        <v>2142</v>
      </c>
      <c r="B1014" s="112" t="s">
        <v>3239</v>
      </c>
      <c r="C1014" s="112">
        <v>2</v>
      </c>
      <c r="D1014" s="114">
        <v>0.0004118981407517484</v>
      </c>
      <c r="E1014" s="114">
        <v>2.627950765074281</v>
      </c>
      <c r="F1014" s="112" t="s">
        <v>3314</v>
      </c>
      <c r="G1014" s="112" t="b">
        <v>0</v>
      </c>
      <c r="H1014" s="112" t="b">
        <v>0</v>
      </c>
      <c r="I1014" s="112" t="b">
        <v>0</v>
      </c>
      <c r="J1014" s="112" t="b">
        <v>0</v>
      </c>
      <c r="K1014" s="112" t="b">
        <v>0</v>
      </c>
      <c r="L1014" s="112" t="b">
        <v>0</v>
      </c>
    </row>
    <row r="1015" spans="1:12" ht="15">
      <c r="A1015" s="112" t="s">
        <v>3239</v>
      </c>
      <c r="B1015" s="112" t="s">
        <v>3240</v>
      </c>
      <c r="C1015" s="112">
        <v>2</v>
      </c>
      <c r="D1015" s="114">
        <v>0.0004118981407517484</v>
      </c>
      <c r="E1015" s="114">
        <v>3.774078800752519</v>
      </c>
      <c r="F1015" s="112" t="s">
        <v>3314</v>
      </c>
      <c r="G1015" s="112" t="b">
        <v>0</v>
      </c>
      <c r="H1015" s="112" t="b">
        <v>0</v>
      </c>
      <c r="I1015" s="112" t="b">
        <v>0</v>
      </c>
      <c r="J1015" s="112" t="b">
        <v>0</v>
      </c>
      <c r="K1015" s="112" t="b">
        <v>0</v>
      </c>
      <c r="L1015" s="112" t="b">
        <v>0</v>
      </c>
    </row>
    <row r="1016" spans="1:12" ht="15">
      <c r="A1016" s="112" t="s">
        <v>2148</v>
      </c>
      <c r="B1016" s="112" t="s">
        <v>3241</v>
      </c>
      <c r="C1016" s="112">
        <v>2</v>
      </c>
      <c r="D1016" s="114">
        <v>0.00036261359660243913</v>
      </c>
      <c r="E1016" s="114">
        <v>2.6601354484456823</v>
      </c>
      <c r="F1016" s="112" t="s">
        <v>3314</v>
      </c>
      <c r="G1016" s="112" t="b">
        <v>0</v>
      </c>
      <c r="H1016" s="112" t="b">
        <v>0</v>
      </c>
      <c r="I1016" s="112" t="b">
        <v>0</v>
      </c>
      <c r="J1016" s="112" t="b">
        <v>0</v>
      </c>
      <c r="K1016" s="112" t="b">
        <v>0</v>
      </c>
      <c r="L1016" s="112" t="b">
        <v>0</v>
      </c>
    </row>
    <row r="1017" spans="1:12" ht="15">
      <c r="A1017" s="112" t="s">
        <v>2082</v>
      </c>
      <c r="B1017" s="112" t="s">
        <v>2240</v>
      </c>
      <c r="C1017" s="112">
        <v>2</v>
      </c>
      <c r="D1017" s="114">
        <v>0.00036261359660243913</v>
      </c>
      <c r="E1017" s="114">
        <v>1.2076413085574487</v>
      </c>
      <c r="F1017" s="112" t="s">
        <v>3314</v>
      </c>
      <c r="G1017" s="112" t="b">
        <v>0</v>
      </c>
      <c r="H1017" s="112" t="b">
        <v>0</v>
      </c>
      <c r="I1017" s="112" t="b">
        <v>0</v>
      </c>
      <c r="J1017" s="112" t="b">
        <v>0</v>
      </c>
      <c r="K1017" s="112" t="b">
        <v>0</v>
      </c>
      <c r="L1017" s="112" t="b">
        <v>0</v>
      </c>
    </row>
    <row r="1018" spans="1:12" ht="15">
      <c r="A1018" s="112" t="s">
        <v>2511</v>
      </c>
      <c r="B1018" s="112" t="s">
        <v>2240</v>
      </c>
      <c r="C1018" s="112">
        <v>2</v>
      </c>
      <c r="D1018" s="114">
        <v>0.00036261359660243913</v>
      </c>
      <c r="E1018" s="114">
        <v>2.732686115594294</v>
      </c>
      <c r="F1018" s="112" t="s">
        <v>3314</v>
      </c>
      <c r="G1018" s="112" t="b">
        <v>0</v>
      </c>
      <c r="H1018" s="112" t="b">
        <v>0</v>
      </c>
      <c r="I1018" s="112" t="b">
        <v>0</v>
      </c>
      <c r="J1018" s="112" t="b">
        <v>0</v>
      </c>
      <c r="K1018" s="112" t="b">
        <v>0</v>
      </c>
      <c r="L1018" s="112" t="b">
        <v>0</v>
      </c>
    </row>
    <row r="1019" spans="1:12" ht="15">
      <c r="A1019" s="112" t="s">
        <v>2119</v>
      </c>
      <c r="B1019" s="112" t="s">
        <v>2598</v>
      </c>
      <c r="C1019" s="112">
        <v>2</v>
      </c>
      <c r="D1019" s="114">
        <v>0.00036261359660243913</v>
      </c>
      <c r="E1019" s="114">
        <v>2.1406103451729326</v>
      </c>
      <c r="F1019" s="112" t="s">
        <v>3314</v>
      </c>
      <c r="G1019" s="112" t="b">
        <v>0</v>
      </c>
      <c r="H1019" s="112" t="b">
        <v>0</v>
      </c>
      <c r="I1019" s="112" t="b">
        <v>0</v>
      </c>
      <c r="J1019" s="112" t="b">
        <v>0</v>
      </c>
      <c r="K1019" s="112" t="b">
        <v>0</v>
      </c>
      <c r="L1019" s="112" t="b">
        <v>0</v>
      </c>
    </row>
    <row r="1020" spans="1:12" ht="15">
      <c r="A1020" s="112" t="s">
        <v>2598</v>
      </c>
      <c r="B1020" s="112" t="s">
        <v>3244</v>
      </c>
      <c r="C1020" s="112">
        <v>2</v>
      </c>
      <c r="D1020" s="114">
        <v>0.00036261359660243913</v>
      </c>
      <c r="E1020" s="114">
        <v>3.4730488050885375</v>
      </c>
      <c r="F1020" s="112" t="s">
        <v>3314</v>
      </c>
      <c r="G1020" s="112" t="b">
        <v>0</v>
      </c>
      <c r="H1020" s="112" t="b">
        <v>0</v>
      </c>
      <c r="I1020" s="112" t="b">
        <v>0</v>
      </c>
      <c r="J1020" s="112" t="b">
        <v>0</v>
      </c>
      <c r="K1020" s="112" t="b">
        <v>0</v>
      </c>
      <c r="L1020" s="112" t="b">
        <v>0</v>
      </c>
    </row>
    <row r="1021" spans="1:12" ht="15">
      <c r="A1021" s="112" t="s">
        <v>3244</v>
      </c>
      <c r="B1021" s="112" t="s">
        <v>3245</v>
      </c>
      <c r="C1021" s="112">
        <v>2</v>
      </c>
      <c r="D1021" s="114">
        <v>0.00036261359660243913</v>
      </c>
      <c r="E1021" s="114">
        <v>3.774078800752519</v>
      </c>
      <c r="F1021" s="112" t="s">
        <v>3314</v>
      </c>
      <c r="G1021" s="112" t="b">
        <v>0</v>
      </c>
      <c r="H1021" s="112" t="b">
        <v>0</v>
      </c>
      <c r="I1021" s="112" t="b">
        <v>0</v>
      </c>
      <c r="J1021" s="112" t="b">
        <v>0</v>
      </c>
      <c r="K1021" s="112" t="b">
        <v>0</v>
      </c>
      <c r="L1021" s="112" t="b">
        <v>0</v>
      </c>
    </row>
    <row r="1022" spans="1:12" ht="15">
      <c r="A1022" s="112" t="s">
        <v>2498</v>
      </c>
      <c r="B1022" s="112" t="s">
        <v>2499</v>
      </c>
      <c r="C1022" s="112">
        <v>2</v>
      </c>
      <c r="D1022" s="114">
        <v>0.0004118981407517484</v>
      </c>
      <c r="E1022" s="114">
        <v>2.978198783408444</v>
      </c>
      <c r="F1022" s="112" t="s">
        <v>3314</v>
      </c>
      <c r="G1022" s="112" t="b">
        <v>0</v>
      </c>
      <c r="H1022" s="112" t="b">
        <v>0</v>
      </c>
      <c r="I1022" s="112" t="b">
        <v>0</v>
      </c>
      <c r="J1022" s="112" t="b">
        <v>0</v>
      </c>
      <c r="K1022" s="112" t="b">
        <v>0</v>
      </c>
      <c r="L1022" s="112" t="b">
        <v>0</v>
      </c>
    </row>
    <row r="1023" spans="1:12" ht="15">
      <c r="A1023" s="112" t="s">
        <v>2264</v>
      </c>
      <c r="B1023" s="112" t="s">
        <v>2803</v>
      </c>
      <c r="C1023" s="112">
        <v>2</v>
      </c>
      <c r="D1023" s="114">
        <v>0.00036261359660243913</v>
      </c>
      <c r="E1023" s="114">
        <v>2.8990175373608187</v>
      </c>
      <c r="F1023" s="112" t="s">
        <v>3314</v>
      </c>
      <c r="G1023" s="112" t="b">
        <v>0</v>
      </c>
      <c r="H1023" s="112" t="b">
        <v>0</v>
      </c>
      <c r="I1023" s="112" t="b">
        <v>0</v>
      </c>
      <c r="J1023" s="112" t="b">
        <v>0</v>
      </c>
      <c r="K1023" s="112" t="b">
        <v>0</v>
      </c>
      <c r="L1023" s="112" t="b">
        <v>0</v>
      </c>
    </row>
    <row r="1024" spans="1:12" ht="15">
      <c r="A1024" s="112" t="s">
        <v>2608</v>
      </c>
      <c r="B1024" s="112" t="s">
        <v>3246</v>
      </c>
      <c r="C1024" s="112">
        <v>2</v>
      </c>
      <c r="D1024" s="114">
        <v>0.0004118981407517484</v>
      </c>
      <c r="E1024" s="114">
        <v>3.4730488050885375</v>
      </c>
      <c r="F1024" s="112" t="s">
        <v>3314</v>
      </c>
      <c r="G1024" s="112" t="b">
        <v>0</v>
      </c>
      <c r="H1024" s="112" t="b">
        <v>0</v>
      </c>
      <c r="I1024" s="112" t="b">
        <v>0</v>
      </c>
      <c r="J1024" s="112" t="b">
        <v>0</v>
      </c>
      <c r="K1024" s="112" t="b">
        <v>0</v>
      </c>
      <c r="L1024" s="112" t="b">
        <v>0</v>
      </c>
    </row>
    <row r="1025" spans="1:12" ht="15">
      <c r="A1025" s="112" t="s">
        <v>2245</v>
      </c>
      <c r="B1025" s="112" t="s">
        <v>2804</v>
      </c>
      <c r="C1025" s="112">
        <v>2</v>
      </c>
      <c r="D1025" s="114">
        <v>0.0004118981407517484</v>
      </c>
      <c r="E1025" s="114">
        <v>2.8990175373608187</v>
      </c>
      <c r="F1025" s="112" t="s">
        <v>3314</v>
      </c>
      <c r="G1025" s="112" t="b">
        <v>0</v>
      </c>
      <c r="H1025" s="112" t="b">
        <v>0</v>
      </c>
      <c r="I1025" s="112" t="b">
        <v>0</v>
      </c>
      <c r="J1025" s="112" t="b">
        <v>0</v>
      </c>
      <c r="K1025" s="112" t="b">
        <v>0</v>
      </c>
      <c r="L1025" s="112" t="b">
        <v>0</v>
      </c>
    </row>
    <row r="1026" spans="1:12" ht="15">
      <c r="A1026" s="112" t="s">
        <v>2323</v>
      </c>
      <c r="B1026" s="112" t="s">
        <v>3251</v>
      </c>
      <c r="C1026" s="112">
        <v>2</v>
      </c>
      <c r="D1026" s="114">
        <v>0.00036261359660243913</v>
      </c>
      <c r="E1026" s="114">
        <v>3.1720188094245563</v>
      </c>
      <c r="F1026" s="112" t="s">
        <v>3314</v>
      </c>
      <c r="G1026" s="112" t="b">
        <v>0</v>
      </c>
      <c r="H1026" s="112" t="b">
        <v>0</v>
      </c>
      <c r="I1026" s="112" t="b">
        <v>0</v>
      </c>
      <c r="J1026" s="112" t="b">
        <v>0</v>
      </c>
      <c r="K1026" s="112" t="b">
        <v>0</v>
      </c>
      <c r="L1026" s="112" t="b">
        <v>0</v>
      </c>
    </row>
    <row r="1027" spans="1:12" ht="15">
      <c r="A1027" s="112" t="s">
        <v>2133</v>
      </c>
      <c r="B1027" s="112" t="s">
        <v>2133</v>
      </c>
      <c r="C1027" s="112">
        <v>2</v>
      </c>
      <c r="D1027" s="114">
        <v>0.00036261359660243913</v>
      </c>
      <c r="E1027" s="114">
        <v>1.313180957995971</v>
      </c>
      <c r="F1027" s="112" t="s">
        <v>3314</v>
      </c>
      <c r="G1027" s="112" t="b">
        <v>0</v>
      </c>
      <c r="H1027" s="112" t="b">
        <v>0</v>
      </c>
      <c r="I1027" s="112" t="b">
        <v>0</v>
      </c>
      <c r="J1027" s="112" t="b">
        <v>0</v>
      </c>
      <c r="K1027" s="112" t="b">
        <v>0</v>
      </c>
      <c r="L1027" s="112" t="b">
        <v>0</v>
      </c>
    </row>
    <row r="1028" spans="1:12" ht="15">
      <c r="A1028" s="112" t="s">
        <v>3253</v>
      </c>
      <c r="B1028" s="112" t="s">
        <v>3254</v>
      </c>
      <c r="C1028" s="112">
        <v>2</v>
      </c>
      <c r="D1028" s="114">
        <v>0.0004118981407517484</v>
      </c>
      <c r="E1028" s="114">
        <v>3.774078800752519</v>
      </c>
      <c r="F1028" s="112" t="s">
        <v>3314</v>
      </c>
      <c r="G1028" s="112" t="b">
        <v>0</v>
      </c>
      <c r="H1028" s="112" t="b">
        <v>0</v>
      </c>
      <c r="I1028" s="112" t="b">
        <v>0</v>
      </c>
      <c r="J1028" s="112" t="b">
        <v>0</v>
      </c>
      <c r="K1028" s="112" t="b">
        <v>0</v>
      </c>
      <c r="L1028" s="112" t="b">
        <v>0</v>
      </c>
    </row>
    <row r="1029" spans="1:12" ht="15">
      <c r="A1029" s="112" t="s">
        <v>3255</v>
      </c>
      <c r="B1029" s="112" t="s">
        <v>2264</v>
      </c>
      <c r="C1029" s="112">
        <v>2</v>
      </c>
      <c r="D1029" s="114">
        <v>0.00036261359660243913</v>
      </c>
      <c r="E1029" s="114">
        <v>3.0751087964165</v>
      </c>
      <c r="F1029" s="112" t="s">
        <v>3314</v>
      </c>
      <c r="G1029" s="112" t="b">
        <v>0</v>
      </c>
      <c r="H1029" s="112" t="b">
        <v>1</v>
      </c>
      <c r="I1029" s="112" t="b">
        <v>0</v>
      </c>
      <c r="J1029" s="112" t="b">
        <v>0</v>
      </c>
      <c r="K1029" s="112" t="b">
        <v>0</v>
      </c>
      <c r="L1029" s="112" t="b">
        <v>0</v>
      </c>
    </row>
    <row r="1030" spans="1:12" ht="15">
      <c r="A1030" s="112" t="s">
        <v>2240</v>
      </c>
      <c r="B1030" s="112" t="s">
        <v>2082</v>
      </c>
      <c r="C1030" s="112">
        <v>2</v>
      </c>
      <c r="D1030" s="114">
        <v>0.00036261359660243913</v>
      </c>
      <c r="E1030" s="114">
        <v>1.2343755618046932</v>
      </c>
      <c r="F1030" s="112" t="s">
        <v>3314</v>
      </c>
      <c r="G1030" s="112" t="b">
        <v>0</v>
      </c>
      <c r="H1030" s="112" t="b">
        <v>0</v>
      </c>
      <c r="I1030" s="112" t="b">
        <v>0</v>
      </c>
      <c r="J1030" s="112" t="b">
        <v>0</v>
      </c>
      <c r="K1030" s="112" t="b">
        <v>0</v>
      </c>
      <c r="L1030" s="112" t="b">
        <v>0</v>
      </c>
    </row>
    <row r="1031" spans="1:12" ht="15">
      <c r="A1031" s="112" t="s">
        <v>2549</v>
      </c>
      <c r="B1031" s="112" t="s">
        <v>2082</v>
      </c>
      <c r="C1031" s="112">
        <v>2</v>
      </c>
      <c r="D1031" s="114">
        <v>0.00036261359660243913</v>
      </c>
      <c r="E1031" s="114">
        <v>1.974738251298937</v>
      </c>
      <c r="F1031" s="112" t="s">
        <v>3314</v>
      </c>
      <c r="G1031" s="112" t="b">
        <v>0</v>
      </c>
      <c r="H1031" s="112" t="b">
        <v>0</v>
      </c>
      <c r="I1031" s="112" t="b">
        <v>0</v>
      </c>
      <c r="J1031" s="112" t="b">
        <v>0</v>
      </c>
      <c r="K1031" s="112" t="b">
        <v>0</v>
      </c>
      <c r="L1031" s="112" t="b">
        <v>0</v>
      </c>
    </row>
    <row r="1032" spans="1:12" ht="15">
      <c r="A1032" s="112" t="s">
        <v>2617</v>
      </c>
      <c r="B1032" s="112" t="s">
        <v>2360</v>
      </c>
      <c r="C1032" s="112">
        <v>2</v>
      </c>
      <c r="D1032" s="114">
        <v>0.0004118981407517484</v>
      </c>
      <c r="E1032" s="114">
        <v>2.928980760738262</v>
      </c>
      <c r="F1032" s="112" t="s">
        <v>3314</v>
      </c>
      <c r="G1032" s="112" t="b">
        <v>0</v>
      </c>
      <c r="H1032" s="112" t="b">
        <v>0</v>
      </c>
      <c r="I1032" s="112" t="b">
        <v>0</v>
      </c>
      <c r="J1032" s="112" t="b">
        <v>0</v>
      </c>
      <c r="K1032" s="112" t="b">
        <v>0</v>
      </c>
      <c r="L1032" s="112" t="b">
        <v>0</v>
      </c>
    </row>
    <row r="1033" spans="1:12" ht="15">
      <c r="A1033" s="112" t="s">
        <v>2338</v>
      </c>
      <c r="B1033" s="112" t="s">
        <v>2303</v>
      </c>
      <c r="C1033" s="112">
        <v>2</v>
      </c>
      <c r="D1033" s="114">
        <v>0.00036261359660243913</v>
      </c>
      <c r="E1033" s="114">
        <v>2.5188062956492128</v>
      </c>
      <c r="F1033" s="112" t="s">
        <v>3314</v>
      </c>
      <c r="G1033" s="112" t="b">
        <v>0</v>
      </c>
      <c r="H1033" s="112" t="b">
        <v>1</v>
      </c>
      <c r="I1033" s="112" t="b">
        <v>0</v>
      </c>
      <c r="J1033" s="112" t="b">
        <v>0</v>
      </c>
      <c r="K1033" s="112" t="b">
        <v>0</v>
      </c>
      <c r="L1033" s="112" t="b">
        <v>0</v>
      </c>
    </row>
    <row r="1034" spans="1:12" ht="15">
      <c r="A1034" s="112" t="s">
        <v>2339</v>
      </c>
      <c r="B1034" s="112" t="s">
        <v>2269</v>
      </c>
      <c r="C1034" s="112">
        <v>2</v>
      </c>
      <c r="D1034" s="114">
        <v>0.00036261359660243913</v>
      </c>
      <c r="E1034" s="114">
        <v>2.4730488050885375</v>
      </c>
      <c r="F1034" s="112" t="s">
        <v>3314</v>
      </c>
      <c r="G1034" s="112" t="b">
        <v>0</v>
      </c>
      <c r="H1034" s="112" t="b">
        <v>0</v>
      </c>
      <c r="I1034" s="112" t="b">
        <v>0</v>
      </c>
      <c r="J1034" s="112" t="b">
        <v>0</v>
      </c>
      <c r="K1034" s="112" t="b">
        <v>0</v>
      </c>
      <c r="L1034" s="112" t="b">
        <v>0</v>
      </c>
    </row>
    <row r="1035" spans="1:12" ht="15">
      <c r="A1035" s="112" t="s">
        <v>2274</v>
      </c>
      <c r="B1035" s="112" t="s">
        <v>2106</v>
      </c>
      <c r="C1035" s="112">
        <v>2</v>
      </c>
      <c r="D1035" s="114">
        <v>0.00036261359660243913</v>
      </c>
      <c r="E1035" s="114">
        <v>1.6771687877444625</v>
      </c>
      <c r="F1035" s="112" t="s">
        <v>3314</v>
      </c>
      <c r="G1035" s="112" t="b">
        <v>1</v>
      </c>
      <c r="H1035" s="112" t="b">
        <v>0</v>
      </c>
      <c r="I1035" s="112" t="b">
        <v>0</v>
      </c>
      <c r="J1035" s="112" t="b">
        <v>0</v>
      </c>
      <c r="K1035" s="112" t="b">
        <v>0</v>
      </c>
      <c r="L1035" s="112" t="b">
        <v>0</v>
      </c>
    </row>
    <row r="1036" spans="1:12" ht="15">
      <c r="A1036" s="112" t="s">
        <v>2809</v>
      </c>
      <c r="B1036" s="112" t="s">
        <v>3262</v>
      </c>
      <c r="C1036" s="112">
        <v>2</v>
      </c>
      <c r="D1036" s="114">
        <v>0.00036261359660243913</v>
      </c>
      <c r="E1036" s="114">
        <v>3.5979875416968374</v>
      </c>
      <c r="F1036" s="112" t="s">
        <v>3314</v>
      </c>
      <c r="G1036" s="112" t="b">
        <v>0</v>
      </c>
      <c r="H1036" s="112" t="b">
        <v>0</v>
      </c>
      <c r="I1036" s="112" t="b">
        <v>0</v>
      </c>
      <c r="J1036" s="112" t="b">
        <v>0</v>
      </c>
      <c r="K1036" s="112" t="b">
        <v>0</v>
      </c>
      <c r="L1036" s="112" t="b">
        <v>0</v>
      </c>
    </row>
    <row r="1037" spans="1:12" ht="15">
      <c r="A1037" s="112" t="s">
        <v>2368</v>
      </c>
      <c r="B1037" s="112" t="s">
        <v>3263</v>
      </c>
      <c r="C1037" s="112">
        <v>2</v>
      </c>
      <c r="D1037" s="114">
        <v>0.00036261359660243913</v>
      </c>
      <c r="E1037" s="114">
        <v>3.230010756402243</v>
      </c>
      <c r="F1037" s="112" t="s">
        <v>3314</v>
      </c>
      <c r="G1037" s="112" t="b">
        <v>0</v>
      </c>
      <c r="H1037" s="112" t="b">
        <v>0</v>
      </c>
      <c r="I1037" s="112" t="b">
        <v>0</v>
      </c>
      <c r="J1037" s="112" t="b">
        <v>0</v>
      </c>
      <c r="K1037" s="112" t="b">
        <v>0</v>
      </c>
      <c r="L1037" s="112" t="b">
        <v>0</v>
      </c>
    </row>
    <row r="1038" spans="1:12" ht="15">
      <c r="A1038" s="112" t="s">
        <v>2185</v>
      </c>
      <c r="B1038" s="112" t="s">
        <v>2601</v>
      </c>
      <c r="C1038" s="112">
        <v>2</v>
      </c>
      <c r="D1038" s="114">
        <v>0.0004118981407517484</v>
      </c>
      <c r="E1038" s="114">
        <v>2.569958818096594</v>
      </c>
      <c r="F1038" s="112" t="s">
        <v>3314</v>
      </c>
      <c r="G1038" s="112" t="b">
        <v>0</v>
      </c>
      <c r="H1038" s="112" t="b">
        <v>0</v>
      </c>
      <c r="I1038" s="112" t="b">
        <v>0</v>
      </c>
      <c r="J1038" s="112" t="b">
        <v>0</v>
      </c>
      <c r="K1038" s="112" t="b">
        <v>0</v>
      </c>
      <c r="L1038" s="112" t="b">
        <v>0</v>
      </c>
    </row>
    <row r="1039" spans="1:12" ht="15">
      <c r="A1039" s="112" t="s">
        <v>2301</v>
      </c>
      <c r="B1039" s="112" t="s">
        <v>2185</v>
      </c>
      <c r="C1039" s="112">
        <v>2</v>
      </c>
      <c r="D1039" s="114">
        <v>0.0004118981407517484</v>
      </c>
      <c r="E1039" s="114">
        <v>2.242599883710264</v>
      </c>
      <c r="F1039" s="112" t="s">
        <v>3314</v>
      </c>
      <c r="G1039" s="112" t="b">
        <v>0</v>
      </c>
      <c r="H1039" s="112" t="b">
        <v>0</v>
      </c>
      <c r="I1039" s="112" t="b">
        <v>0</v>
      </c>
      <c r="J1039" s="112" t="b">
        <v>0</v>
      </c>
      <c r="K1039" s="112" t="b">
        <v>0</v>
      </c>
      <c r="L1039" s="112" t="b">
        <v>0</v>
      </c>
    </row>
    <row r="1040" spans="1:12" ht="15">
      <c r="A1040" s="112" t="s">
        <v>2813</v>
      </c>
      <c r="B1040" s="112" t="s">
        <v>2554</v>
      </c>
      <c r="C1040" s="112">
        <v>2</v>
      </c>
      <c r="D1040" s="114">
        <v>0.00036261359660243913</v>
      </c>
      <c r="E1040" s="114">
        <v>3.2969575460328566</v>
      </c>
      <c r="F1040" s="112" t="s">
        <v>3314</v>
      </c>
      <c r="G1040" s="112" t="b">
        <v>0</v>
      </c>
      <c r="H1040" s="112" t="b">
        <v>0</v>
      </c>
      <c r="I1040" s="112" t="b">
        <v>0</v>
      </c>
      <c r="J1040" s="112" t="b">
        <v>0</v>
      </c>
      <c r="K1040" s="112" t="b">
        <v>0</v>
      </c>
      <c r="L1040" s="112" t="b">
        <v>0</v>
      </c>
    </row>
    <row r="1041" spans="1:12" ht="15">
      <c r="A1041" s="112" t="s">
        <v>2554</v>
      </c>
      <c r="B1041" s="112" t="s">
        <v>2140</v>
      </c>
      <c r="C1041" s="112">
        <v>2</v>
      </c>
      <c r="D1041" s="114">
        <v>0.00036261359660243913</v>
      </c>
      <c r="E1041" s="114">
        <v>2.4218962826411565</v>
      </c>
      <c r="F1041" s="112" t="s">
        <v>3314</v>
      </c>
      <c r="G1041" s="112" t="b">
        <v>0</v>
      </c>
      <c r="H1041" s="112" t="b">
        <v>0</v>
      </c>
      <c r="I1041" s="112" t="b">
        <v>0</v>
      </c>
      <c r="J1041" s="112" t="b">
        <v>0</v>
      </c>
      <c r="K1041" s="112" t="b">
        <v>0</v>
      </c>
      <c r="L1041" s="112" t="b">
        <v>0</v>
      </c>
    </row>
    <row r="1042" spans="1:12" ht="15">
      <c r="A1042" s="112" t="s">
        <v>2371</v>
      </c>
      <c r="B1042" s="112" t="s">
        <v>2259</v>
      </c>
      <c r="C1042" s="112">
        <v>2</v>
      </c>
      <c r="D1042" s="114">
        <v>0.00036261359660243913</v>
      </c>
      <c r="E1042" s="114">
        <v>2.5310407520662244</v>
      </c>
      <c r="F1042" s="112" t="s">
        <v>3314</v>
      </c>
      <c r="G1042" s="112" t="b">
        <v>0</v>
      </c>
      <c r="H1042" s="112" t="b">
        <v>1</v>
      </c>
      <c r="I1042" s="112" t="b">
        <v>0</v>
      </c>
      <c r="J1042" s="112" t="b">
        <v>0</v>
      </c>
      <c r="K1042" s="112" t="b">
        <v>0</v>
      </c>
      <c r="L1042" s="112" t="b">
        <v>0</v>
      </c>
    </row>
    <row r="1043" spans="1:12" ht="15">
      <c r="A1043" s="112" t="s">
        <v>2378</v>
      </c>
      <c r="B1043" s="112" t="s">
        <v>2222</v>
      </c>
      <c r="C1043" s="112">
        <v>2</v>
      </c>
      <c r="D1043" s="114">
        <v>0.00036261359660243913</v>
      </c>
      <c r="E1043" s="114">
        <v>2.4170973997593874</v>
      </c>
      <c r="F1043" s="112" t="s">
        <v>3314</v>
      </c>
      <c r="G1043" s="112" t="b">
        <v>0</v>
      </c>
      <c r="H1043" s="112" t="b">
        <v>0</v>
      </c>
      <c r="I1043" s="112" t="b">
        <v>0</v>
      </c>
      <c r="J1043" s="112" t="b">
        <v>0</v>
      </c>
      <c r="K1043" s="112" t="b">
        <v>0</v>
      </c>
      <c r="L1043" s="112" t="b">
        <v>0</v>
      </c>
    </row>
    <row r="1044" spans="1:12" ht="15">
      <c r="A1044" s="112" t="s">
        <v>2815</v>
      </c>
      <c r="B1044" s="112" t="s">
        <v>2816</v>
      </c>
      <c r="C1044" s="112">
        <v>2</v>
      </c>
      <c r="D1044" s="114">
        <v>0.0004118981407517484</v>
      </c>
      <c r="E1044" s="114">
        <v>3.4218962826411565</v>
      </c>
      <c r="F1044" s="112" t="s">
        <v>3314</v>
      </c>
      <c r="G1044" s="112" t="b">
        <v>0</v>
      </c>
      <c r="H1044" s="112" t="b">
        <v>0</v>
      </c>
      <c r="I1044" s="112" t="b">
        <v>0</v>
      </c>
      <c r="J1044" s="112" t="b">
        <v>0</v>
      </c>
      <c r="K1044" s="112" t="b">
        <v>0</v>
      </c>
      <c r="L1044" s="112" t="b">
        <v>0</v>
      </c>
    </row>
    <row r="1045" spans="1:12" ht="15">
      <c r="A1045" s="112" t="s">
        <v>2814</v>
      </c>
      <c r="B1045" s="112" t="s">
        <v>2429</v>
      </c>
      <c r="C1045" s="112">
        <v>2</v>
      </c>
      <c r="D1045" s="114">
        <v>0.0004118981407517484</v>
      </c>
      <c r="E1045" s="114">
        <v>3.1208662869771753</v>
      </c>
      <c r="F1045" s="112" t="s">
        <v>3314</v>
      </c>
      <c r="G1045" s="112" t="b">
        <v>0</v>
      </c>
      <c r="H1045" s="112" t="b">
        <v>0</v>
      </c>
      <c r="I1045" s="112" t="b">
        <v>0</v>
      </c>
      <c r="J1045" s="112" t="b">
        <v>0</v>
      </c>
      <c r="K1045" s="112" t="b">
        <v>0</v>
      </c>
      <c r="L1045" s="112" t="b">
        <v>0</v>
      </c>
    </row>
    <row r="1046" spans="1:12" ht="15">
      <c r="A1046" s="112" t="s">
        <v>2821</v>
      </c>
      <c r="B1046" s="112" t="s">
        <v>2468</v>
      </c>
      <c r="C1046" s="112">
        <v>2</v>
      </c>
      <c r="D1046" s="114">
        <v>0.0004118981407517484</v>
      </c>
      <c r="E1046" s="114">
        <v>3.2000475330248</v>
      </c>
      <c r="F1046" s="112" t="s">
        <v>3314</v>
      </c>
      <c r="G1046" s="112" t="b">
        <v>0</v>
      </c>
      <c r="H1046" s="112" t="b">
        <v>0</v>
      </c>
      <c r="I1046" s="112" t="b">
        <v>0</v>
      </c>
      <c r="J1046" s="112" t="b">
        <v>0</v>
      </c>
      <c r="K1046" s="112" t="b">
        <v>1</v>
      </c>
      <c r="L1046" s="112" t="b">
        <v>0</v>
      </c>
    </row>
    <row r="1047" spans="1:12" ht="15">
      <c r="A1047" s="112" t="s">
        <v>2133</v>
      </c>
      <c r="B1047" s="112" t="s">
        <v>3274</v>
      </c>
      <c r="C1047" s="112">
        <v>2</v>
      </c>
      <c r="D1047" s="114">
        <v>0.00036261359660243913</v>
      </c>
      <c r="E1047" s="114">
        <v>2.543629879374245</v>
      </c>
      <c r="F1047" s="112" t="s">
        <v>3314</v>
      </c>
      <c r="G1047" s="112" t="b">
        <v>0</v>
      </c>
      <c r="H1047" s="112" t="b">
        <v>0</v>
      </c>
      <c r="I1047" s="112" t="b">
        <v>0</v>
      </c>
      <c r="J1047" s="112" t="b">
        <v>0</v>
      </c>
      <c r="K1047" s="112" t="b">
        <v>0</v>
      </c>
      <c r="L1047" s="112" t="b">
        <v>0</v>
      </c>
    </row>
    <row r="1048" spans="1:12" ht="15">
      <c r="A1048" s="112" t="s">
        <v>3274</v>
      </c>
      <c r="B1048" s="112" t="s">
        <v>3275</v>
      </c>
      <c r="C1048" s="112">
        <v>2</v>
      </c>
      <c r="D1048" s="114">
        <v>0.00036261359660243913</v>
      </c>
      <c r="E1048" s="114">
        <v>3.774078800752519</v>
      </c>
      <c r="F1048" s="112" t="s">
        <v>3314</v>
      </c>
      <c r="G1048" s="112" t="b">
        <v>0</v>
      </c>
      <c r="H1048" s="112" t="b">
        <v>0</v>
      </c>
      <c r="I1048" s="112" t="b">
        <v>0</v>
      </c>
      <c r="J1048" s="112" t="b">
        <v>0</v>
      </c>
      <c r="K1048" s="112" t="b">
        <v>0</v>
      </c>
      <c r="L1048" s="112" t="b">
        <v>0</v>
      </c>
    </row>
    <row r="1049" spans="1:12" ht="15">
      <c r="A1049" s="112" t="s">
        <v>3276</v>
      </c>
      <c r="B1049" s="112" t="s">
        <v>3277</v>
      </c>
      <c r="C1049" s="112">
        <v>2</v>
      </c>
      <c r="D1049" s="114">
        <v>0.00036261359660243913</v>
      </c>
      <c r="E1049" s="114">
        <v>3.774078800752519</v>
      </c>
      <c r="F1049" s="112" t="s">
        <v>3314</v>
      </c>
      <c r="G1049" s="112" t="b">
        <v>0</v>
      </c>
      <c r="H1049" s="112" t="b">
        <v>0</v>
      </c>
      <c r="I1049" s="112" t="b">
        <v>0</v>
      </c>
      <c r="J1049" s="112" t="b">
        <v>0</v>
      </c>
      <c r="K1049" s="112" t="b">
        <v>0</v>
      </c>
      <c r="L1049" s="112" t="b">
        <v>0</v>
      </c>
    </row>
    <row r="1050" spans="1:12" ht="15">
      <c r="A1050" s="112" t="s">
        <v>2377</v>
      </c>
      <c r="B1050" s="112" t="s">
        <v>2358</v>
      </c>
      <c r="C1050" s="112">
        <v>2</v>
      </c>
      <c r="D1050" s="114">
        <v>0.00036261359660243913</v>
      </c>
      <c r="E1050" s="114">
        <v>2.6859427120519674</v>
      </c>
      <c r="F1050" s="112" t="s">
        <v>3314</v>
      </c>
      <c r="G1050" s="112" t="b">
        <v>0</v>
      </c>
      <c r="H1050" s="112" t="b">
        <v>0</v>
      </c>
      <c r="I1050" s="112" t="b">
        <v>0</v>
      </c>
      <c r="J1050" s="112" t="b">
        <v>0</v>
      </c>
      <c r="K1050" s="112" t="b">
        <v>0</v>
      </c>
      <c r="L1050" s="112" t="b">
        <v>0</v>
      </c>
    </row>
    <row r="1051" spans="1:12" ht="15">
      <c r="A1051" s="112" t="s">
        <v>3283</v>
      </c>
      <c r="B1051" s="112" t="s">
        <v>2140</v>
      </c>
      <c r="C1051" s="112">
        <v>2</v>
      </c>
      <c r="D1051" s="114">
        <v>0.0004118981407517484</v>
      </c>
      <c r="E1051" s="114">
        <v>2.597987541696838</v>
      </c>
      <c r="F1051" s="112" t="s">
        <v>3314</v>
      </c>
      <c r="G1051" s="112" t="b">
        <v>0</v>
      </c>
      <c r="H1051" s="112" t="b">
        <v>0</v>
      </c>
      <c r="I1051" s="112" t="b">
        <v>0</v>
      </c>
      <c r="J1051" s="112" t="b">
        <v>0</v>
      </c>
      <c r="K1051" s="112" t="b">
        <v>0</v>
      </c>
      <c r="L1051" s="112" t="b">
        <v>0</v>
      </c>
    </row>
    <row r="1052" spans="1:12" ht="15">
      <c r="A1052" s="112" t="s">
        <v>2380</v>
      </c>
      <c r="B1052" s="112" t="s">
        <v>2380</v>
      </c>
      <c r="C1052" s="112">
        <v>2</v>
      </c>
      <c r="D1052" s="114">
        <v>0.0004118981407517484</v>
      </c>
      <c r="E1052" s="114">
        <v>2.6859427120519674</v>
      </c>
      <c r="F1052" s="112" t="s">
        <v>3314</v>
      </c>
      <c r="G1052" s="112" t="b">
        <v>0</v>
      </c>
      <c r="H1052" s="112" t="b">
        <v>1</v>
      </c>
      <c r="I1052" s="112" t="b">
        <v>0</v>
      </c>
      <c r="J1052" s="112" t="b">
        <v>0</v>
      </c>
      <c r="K1052" s="112" t="b">
        <v>1</v>
      </c>
      <c r="L1052" s="112" t="b">
        <v>0</v>
      </c>
    </row>
    <row r="1053" spans="1:12" ht="15">
      <c r="A1053" s="112" t="s">
        <v>3293</v>
      </c>
      <c r="B1053" s="112" t="s">
        <v>2082</v>
      </c>
      <c r="C1053" s="112">
        <v>2</v>
      </c>
      <c r="D1053" s="114">
        <v>0.0004118981407517484</v>
      </c>
      <c r="E1053" s="114">
        <v>1.974738251298937</v>
      </c>
      <c r="F1053" s="112" t="s">
        <v>3314</v>
      </c>
      <c r="G1053" s="112" t="b">
        <v>0</v>
      </c>
      <c r="H1053" s="112" t="b">
        <v>0</v>
      </c>
      <c r="I1053" s="112" t="b">
        <v>0</v>
      </c>
      <c r="J1053" s="112" t="b">
        <v>0</v>
      </c>
      <c r="K1053" s="112" t="b">
        <v>0</v>
      </c>
      <c r="L1053" s="112" t="b">
        <v>0</v>
      </c>
    </row>
    <row r="1054" spans="1:12" ht="15">
      <c r="A1054" s="112" t="s">
        <v>3295</v>
      </c>
      <c r="B1054" s="112" t="s">
        <v>3296</v>
      </c>
      <c r="C1054" s="112">
        <v>2</v>
      </c>
      <c r="D1054" s="114">
        <v>0.0004118981407517484</v>
      </c>
      <c r="E1054" s="114">
        <v>3.774078800752519</v>
      </c>
      <c r="F1054" s="112" t="s">
        <v>3314</v>
      </c>
      <c r="G1054" s="112" t="b">
        <v>0</v>
      </c>
      <c r="H1054" s="112" t="b">
        <v>0</v>
      </c>
      <c r="I1054" s="112" t="b">
        <v>0</v>
      </c>
      <c r="J1054" s="112" t="b">
        <v>0</v>
      </c>
      <c r="K1054" s="112" t="b">
        <v>0</v>
      </c>
      <c r="L1054" s="112" t="b">
        <v>0</v>
      </c>
    </row>
    <row r="1055" spans="1:12" ht="15">
      <c r="A1055" s="112" t="s">
        <v>2182</v>
      </c>
      <c r="B1055" s="112" t="s">
        <v>2349</v>
      </c>
      <c r="C1055" s="112">
        <v>2</v>
      </c>
      <c r="D1055" s="114">
        <v>0.0004118981407517484</v>
      </c>
      <c r="E1055" s="114">
        <v>2.3269207694103</v>
      </c>
      <c r="F1055" s="112" t="s">
        <v>3314</v>
      </c>
      <c r="G1055" s="112" t="b">
        <v>0</v>
      </c>
      <c r="H1055" s="112" t="b">
        <v>0</v>
      </c>
      <c r="I1055" s="112" t="b">
        <v>0</v>
      </c>
      <c r="J1055" s="112" t="b">
        <v>0</v>
      </c>
      <c r="K1055" s="112" t="b">
        <v>1</v>
      </c>
      <c r="L1055" s="112" t="b">
        <v>0</v>
      </c>
    </row>
    <row r="1056" spans="1:12" ht="15">
      <c r="A1056" s="112" t="s">
        <v>2144</v>
      </c>
      <c r="B1056" s="112" t="s">
        <v>2394</v>
      </c>
      <c r="C1056" s="112">
        <v>2</v>
      </c>
      <c r="D1056" s="114">
        <v>0.0004118981407517484</v>
      </c>
      <c r="E1056" s="114">
        <v>2.1508295103546184</v>
      </c>
      <c r="F1056" s="112" t="s">
        <v>3314</v>
      </c>
      <c r="G1056" s="112" t="b">
        <v>0</v>
      </c>
      <c r="H1056" s="112" t="b">
        <v>0</v>
      </c>
      <c r="I1056" s="112" t="b">
        <v>0</v>
      </c>
      <c r="J1056" s="112" t="b">
        <v>1</v>
      </c>
      <c r="K1056" s="112" t="b">
        <v>0</v>
      </c>
      <c r="L1056" s="112" t="b">
        <v>0</v>
      </c>
    </row>
    <row r="1057" spans="1:12" ht="15">
      <c r="A1057" s="112" t="s">
        <v>2340</v>
      </c>
      <c r="B1057" s="112" t="s">
        <v>2340</v>
      </c>
      <c r="C1057" s="112">
        <v>2</v>
      </c>
      <c r="D1057" s="114">
        <v>0.0004118981407517484</v>
      </c>
      <c r="E1057" s="114">
        <v>2.569958818096594</v>
      </c>
      <c r="F1057" s="112" t="s">
        <v>3314</v>
      </c>
      <c r="G1057" s="112" t="b">
        <v>0</v>
      </c>
      <c r="H1057" s="112" t="b">
        <v>0</v>
      </c>
      <c r="I1057" s="112" t="b">
        <v>0</v>
      </c>
      <c r="J1057" s="112" t="b">
        <v>0</v>
      </c>
      <c r="K1057" s="112" t="b">
        <v>0</v>
      </c>
      <c r="L1057" s="112" t="b">
        <v>0</v>
      </c>
    </row>
    <row r="1058" spans="1:12" ht="15">
      <c r="A1058" s="112" t="s">
        <v>2806</v>
      </c>
      <c r="B1058" s="112" t="s">
        <v>2394</v>
      </c>
      <c r="C1058" s="112">
        <v>2</v>
      </c>
      <c r="D1058" s="114">
        <v>0.0004118981407517484</v>
      </c>
      <c r="E1058" s="114">
        <v>3.1208662869771753</v>
      </c>
      <c r="F1058" s="112" t="s">
        <v>3314</v>
      </c>
      <c r="G1058" s="112" t="b">
        <v>0</v>
      </c>
      <c r="H1058" s="112" t="b">
        <v>0</v>
      </c>
      <c r="I1058" s="112" t="b">
        <v>0</v>
      </c>
      <c r="J1058" s="112" t="b">
        <v>1</v>
      </c>
      <c r="K1058" s="112" t="b">
        <v>0</v>
      </c>
      <c r="L1058" s="112" t="b">
        <v>0</v>
      </c>
    </row>
    <row r="1059" spans="1:12" ht="15">
      <c r="A1059" s="112" t="s">
        <v>2394</v>
      </c>
      <c r="B1059" s="112" t="s">
        <v>3299</v>
      </c>
      <c r="C1059" s="112">
        <v>2</v>
      </c>
      <c r="D1059" s="114">
        <v>0.0004118981407517484</v>
      </c>
      <c r="E1059" s="114">
        <v>3.2969575460328566</v>
      </c>
      <c r="F1059" s="112" t="s">
        <v>3314</v>
      </c>
      <c r="G1059" s="112" t="b">
        <v>1</v>
      </c>
      <c r="H1059" s="112" t="b">
        <v>0</v>
      </c>
      <c r="I1059" s="112" t="b">
        <v>0</v>
      </c>
      <c r="J1059" s="112" t="b">
        <v>0</v>
      </c>
      <c r="K1059" s="112" t="b">
        <v>1</v>
      </c>
      <c r="L1059" s="112" t="b">
        <v>0</v>
      </c>
    </row>
    <row r="1060" spans="1:12" ht="15">
      <c r="A1060" s="112" t="s">
        <v>2430</v>
      </c>
      <c r="B1060" s="112" t="s">
        <v>2387</v>
      </c>
      <c r="C1060" s="112">
        <v>2</v>
      </c>
      <c r="D1060" s="114">
        <v>0.0004118981407517484</v>
      </c>
      <c r="E1060" s="114">
        <v>2.819836291313194</v>
      </c>
      <c r="F1060" s="112" t="s">
        <v>3314</v>
      </c>
      <c r="G1060" s="112" t="b">
        <v>0</v>
      </c>
      <c r="H1060" s="112" t="b">
        <v>0</v>
      </c>
      <c r="I1060" s="112" t="b">
        <v>0</v>
      </c>
      <c r="J1060" s="112" t="b">
        <v>0</v>
      </c>
      <c r="K1060" s="112" t="b">
        <v>0</v>
      </c>
      <c r="L1060" s="112" t="b">
        <v>0</v>
      </c>
    </row>
    <row r="1061" spans="1:12" ht="15">
      <c r="A1061" s="112" t="s">
        <v>2501</v>
      </c>
      <c r="B1061" s="112" t="s">
        <v>2333</v>
      </c>
      <c r="C1061" s="112">
        <v>2</v>
      </c>
      <c r="D1061" s="114">
        <v>0.0004118981407517484</v>
      </c>
      <c r="E1061" s="114">
        <v>2.774078800752519</v>
      </c>
      <c r="F1061" s="112" t="s">
        <v>3314</v>
      </c>
      <c r="G1061" s="112" t="b">
        <v>0</v>
      </c>
      <c r="H1061" s="112" t="b">
        <v>1</v>
      </c>
      <c r="I1061" s="112" t="b">
        <v>0</v>
      </c>
      <c r="J1061" s="112" t="b">
        <v>0</v>
      </c>
      <c r="K1061" s="112" t="b">
        <v>0</v>
      </c>
      <c r="L1061" s="112" t="b">
        <v>0</v>
      </c>
    </row>
    <row r="1062" spans="1:12" ht="15">
      <c r="A1062" s="112" t="s">
        <v>2501</v>
      </c>
      <c r="B1062" s="112" t="s">
        <v>2430</v>
      </c>
      <c r="C1062" s="112">
        <v>2</v>
      </c>
      <c r="D1062" s="114">
        <v>0.0004118981407517484</v>
      </c>
      <c r="E1062" s="114">
        <v>2.978198783408444</v>
      </c>
      <c r="F1062" s="112" t="s">
        <v>3314</v>
      </c>
      <c r="G1062" s="112" t="b">
        <v>0</v>
      </c>
      <c r="H1062" s="112" t="b">
        <v>1</v>
      </c>
      <c r="I1062" s="112" t="b">
        <v>0</v>
      </c>
      <c r="J1062" s="112" t="b">
        <v>0</v>
      </c>
      <c r="K1062" s="112" t="b">
        <v>0</v>
      </c>
      <c r="L1062" s="112" t="b">
        <v>0</v>
      </c>
    </row>
    <row r="1063" spans="1:12" ht="15">
      <c r="A1063" s="112" t="s">
        <v>2430</v>
      </c>
      <c r="B1063" s="112" t="s">
        <v>2333</v>
      </c>
      <c r="C1063" s="112">
        <v>2</v>
      </c>
      <c r="D1063" s="114">
        <v>0.0004118981407517484</v>
      </c>
      <c r="E1063" s="114">
        <v>2.694897554704894</v>
      </c>
      <c r="F1063" s="112" t="s">
        <v>3314</v>
      </c>
      <c r="G1063" s="112" t="b">
        <v>0</v>
      </c>
      <c r="H1063" s="112" t="b">
        <v>0</v>
      </c>
      <c r="I1063" s="112" t="b">
        <v>0</v>
      </c>
      <c r="J1063" s="112" t="b">
        <v>0</v>
      </c>
      <c r="K1063" s="112" t="b">
        <v>0</v>
      </c>
      <c r="L1063" s="112" t="b">
        <v>0</v>
      </c>
    </row>
    <row r="1064" spans="1:12" ht="15">
      <c r="A1064" s="112" t="s">
        <v>2305</v>
      </c>
      <c r="B1064" s="112" t="s">
        <v>3304</v>
      </c>
      <c r="C1064" s="112">
        <v>2</v>
      </c>
      <c r="D1064" s="114">
        <v>0.0004118981407517484</v>
      </c>
      <c r="E1064" s="114">
        <v>3.1720188094245563</v>
      </c>
      <c r="F1064" s="112" t="s">
        <v>3314</v>
      </c>
      <c r="G1064" s="112" t="b">
        <v>1</v>
      </c>
      <c r="H1064" s="112" t="b">
        <v>0</v>
      </c>
      <c r="I1064" s="112" t="b">
        <v>0</v>
      </c>
      <c r="J1064" s="112" t="b">
        <v>1</v>
      </c>
      <c r="K1064" s="112" t="b">
        <v>0</v>
      </c>
      <c r="L1064" s="112" t="b">
        <v>0</v>
      </c>
    </row>
    <row r="1065" spans="1:12" ht="15">
      <c r="A1065" s="112" t="s">
        <v>2326</v>
      </c>
      <c r="B1065" s="112" t="s">
        <v>2489</v>
      </c>
      <c r="C1065" s="112">
        <v>2</v>
      </c>
      <c r="D1065" s="114">
        <v>0.0004118981407517484</v>
      </c>
      <c r="E1065" s="114">
        <v>2.774078800752519</v>
      </c>
      <c r="F1065" s="112" t="s">
        <v>3314</v>
      </c>
      <c r="G1065" s="112" t="b">
        <v>0</v>
      </c>
      <c r="H1065" s="112" t="b">
        <v>0</v>
      </c>
      <c r="I1065" s="112" t="b">
        <v>0</v>
      </c>
      <c r="J1065" s="112" t="b">
        <v>0</v>
      </c>
      <c r="K1065" s="112" t="b">
        <v>0</v>
      </c>
      <c r="L1065" s="112" t="b">
        <v>0</v>
      </c>
    </row>
    <row r="1066" spans="1:12" ht="15">
      <c r="A1066" s="112" t="s">
        <v>2489</v>
      </c>
      <c r="B1066" s="112" t="s">
        <v>2250</v>
      </c>
      <c r="C1066" s="112">
        <v>2</v>
      </c>
      <c r="D1066" s="114">
        <v>0.0004118981407517484</v>
      </c>
      <c r="E1066" s="114">
        <v>2.635776102586237</v>
      </c>
      <c r="F1066" s="112" t="s">
        <v>3314</v>
      </c>
      <c r="G1066" s="112" t="b">
        <v>0</v>
      </c>
      <c r="H1066" s="112" t="b">
        <v>0</v>
      </c>
      <c r="I1066" s="112" t="b">
        <v>0</v>
      </c>
      <c r="J1066" s="112" t="b">
        <v>0</v>
      </c>
      <c r="K1066" s="112" t="b">
        <v>0</v>
      </c>
      <c r="L1066" s="112" t="b">
        <v>0</v>
      </c>
    </row>
    <row r="1067" spans="1:12" ht="15">
      <c r="A1067" s="112" t="s">
        <v>3307</v>
      </c>
      <c r="B1067" s="112" t="s">
        <v>2156</v>
      </c>
      <c r="C1067" s="112">
        <v>2</v>
      </c>
      <c r="D1067" s="114">
        <v>0.0004118981407517484</v>
      </c>
      <c r="E1067" s="114">
        <v>2.694897554704894</v>
      </c>
      <c r="F1067" s="112" t="s">
        <v>3314</v>
      </c>
      <c r="G1067" s="112" t="b">
        <v>0</v>
      </c>
      <c r="H1067" s="112" t="b">
        <v>0</v>
      </c>
      <c r="I1067" s="112" t="b">
        <v>0</v>
      </c>
      <c r="J1067" s="112" t="b">
        <v>0</v>
      </c>
      <c r="K1067" s="112" t="b">
        <v>0</v>
      </c>
      <c r="L1067" s="112" t="b">
        <v>0</v>
      </c>
    </row>
    <row r="1068" spans="1:12" ht="15">
      <c r="A1068" s="112" t="s">
        <v>2156</v>
      </c>
      <c r="B1068" s="112" t="s">
        <v>3308</v>
      </c>
      <c r="C1068" s="112">
        <v>2</v>
      </c>
      <c r="D1068" s="114">
        <v>0.0004118981407517484</v>
      </c>
      <c r="E1068" s="114">
        <v>2.7133809603989074</v>
      </c>
      <c r="F1068" s="112" t="s">
        <v>3314</v>
      </c>
      <c r="G1068" s="112" t="b">
        <v>0</v>
      </c>
      <c r="H1068" s="112" t="b">
        <v>0</v>
      </c>
      <c r="I1068" s="112" t="b">
        <v>0</v>
      </c>
      <c r="J1068" s="112" t="b">
        <v>0</v>
      </c>
      <c r="K1068" s="112" t="b">
        <v>0</v>
      </c>
      <c r="L1068" s="112" t="b">
        <v>0</v>
      </c>
    </row>
    <row r="1069" spans="1:12" ht="15">
      <c r="A1069" s="112" t="s">
        <v>2085</v>
      </c>
      <c r="B1069" s="112" t="s">
        <v>2088</v>
      </c>
      <c r="C1069" s="112">
        <v>96</v>
      </c>
      <c r="D1069" s="114">
        <v>0.0051002235925654065</v>
      </c>
      <c r="E1069" s="114">
        <v>1.298761408914699</v>
      </c>
      <c r="F1069" s="112" t="s">
        <v>2049</v>
      </c>
      <c r="G1069" s="112" t="b">
        <v>0</v>
      </c>
      <c r="H1069" s="112" t="b">
        <v>0</v>
      </c>
      <c r="I1069" s="112" t="b">
        <v>0</v>
      </c>
      <c r="J1069" s="112" t="b">
        <v>0</v>
      </c>
      <c r="K1069" s="112" t="b">
        <v>0</v>
      </c>
      <c r="L1069" s="112" t="b">
        <v>0</v>
      </c>
    </row>
    <row r="1070" spans="1:12" ht="15">
      <c r="A1070" s="112" t="s">
        <v>2088</v>
      </c>
      <c r="B1070" s="112" t="s">
        <v>2103</v>
      </c>
      <c r="C1070" s="112">
        <v>46</v>
      </c>
      <c r="D1070" s="114">
        <v>0.0024438571381042574</v>
      </c>
      <c r="E1070" s="114">
        <v>1.3459567788646636</v>
      </c>
      <c r="F1070" s="112" t="s">
        <v>2049</v>
      </c>
      <c r="G1070" s="112" t="b">
        <v>0</v>
      </c>
      <c r="H1070" s="112" t="b">
        <v>0</v>
      </c>
      <c r="I1070" s="112" t="b">
        <v>0</v>
      </c>
      <c r="J1070" s="112" t="b">
        <v>0</v>
      </c>
      <c r="K1070" s="112" t="b">
        <v>0</v>
      </c>
      <c r="L1070" s="112" t="b">
        <v>0</v>
      </c>
    </row>
    <row r="1071" spans="1:12" ht="15">
      <c r="A1071" s="112" t="s">
        <v>2099</v>
      </c>
      <c r="B1071" s="112" t="s">
        <v>2104</v>
      </c>
      <c r="C1071" s="112">
        <v>45</v>
      </c>
      <c r="D1071" s="114">
        <v>0.0022075802351985085</v>
      </c>
      <c r="E1071" s="114">
        <v>1.6873870459672051</v>
      </c>
      <c r="F1071" s="112" t="s">
        <v>2049</v>
      </c>
      <c r="G1071" s="112" t="b">
        <v>0</v>
      </c>
      <c r="H1071" s="112" t="b">
        <v>0</v>
      </c>
      <c r="I1071" s="112" t="b">
        <v>0</v>
      </c>
      <c r="J1071" s="112" t="b">
        <v>0</v>
      </c>
      <c r="K1071" s="112" t="b">
        <v>0</v>
      </c>
      <c r="L1071" s="112" t="b">
        <v>0</v>
      </c>
    </row>
    <row r="1072" spans="1:12" ht="15">
      <c r="A1072" s="112" t="s">
        <v>2104</v>
      </c>
      <c r="B1072" s="112" t="s">
        <v>2100</v>
      </c>
      <c r="C1072" s="112">
        <v>41</v>
      </c>
      <c r="D1072" s="114">
        <v>0.002702583132534927</v>
      </c>
      <c r="E1072" s="114">
        <v>1.6378150094717272</v>
      </c>
      <c r="F1072" s="112" t="s">
        <v>2049</v>
      </c>
      <c r="G1072" s="112" t="b">
        <v>0</v>
      </c>
      <c r="H1072" s="112" t="b">
        <v>0</v>
      </c>
      <c r="I1072" s="112" t="b">
        <v>0</v>
      </c>
      <c r="J1072" s="112" t="b">
        <v>0</v>
      </c>
      <c r="K1072" s="112" t="b">
        <v>0</v>
      </c>
      <c r="L1072" s="112" t="b">
        <v>0</v>
      </c>
    </row>
    <row r="1073" spans="1:12" ht="15">
      <c r="A1073" s="112" t="s">
        <v>2103</v>
      </c>
      <c r="B1073" s="112" t="s">
        <v>2099</v>
      </c>
      <c r="C1073" s="112">
        <v>40</v>
      </c>
      <c r="D1073" s="114">
        <v>0.0028155466274258855</v>
      </c>
      <c r="E1073" s="114">
        <v>1.6181363014270278</v>
      </c>
      <c r="F1073" s="112" t="s">
        <v>2049</v>
      </c>
      <c r="G1073" s="112" t="b">
        <v>0</v>
      </c>
      <c r="H1073" s="112" t="b">
        <v>0</v>
      </c>
      <c r="I1073" s="112" t="b">
        <v>0</v>
      </c>
      <c r="J1073" s="112" t="b">
        <v>0</v>
      </c>
      <c r="K1073" s="112" t="b">
        <v>0</v>
      </c>
      <c r="L1073" s="112" t="b">
        <v>0</v>
      </c>
    </row>
    <row r="1074" spans="1:12" ht="15">
      <c r="A1074" s="112" t="s">
        <v>2100</v>
      </c>
      <c r="B1074" s="112" t="s">
        <v>2084</v>
      </c>
      <c r="C1074" s="112">
        <v>39</v>
      </c>
      <c r="D1074" s="114">
        <v>0.0029239819766514403</v>
      </c>
      <c r="E1074" s="114">
        <v>1.4593096559181962</v>
      </c>
      <c r="F1074" s="112" t="s">
        <v>2049</v>
      </c>
      <c r="G1074" s="112" t="b">
        <v>0</v>
      </c>
      <c r="H1074" s="112" t="b">
        <v>0</v>
      </c>
      <c r="I1074" s="112" t="b">
        <v>0</v>
      </c>
      <c r="J1074" s="112" t="b">
        <v>0</v>
      </c>
      <c r="K1074" s="112" t="b">
        <v>1</v>
      </c>
      <c r="L1074" s="112" t="b">
        <v>0</v>
      </c>
    </row>
    <row r="1075" spans="1:12" ht="15">
      <c r="A1075" s="112" t="s">
        <v>2088</v>
      </c>
      <c r="B1075" s="112" t="s">
        <v>2085</v>
      </c>
      <c r="C1075" s="112">
        <v>35</v>
      </c>
      <c r="D1075" s="114">
        <v>0.0034937691038349115</v>
      </c>
      <c r="E1075" s="114">
        <v>1.0482313518309025</v>
      </c>
      <c r="F1075" s="112" t="s">
        <v>2049</v>
      </c>
      <c r="G1075" s="112" t="b">
        <v>0</v>
      </c>
      <c r="H1075" s="112" t="b">
        <v>0</v>
      </c>
      <c r="I1075" s="112" t="b">
        <v>0</v>
      </c>
      <c r="J1075" s="112" t="b">
        <v>0</v>
      </c>
      <c r="K1075" s="112" t="b">
        <v>0</v>
      </c>
      <c r="L1075" s="112" t="b">
        <v>0</v>
      </c>
    </row>
    <row r="1076" spans="1:12" ht="15">
      <c r="A1076" s="112" t="s">
        <v>2113</v>
      </c>
      <c r="B1076" s="112" t="s">
        <v>2092</v>
      </c>
      <c r="C1076" s="112">
        <v>23</v>
      </c>
      <c r="D1076" s="114">
        <v>0.003924043385890192</v>
      </c>
      <c r="E1076" s="114">
        <v>1.264780689540923</v>
      </c>
      <c r="F1076" s="112" t="s">
        <v>2049</v>
      </c>
      <c r="G1076" s="112" t="b">
        <v>0</v>
      </c>
      <c r="H1076" s="112" t="b">
        <v>0</v>
      </c>
      <c r="I1076" s="112" t="b">
        <v>0</v>
      </c>
      <c r="J1076" s="112" t="b">
        <v>0</v>
      </c>
      <c r="K1076" s="112" t="b">
        <v>0</v>
      </c>
      <c r="L1076" s="112" t="b">
        <v>0</v>
      </c>
    </row>
    <row r="1077" spans="1:12" ht="15">
      <c r="A1077" s="112" t="s">
        <v>2147</v>
      </c>
      <c r="B1077" s="112" t="s">
        <v>2092</v>
      </c>
      <c r="C1077" s="112">
        <v>22</v>
      </c>
      <c r="D1077" s="114">
        <v>0.003930544319448972</v>
      </c>
      <c r="E1077" s="114">
        <v>1.5172161539075302</v>
      </c>
      <c r="F1077" s="112" t="s">
        <v>2049</v>
      </c>
      <c r="G1077" s="112" t="b">
        <v>0</v>
      </c>
      <c r="H1077" s="112" t="b">
        <v>0</v>
      </c>
      <c r="I1077" s="112" t="b">
        <v>0</v>
      </c>
      <c r="J1077" s="112" t="b">
        <v>0</v>
      </c>
      <c r="K1077" s="112" t="b">
        <v>0</v>
      </c>
      <c r="L1077" s="112" t="b">
        <v>0</v>
      </c>
    </row>
    <row r="1078" spans="1:12" ht="15">
      <c r="A1078" s="112" t="s">
        <v>2084</v>
      </c>
      <c r="B1078" s="112" t="s">
        <v>2098</v>
      </c>
      <c r="C1078" s="112">
        <v>20</v>
      </c>
      <c r="D1078" s="114">
        <v>0.0039184488405184575</v>
      </c>
      <c r="E1078" s="114">
        <v>1.4703050402196596</v>
      </c>
      <c r="F1078" s="112" t="s">
        <v>2049</v>
      </c>
      <c r="G1078" s="112" t="b">
        <v>0</v>
      </c>
      <c r="H1078" s="112" t="b">
        <v>1</v>
      </c>
      <c r="I1078" s="112" t="b">
        <v>0</v>
      </c>
      <c r="J1078" s="112" t="b">
        <v>1</v>
      </c>
      <c r="K1078" s="112" t="b">
        <v>0</v>
      </c>
      <c r="L1078" s="112" t="b">
        <v>0</v>
      </c>
    </row>
    <row r="1079" spans="1:12" ht="15">
      <c r="A1079" s="112" t="s">
        <v>2098</v>
      </c>
      <c r="B1079" s="112" t="s">
        <v>2122</v>
      </c>
      <c r="C1079" s="112">
        <v>20</v>
      </c>
      <c r="D1079" s="114">
        <v>0.0039184488405184575</v>
      </c>
      <c r="E1079" s="114">
        <v>1.6665996853636278</v>
      </c>
      <c r="F1079" s="112" t="s">
        <v>2049</v>
      </c>
      <c r="G1079" s="112" t="b">
        <v>1</v>
      </c>
      <c r="H1079" s="112" t="b">
        <v>0</v>
      </c>
      <c r="I1079" s="112" t="b">
        <v>0</v>
      </c>
      <c r="J1079" s="112" t="b">
        <v>0</v>
      </c>
      <c r="K1079" s="112" t="b">
        <v>0</v>
      </c>
      <c r="L1079" s="112" t="b">
        <v>0</v>
      </c>
    </row>
    <row r="1080" spans="1:12" ht="15">
      <c r="A1080" s="112" t="s">
        <v>2122</v>
      </c>
      <c r="B1080" s="112" t="s">
        <v>2155</v>
      </c>
      <c r="C1080" s="112">
        <v>20</v>
      </c>
      <c r="D1080" s="114">
        <v>0.0039184488405184575</v>
      </c>
      <c r="E1080" s="114">
        <v>1.6850830910576409</v>
      </c>
      <c r="F1080" s="112" t="s">
        <v>2049</v>
      </c>
      <c r="G1080" s="112" t="b">
        <v>0</v>
      </c>
      <c r="H1080" s="112" t="b">
        <v>0</v>
      </c>
      <c r="I1080" s="112" t="b">
        <v>0</v>
      </c>
      <c r="J1080" s="112" t="b">
        <v>0</v>
      </c>
      <c r="K1080" s="112" t="b">
        <v>0</v>
      </c>
      <c r="L1080" s="112" t="b">
        <v>0</v>
      </c>
    </row>
    <row r="1081" spans="1:12" ht="15">
      <c r="A1081" s="112" t="s">
        <v>2155</v>
      </c>
      <c r="B1081" s="112" t="s">
        <v>2084</v>
      </c>
      <c r="C1081" s="112">
        <v>20</v>
      </c>
      <c r="D1081" s="114">
        <v>0.0039184488405184575</v>
      </c>
      <c r="E1081" s="114">
        <v>1.4887884459136727</v>
      </c>
      <c r="F1081" s="112" t="s">
        <v>2049</v>
      </c>
      <c r="G1081" s="112" t="b">
        <v>0</v>
      </c>
      <c r="H1081" s="112" t="b">
        <v>0</v>
      </c>
      <c r="I1081" s="112" t="b">
        <v>0</v>
      </c>
      <c r="J1081" s="112" t="b">
        <v>0</v>
      </c>
      <c r="K1081" s="112" t="b">
        <v>1</v>
      </c>
      <c r="L1081" s="112" t="b">
        <v>0</v>
      </c>
    </row>
    <row r="1082" spans="1:12" ht="15">
      <c r="A1082" s="112" t="s">
        <v>2084</v>
      </c>
      <c r="B1082" s="112" t="s">
        <v>2158</v>
      </c>
      <c r="C1082" s="112">
        <v>20</v>
      </c>
      <c r="D1082" s="114">
        <v>0.0039184488405184575</v>
      </c>
      <c r="E1082" s="114">
        <v>1.4887884459136727</v>
      </c>
      <c r="F1082" s="112" t="s">
        <v>2049</v>
      </c>
      <c r="G1082" s="112" t="b">
        <v>0</v>
      </c>
      <c r="H1082" s="112" t="b">
        <v>1</v>
      </c>
      <c r="I1082" s="112" t="b">
        <v>0</v>
      </c>
      <c r="J1082" s="112" t="b">
        <v>1</v>
      </c>
      <c r="K1082" s="112" t="b">
        <v>0</v>
      </c>
      <c r="L1082" s="112" t="b">
        <v>0</v>
      </c>
    </row>
    <row r="1083" spans="1:12" ht="15">
      <c r="A1083" s="112" t="s">
        <v>2158</v>
      </c>
      <c r="B1083" s="112" t="s">
        <v>2161</v>
      </c>
      <c r="C1083" s="112">
        <v>20</v>
      </c>
      <c r="D1083" s="114">
        <v>0.0039184488405184575</v>
      </c>
      <c r="E1083" s="114">
        <v>1.965909700633335</v>
      </c>
      <c r="F1083" s="112" t="s">
        <v>2049</v>
      </c>
      <c r="G1083" s="112" t="b">
        <v>1</v>
      </c>
      <c r="H1083" s="112" t="b">
        <v>0</v>
      </c>
      <c r="I1083" s="112" t="b">
        <v>0</v>
      </c>
      <c r="J1083" s="112" t="b">
        <v>0</v>
      </c>
      <c r="K1083" s="112" t="b">
        <v>0</v>
      </c>
      <c r="L1083" s="112" t="b">
        <v>0</v>
      </c>
    </row>
    <row r="1084" spans="1:12" ht="15">
      <c r="A1084" s="112" t="s">
        <v>2161</v>
      </c>
      <c r="B1084" s="112" t="s">
        <v>2118</v>
      </c>
      <c r="C1084" s="112">
        <v>20</v>
      </c>
      <c r="D1084" s="114">
        <v>0.0039184488405184575</v>
      </c>
      <c r="E1084" s="114">
        <v>1.7043882462530275</v>
      </c>
      <c r="F1084" s="112" t="s">
        <v>2049</v>
      </c>
      <c r="G1084" s="112" t="b">
        <v>0</v>
      </c>
      <c r="H1084" s="112" t="b">
        <v>0</v>
      </c>
      <c r="I1084" s="112" t="b">
        <v>0</v>
      </c>
      <c r="J1084" s="112" t="b">
        <v>0</v>
      </c>
      <c r="K1084" s="112" t="b">
        <v>0</v>
      </c>
      <c r="L1084" s="112" t="b">
        <v>0</v>
      </c>
    </row>
    <row r="1085" spans="1:12" ht="15">
      <c r="A1085" s="112" t="s">
        <v>2118</v>
      </c>
      <c r="B1085" s="112" t="s">
        <v>2113</v>
      </c>
      <c r="C1085" s="112">
        <v>20</v>
      </c>
      <c r="D1085" s="114">
        <v>0.0039184488405184575</v>
      </c>
      <c r="E1085" s="114">
        <v>1.4133424714956473</v>
      </c>
      <c r="F1085" s="112" t="s">
        <v>2049</v>
      </c>
      <c r="G1085" s="112" t="b">
        <v>0</v>
      </c>
      <c r="H1085" s="112" t="b">
        <v>0</v>
      </c>
      <c r="I1085" s="112" t="b">
        <v>0</v>
      </c>
      <c r="J1085" s="112" t="b">
        <v>0</v>
      </c>
      <c r="K1085" s="112" t="b">
        <v>0</v>
      </c>
      <c r="L1085" s="112" t="b">
        <v>0</v>
      </c>
    </row>
    <row r="1086" spans="1:12" ht="15">
      <c r="A1086" s="112" t="s">
        <v>2092</v>
      </c>
      <c r="B1086" s="112" t="s">
        <v>2147</v>
      </c>
      <c r="C1086" s="112">
        <v>20</v>
      </c>
      <c r="D1086" s="114">
        <v>0.0039184488405184575</v>
      </c>
      <c r="E1086" s="114">
        <v>1.475823468749305</v>
      </c>
      <c r="F1086" s="112" t="s">
        <v>2049</v>
      </c>
      <c r="G1086" s="112" t="b">
        <v>0</v>
      </c>
      <c r="H1086" s="112" t="b">
        <v>0</v>
      </c>
      <c r="I1086" s="112" t="b">
        <v>0</v>
      </c>
      <c r="J1086" s="112" t="b">
        <v>0</v>
      </c>
      <c r="K1086" s="112" t="b">
        <v>0</v>
      </c>
      <c r="L1086" s="112" t="b">
        <v>0</v>
      </c>
    </row>
    <row r="1087" spans="1:12" ht="15">
      <c r="A1087" s="112" t="s">
        <v>2092</v>
      </c>
      <c r="B1087" s="112" t="s">
        <v>2164</v>
      </c>
      <c r="C1087" s="112">
        <v>20</v>
      </c>
      <c r="D1087" s="114">
        <v>0.0039184488405184575</v>
      </c>
      <c r="E1087" s="114">
        <v>1.5153320100329786</v>
      </c>
      <c r="F1087" s="112" t="s">
        <v>2049</v>
      </c>
      <c r="G1087" s="112" t="b">
        <v>0</v>
      </c>
      <c r="H1087" s="112" t="b">
        <v>0</v>
      </c>
      <c r="I1087" s="112" t="b">
        <v>0</v>
      </c>
      <c r="J1087" s="112" t="b">
        <v>0</v>
      </c>
      <c r="K1087" s="112" t="b">
        <v>0</v>
      </c>
      <c r="L1087" s="112" t="b">
        <v>0</v>
      </c>
    </row>
    <row r="1088" spans="1:12" ht="15">
      <c r="A1088" s="112" t="s">
        <v>2164</v>
      </c>
      <c r="B1088" s="112" t="s">
        <v>2113</v>
      </c>
      <c r="C1088" s="112">
        <v>20</v>
      </c>
      <c r="D1088" s="114">
        <v>0.0039184488405184575</v>
      </c>
      <c r="E1088" s="114">
        <v>1.7143724671596283</v>
      </c>
      <c r="F1088" s="112" t="s">
        <v>2049</v>
      </c>
      <c r="G1088" s="112" t="b">
        <v>0</v>
      </c>
      <c r="H1088" s="112" t="b">
        <v>0</v>
      </c>
      <c r="I1088" s="112" t="b">
        <v>0</v>
      </c>
      <c r="J1088" s="112" t="b">
        <v>0</v>
      </c>
      <c r="K1088" s="112" t="b">
        <v>0</v>
      </c>
      <c r="L1088" s="112" t="b">
        <v>0</v>
      </c>
    </row>
    <row r="1089" spans="1:12" ht="15">
      <c r="A1089" s="112" t="s">
        <v>2113</v>
      </c>
      <c r="B1089" s="112" t="s">
        <v>2123</v>
      </c>
      <c r="C1089" s="112">
        <v>20</v>
      </c>
      <c r="D1089" s="114">
        <v>0.0039184488405184575</v>
      </c>
      <c r="E1089" s="114">
        <v>1.4345317705655853</v>
      </c>
      <c r="F1089" s="112" t="s">
        <v>2049</v>
      </c>
      <c r="G1089" s="112" t="b">
        <v>0</v>
      </c>
      <c r="H1089" s="112" t="b">
        <v>0</v>
      </c>
      <c r="I1089" s="112" t="b">
        <v>0</v>
      </c>
      <c r="J1089" s="112" t="b">
        <v>0</v>
      </c>
      <c r="K1089" s="112" t="b">
        <v>0</v>
      </c>
      <c r="L1089" s="112" t="b">
        <v>0</v>
      </c>
    </row>
    <row r="1090" spans="1:12" ht="15">
      <c r="A1090" s="112" t="s">
        <v>2084</v>
      </c>
      <c r="B1090" s="112" t="s">
        <v>2122</v>
      </c>
      <c r="C1090" s="112">
        <v>19</v>
      </c>
      <c r="D1090" s="114">
        <v>0.0038990282748527895</v>
      </c>
      <c r="E1090" s="114">
        <v>1.2049905968222128</v>
      </c>
      <c r="F1090" s="112" t="s">
        <v>2049</v>
      </c>
      <c r="G1090" s="112" t="b">
        <v>0</v>
      </c>
      <c r="H1090" s="112" t="b">
        <v>1</v>
      </c>
      <c r="I1090" s="112" t="b">
        <v>0</v>
      </c>
      <c r="J1090" s="112" t="b">
        <v>0</v>
      </c>
      <c r="K1090" s="112" t="b">
        <v>0</v>
      </c>
      <c r="L1090" s="112" t="b">
        <v>0</v>
      </c>
    </row>
    <row r="1091" spans="1:12" ht="15">
      <c r="A1091" s="112" t="s">
        <v>2122</v>
      </c>
      <c r="B1091" s="112" t="s">
        <v>2092</v>
      </c>
      <c r="C1091" s="112">
        <v>19</v>
      </c>
      <c r="D1091" s="114">
        <v>0.0038990282748527895</v>
      </c>
      <c r="E1091" s="114">
        <v>1.1920256196578451</v>
      </c>
      <c r="F1091" s="112" t="s">
        <v>2049</v>
      </c>
      <c r="G1091" s="112" t="b">
        <v>0</v>
      </c>
      <c r="H1091" s="112" t="b">
        <v>0</v>
      </c>
      <c r="I1091" s="112" t="b">
        <v>0</v>
      </c>
      <c r="J1091" s="112" t="b">
        <v>0</v>
      </c>
      <c r="K1091" s="112" t="b">
        <v>0</v>
      </c>
      <c r="L1091" s="112" t="b">
        <v>0</v>
      </c>
    </row>
    <row r="1092" spans="1:12" ht="15">
      <c r="A1092" s="112" t="s">
        <v>2118</v>
      </c>
      <c r="B1092" s="112" t="s">
        <v>2123</v>
      </c>
      <c r="C1092" s="112">
        <v>19</v>
      </c>
      <c r="D1092" s="114">
        <v>0.0038990282748527895</v>
      </c>
      <c r="E1092" s="114">
        <v>1.422474541036119</v>
      </c>
      <c r="F1092" s="112" t="s">
        <v>2049</v>
      </c>
      <c r="G1092" s="112" t="b">
        <v>0</v>
      </c>
      <c r="H1092" s="112" t="b">
        <v>0</v>
      </c>
      <c r="I1092" s="112" t="b">
        <v>0</v>
      </c>
      <c r="J1092" s="112" t="b">
        <v>0</v>
      </c>
      <c r="K1092" s="112" t="b">
        <v>0</v>
      </c>
      <c r="L1092" s="112" t="b">
        <v>0</v>
      </c>
    </row>
    <row r="1093" spans="1:12" ht="15">
      <c r="A1093" s="112" t="s">
        <v>2092</v>
      </c>
      <c r="B1093" s="112" t="s">
        <v>2118</v>
      </c>
      <c r="C1093" s="112">
        <v>18</v>
      </c>
      <c r="D1093" s="114">
        <v>0.003870071358506708</v>
      </c>
      <c r="E1093" s="114">
        <v>1.1685445238083223</v>
      </c>
      <c r="F1093" s="112" t="s">
        <v>2049</v>
      </c>
      <c r="G1093" s="112" t="b">
        <v>0</v>
      </c>
      <c r="H1093" s="112" t="b">
        <v>0</v>
      </c>
      <c r="I1093" s="112" t="b">
        <v>0</v>
      </c>
      <c r="J1093" s="112" t="b">
        <v>0</v>
      </c>
      <c r="K1093" s="112" t="b">
        <v>0</v>
      </c>
      <c r="L1093" s="112" t="b">
        <v>0</v>
      </c>
    </row>
    <row r="1094" spans="1:12" ht="15">
      <c r="A1094" s="112" t="s">
        <v>2169</v>
      </c>
      <c r="B1094" s="112" t="s">
        <v>2170</v>
      </c>
      <c r="C1094" s="112">
        <v>17</v>
      </c>
      <c r="D1094" s="114">
        <v>0.008285848350851163</v>
      </c>
      <c r="E1094" s="114">
        <v>1.9974191518594646</v>
      </c>
      <c r="F1094" s="112" t="s">
        <v>2049</v>
      </c>
      <c r="G1094" s="112" t="b">
        <v>0</v>
      </c>
      <c r="H1094" s="112" t="b">
        <v>0</v>
      </c>
      <c r="I1094" s="112" t="b">
        <v>0</v>
      </c>
      <c r="J1094" s="112" t="b">
        <v>0</v>
      </c>
      <c r="K1094" s="112" t="b">
        <v>0</v>
      </c>
      <c r="L1094" s="112" t="b">
        <v>0</v>
      </c>
    </row>
    <row r="1095" spans="1:12" ht="15">
      <c r="A1095" s="112" t="s">
        <v>2085</v>
      </c>
      <c r="B1095" s="112" t="s">
        <v>2085</v>
      </c>
      <c r="C1095" s="112">
        <v>12</v>
      </c>
      <c r="D1095" s="114">
        <v>0.003461238193133541</v>
      </c>
      <c r="E1095" s="114">
        <v>0.5220748967893292</v>
      </c>
      <c r="F1095" s="112" t="s">
        <v>2049</v>
      </c>
      <c r="G1095" s="112" t="b">
        <v>0</v>
      </c>
      <c r="H1095" s="112" t="b">
        <v>0</v>
      </c>
      <c r="I1095" s="112" t="b">
        <v>0</v>
      </c>
      <c r="J1095" s="112" t="b">
        <v>0</v>
      </c>
      <c r="K1095" s="112" t="b">
        <v>0</v>
      </c>
      <c r="L1095" s="112" t="b">
        <v>0</v>
      </c>
    </row>
    <row r="1096" spans="1:12" ht="15">
      <c r="A1096" s="112" t="s">
        <v>2233</v>
      </c>
      <c r="B1096" s="112" t="s">
        <v>2142</v>
      </c>
      <c r="C1096" s="112">
        <v>10</v>
      </c>
      <c r="D1096" s="114">
        <v>0.004139702924347375</v>
      </c>
      <c r="E1096" s="114">
        <v>2.00730238579156</v>
      </c>
      <c r="F1096" s="112" t="s">
        <v>2049</v>
      </c>
      <c r="G1096" s="112" t="b">
        <v>0</v>
      </c>
      <c r="H1096" s="112" t="b">
        <v>0</v>
      </c>
      <c r="I1096" s="112" t="b">
        <v>0</v>
      </c>
      <c r="J1096" s="112" t="b">
        <v>0</v>
      </c>
      <c r="K1096" s="112" t="b">
        <v>0</v>
      </c>
      <c r="L1096" s="112" t="b">
        <v>0</v>
      </c>
    </row>
    <row r="1097" spans="1:12" ht="15">
      <c r="A1097" s="112" t="s">
        <v>2088</v>
      </c>
      <c r="B1097" s="112" t="s">
        <v>2169</v>
      </c>
      <c r="C1097" s="112">
        <v>9</v>
      </c>
      <c r="D1097" s="114">
        <v>0.005516429584571921</v>
      </c>
      <c r="E1097" s="114">
        <v>1.0723650315476219</v>
      </c>
      <c r="F1097" s="112" t="s">
        <v>2049</v>
      </c>
      <c r="G1097" s="112" t="b">
        <v>0</v>
      </c>
      <c r="H1097" s="112" t="b">
        <v>0</v>
      </c>
      <c r="I1097" s="112" t="b">
        <v>0</v>
      </c>
      <c r="J1097" s="112" t="b">
        <v>0</v>
      </c>
      <c r="K1097" s="112" t="b">
        <v>0</v>
      </c>
      <c r="L1097" s="112" t="b">
        <v>0</v>
      </c>
    </row>
    <row r="1098" spans="1:12" ht="15">
      <c r="A1098" s="112" t="s">
        <v>2123</v>
      </c>
      <c r="B1098" s="112" t="s">
        <v>2153</v>
      </c>
      <c r="C1098" s="112">
        <v>8</v>
      </c>
      <c r="D1098" s="114">
        <v>0.002894952542619518</v>
      </c>
      <c r="E1098" s="114">
        <v>1.3913066165203052</v>
      </c>
      <c r="F1098" s="112" t="s">
        <v>2049</v>
      </c>
      <c r="G1098" s="112" t="b">
        <v>0</v>
      </c>
      <c r="H1098" s="112" t="b">
        <v>0</v>
      </c>
      <c r="I1098" s="112" t="b">
        <v>0</v>
      </c>
      <c r="J1098" s="112" t="b">
        <v>0</v>
      </c>
      <c r="K1098" s="112" t="b">
        <v>0</v>
      </c>
      <c r="L1098" s="112" t="b">
        <v>0</v>
      </c>
    </row>
    <row r="1099" spans="1:12" ht="15">
      <c r="A1099" s="112" t="s">
        <v>2252</v>
      </c>
      <c r="B1099" s="112" t="s">
        <v>2253</v>
      </c>
      <c r="C1099" s="112">
        <v>7</v>
      </c>
      <c r="D1099" s="114">
        <v>0.0028977920470431625</v>
      </c>
      <c r="E1099" s="114">
        <v>2.30564324294476</v>
      </c>
      <c r="F1099" s="112" t="s">
        <v>2049</v>
      </c>
      <c r="G1099" s="112" t="b">
        <v>0</v>
      </c>
      <c r="H1099" s="112" t="b">
        <v>0</v>
      </c>
      <c r="I1099" s="112" t="b">
        <v>0</v>
      </c>
      <c r="J1099" s="112" t="b">
        <v>0</v>
      </c>
      <c r="K1099" s="112" t="b">
        <v>0</v>
      </c>
      <c r="L1099" s="112" t="b">
        <v>0</v>
      </c>
    </row>
    <row r="1100" spans="1:12" ht="15">
      <c r="A1100" s="112" t="s">
        <v>2080</v>
      </c>
      <c r="B1100" s="112" t="s">
        <v>2094</v>
      </c>
      <c r="C1100" s="112">
        <v>5</v>
      </c>
      <c r="D1100" s="114">
        <v>0.0022349499735323714</v>
      </c>
      <c r="E1100" s="114">
        <v>1.5339741200890369</v>
      </c>
      <c r="F1100" s="112" t="s">
        <v>2049</v>
      </c>
      <c r="G1100" s="112" t="b">
        <v>0</v>
      </c>
      <c r="H1100" s="112" t="b">
        <v>0</v>
      </c>
      <c r="I1100" s="112" t="b">
        <v>0</v>
      </c>
      <c r="J1100" s="112" t="b">
        <v>0</v>
      </c>
      <c r="K1100" s="112" t="b">
        <v>0</v>
      </c>
      <c r="L1100" s="112" t="b">
        <v>0</v>
      </c>
    </row>
    <row r="1101" spans="1:12" ht="15">
      <c r="A1101" s="112" t="s">
        <v>2496</v>
      </c>
      <c r="B1101" s="112" t="s">
        <v>2497</v>
      </c>
      <c r="C1101" s="112">
        <v>5</v>
      </c>
      <c r="D1101" s="114">
        <v>0.0036923519842413347</v>
      </c>
      <c r="E1101" s="114">
        <v>2.670060217473134</v>
      </c>
      <c r="F1101" s="112" t="s">
        <v>2049</v>
      </c>
      <c r="G1101" s="112" t="b">
        <v>0</v>
      </c>
      <c r="H1101" s="112" t="b">
        <v>0</v>
      </c>
      <c r="I1101" s="112" t="b">
        <v>0</v>
      </c>
      <c r="J1101" s="112" t="b">
        <v>0</v>
      </c>
      <c r="K1101" s="112" t="b">
        <v>0</v>
      </c>
      <c r="L1101" s="112" t="b">
        <v>0</v>
      </c>
    </row>
    <row r="1102" spans="1:12" ht="15">
      <c r="A1102" s="112" t="s">
        <v>2085</v>
      </c>
      <c r="B1102" s="112" t="s">
        <v>2299</v>
      </c>
      <c r="C1102" s="112">
        <v>5</v>
      </c>
      <c r="D1102" s="114">
        <v>0.0022349499735323714</v>
      </c>
      <c r="E1102" s="114">
        <v>1.0568528653693745</v>
      </c>
      <c r="F1102" s="112" t="s">
        <v>2049</v>
      </c>
      <c r="G1102" s="112" t="b">
        <v>0</v>
      </c>
      <c r="H1102" s="112" t="b">
        <v>0</v>
      </c>
      <c r="I1102" s="112" t="b">
        <v>0</v>
      </c>
      <c r="J1102" s="112" t="b">
        <v>0</v>
      </c>
      <c r="K1102" s="112" t="b">
        <v>0</v>
      </c>
      <c r="L1102" s="112" t="b">
        <v>0</v>
      </c>
    </row>
    <row r="1103" spans="1:12" ht="15">
      <c r="A1103" s="112" t="s">
        <v>2334</v>
      </c>
      <c r="B1103" s="112" t="s">
        <v>2184</v>
      </c>
      <c r="C1103" s="112">
        <v>5</v>
      </c>
      <c r="D1103" s="114">
        <v>0.0022349499735323714</v>
      </c>
      <c r="E1103" s="114">
        <v>2.327637536650928</v>
      </c>
      <c r="F1103" s="112" t="s">
        <v>2049</v>
      </c>
      <c r="G1103" s="112" t="b">
        <v>0</v>
      </c>
      <c r="H1103" s="112" t="b">
        <v>0</v>
      </c>
      <c r="I1103" s="112" t="b">
        <v>0</v>
      </c>
      <c r="J1103" s="112" t="b">
        <v>0</v>
      </c>
      <c r="K1103" s="112" t="b">
        <v>0</v>
      </c>
      <c r="L1103" s="112" t="b">
        <v>0</v>
      </c>
    </row>
    <row r="1104" spans="1:12" ht="15">
      <c r="A1104" s="112" t="s">
        <v>2291</v>
      </c>
      <c r="B1104" s="112" t="s">
        <v>2292</v>
      </c>
      <c r="C1104" s="112">
        <v>5</v>
      </c>
      <c r="D1104" s="114">
        <v>0.003064683102539956</v>
      </c>
      <c r="E1104" s="114">
        <v>2.5908789714255094</v>
      </c>
      <c r="F1104" s="112" t="s">
        <v>2049</v>
      </c>
      <c r="G1104" s="112" t="b">
        <v>0</v>
      </c>
      <c r="H1104" s="112" t="b">
        <v>0</v>
      </c>
      <c r="I1104" s="112" t="b">
        <v>0</v>
      </c>
      <c r="J1104" s="112" t="b">
        <v>0</v>
      </c>
      <c r="K1104" s="112" t="b">
        <v>0</v>
      </c>
      <c r="L1104" s="112" t="b">
        <v>0</v>
      </c>
    </row>
    <row r="1105" spans="1:12" ht="15">
      <c r="A1105" s="112" t="s">
        <v>2137</v>
      </c>
      <c r="B1105" s="112" t="s">
        <v>2087</v>
      </c>
      <c r="C1105" s="112">
        <v>5</v>
      </c>
      <c r="D1105" s="114">
        <v>0.003064683102539956</v>
      </c>
      <c r="E1105" s="114">
        <v>2.113757716705847</v>
      </c>
      <c r="F1105" s="112" t="s">
        <v>2049</v>
      </c>
      <c r="G1105" s="112" t="b">
        <v>0</v>
      </c>
      <c r="H1105" s="112" t="b">
        <v>0</v>
      </c>
      <c r="I1105" s="112" t="b">
        <v>0</v>
      </c>
      <c r="J1105" s="112" t="b">
        <v>0</v>
      </c>
      <c r="K1105" s="112" t="b">
        <v>0</v>
      </c>
      <c r="L1105" s="112" t="b">
        <v>0</v>
      </c>
    </row>
    <row r="1106" spans="1:12" ht="15">
      <c r="A1106" s="112" t="s">
        <v>2087</v>
      </c>
      <c r="B1106" s="112" t="s">
        <v>2335</v>
      </c>
      <c r="C1106" s="112">
        <v>5</v>
      </c>
      <c r="D1106" s="114">
        <v>0.003064683102539956</v>
      </c>
      <c r="E1106" s="114">
        <v>2.369030221809153</v>
      </c>
      <c r="F1106" s="112" t="s">
        <v>2049</v>
      </c>
      <c r="G1106" s="112" t="b">
        <v>0</v>
      </c>
      <c r="H1106" s="112" t="b">
        <v>0</v>
      </c>
      <c r="I1106" s="112" t="b">
        <v>0</v>
      </c>
      <c r="J1106" s="112" t="b">
        <v>0</v>
      </c>
      <c r="K1106" s="112" t="b">
        <v>0</v>
      </c>
      <c r="L1106" s="112" t="b">
        <v>0</v>
      </c>
    </row>
    <row r="1107" spans="1:12" ht="15">
      <c r="A1107" s="112" t="s">
        <v>2083</v>
      </c>
      <c r="B1107" s="112" t="s">
        <v>2195</v>
      </c>
      <c r="C1107" s="112">
        <v>4</v>
      </c>
      <c r="D1107" s="114">
        <v>0.0019496113766708618</v>
      </c>
      <c r="E1107" s="114">
        <v>1.8571468608302786</v>
      </c>
      <c r="F1107" s="112" t="s">
        <v>2049</v>
      </c>
      <c r="G1107" s="112" t="b">
        <v>0</v>
      </c>
      <c r="H1107" s="112" t="b">
        <v>0</v>
      </c>
      <c r="I1107" s="112" t="b">
        <v>0</v>
      </c>
      <c r="J1107" s="112" t="b">
        <v>0</v>
      </c>
      <c r="K1107" s="112" t="b">
        <v>0</v>
      </c>
      <c r="L1107" s="112" t="b">
        <v>0</v>
      </c>
    </row>
    <row r="1108" spans="1:12" ht="15">
      <c r="A1108" s="112" t="s">
        <v>2195</v>
      </c>
      <c r="B1108" s="112" t="s">
        <v>2224</v>
      </c>
      <c r="C1108" s="112">
        <v>4</v>
      </c>
      <c r="D1108" s="114">
        <v>0.0019496113766708618</v>
      </c>
      <c r="E1108" s="114">
        <v>2.7669702304811907</v>
      </c>
      <c r="F1108" s="112" t="s">
        <v>2049</v>
      </c>
      <c r="G1108" s="112" t="b">
        <v>0</v>
      </c>
      <c r="H1108" s="112" t="b">
        <v>0</v>
      </c>
      <c r="I1108" s="112" t="b">
        <v>0</v>
      </c>
      <c r="J1108" s="112" t="b">
        <v>0</v>
      </c>
      <c r="K1108" s="112" t="b">
        <v>0</v>
      </c>
      <c r="L1108" s="112" t="b">
        <v>0</v>
      </c>
    </row>
    <row r="1109" spans="1:12" ht="15">
      <c r="A1109" s="112" t="s">
        <v>2196</v>
      </c>
      <c r="B1109" s="112" t="s">
        <v>2572</v>
      </c>
      <c r="C1109" s="112">
        <v>4</v>
      </c>
      <c r="D1109" s="114">
        <v>0.0019496113766708618</v>
      </c>
      <c r="E1109" s="114">
        <v>2.289848975761528</v>
      </c>
      <c r="F1109" s="112" t="s">
        <v>2049</v>
      </c>
      <c r="G1109" s="112" t="b">
        <v>0</v>
      </c>
      <c r="H1109" s="112" t="b">
        <v>0</v>
      </c>
      <c r="I1109" s="112" t="b">
        <v>0</v>
      </c>
      <c r="J1109" s="112" t="b">
        <v>0</v>
      </c>
      <c r="K1109" s="112" t="b">
        <v>0</v>
      </c>
      <c r="L1109" s="112" t="b">
        <v>0</v>
      </c>
    </row>
    <row r="1110" spans="1:12" ht="15">
      <c r="A1110" s="112" t="s">
        <v>2123</v>
      </c>
      <c r="B1110" s="112" t="s">
        <v>2299</v>
      </c>
      <c r="C1110" s="112">
        <v>4</v>
      </c>
      <c r="D1110" s="114">
        <v>0.0019496113766708618</v>
      </c>
      <c r="E1110" s="114">
        <v>1.414787712369828</v>
      </c>
      <c r="F1110" s="112" t="s">
        <v>2049</v>
      </c>
      <c r="G1110" s="112" t="b">
        <v>0</v>
      </c>
      <c r="H1110" s="112" t="b">
        <v>0</v>
      </c>
      <c r="I1110" s="112" t="b">
        <v>0</v>
      </c>
      <c r="J1110" s="112" t="b">
        <v>0</v>
      </c>
      <c r="K1110" s="112" t="b">
        <v>0</v>
      </c>
      <c r="L1110" s="112" t="b">
        <v>0</v>
      </c>
    </row>
    <row r="1111" spans="1:12" ht="15">
      <c r="A1111" s="112" t="s">
        <v>2299</v>
      </c>
      <c r="B1111" s="112" t="s">
        <v>2085</v>
      </c>
      <c r="C1111" s="112">
        <v>4</v>
      </c>
      <c r="D1111" s="114">
        <v>0.0019496113766708618</v>
      </c>
      <c r="E1111" s="114">
        <v>1.1476159839668143</v>
      </c>
      <c r="F1111" s="112" t="s">
        <v>2049</v>
      </c>
      <c r="G1111" s="112" t="b">
        <v>0</v>
      </c>
      <c r="H1111" s="112" t="b">
        <v>0</v>
      </c>
      <c r="I1111" s="112" t="b">
        <v>0</v>
      </c>
      <c r="J1111" s="112" t="b">
        <v>0</v>
      </c>
      <c r="K1111" s="112" t="b">
        <v>0</v>
      </c>
      <c r="L1111" s="112" t="b">
        <v>0</v>
      </c>
    </row>
    <row r="1112" spans="1:12" ht="15">
      <c r="A1112" s="112" t="s">
        <v>2299</v>
      </c>
      <c r="B1112" s="112" t="s">
        <v>2184</v>
      </c>
      <c r="C1112" s="112">
        <v>4</v>
      </c>
      <c r="D1112" s="114">
        <v>0.0019496113766708618</v>
      </c>
      <c r="E1112" s="114">
        <v>1.9754550185395654</v>
      </c>
      <c r="F1112" s="112" t="s">
        <v>2049</v>
      </c>
      <c r="G1112" s="112" t="b">
        <v>0</v>
      </c>
      <c r="H1112" s="112" t="b">
        <v>0</v>
      </c>
      <c r="I1112" s="112" t="b">
        <v>0</v>
      </c>
      <c r="J1112" s="112" t="b">
        <v>0</v>
      </c>
      <c r="K1112" s="112" t="b">
        <v>0</v>
      </c>
      <c r="L1112" s="112" t="b">
        <v>0</v>
      </c>
    </row>
    <row r="1113" spans="1:12" ht="15">
      <c r="A1113" s="112" t="s">
        <v>2184</v>
      </c>
      <c r="B1113" s="112" t="s">
        <v>2334</v>
      </c>
      <c r="C1113" s="112">
        <v>4</v>
      </c>
      <c r="D1113" s="114">
        <v>0.0019496113766708618</v>
      </c>
      <c r="E1113" s="114">
        <v>2.2307275236428716</v>
      </c>
      <c r="F1113" s="112" t="s">
        <v>2049</v>
      </c>
      <c r="G1113" s="112" t="b">
        <v>0</v>
      </c>
      <c r="H1113" s="112" t="b">
        <v>0</v>
      </c>
      <c r="I1113" s="112" t="b">
        <v>0</v>
      </c>
      <c r="J1113" s="112" t="b">
        <v>0</v>
      </c>
      <c r="K1113" s="112" t="b">
        <v>0</v>
      </c>
      <c r="L1113" s="112" t="b">
        <v>0</v>
      </c>
    </row>
    <row r="1114" spans="1:12" ht="15">
      <c r="A1114" s="112" t="s">
        <v>2203</v>
      </c>
      <c r="B1114" s="112" t="s">
        <v>2246</v>
      </c>
      <c r="C1114" s="112">
        <v>4</v>
      </c>
      <c r="D1114" s="114">
        <v>0.002158016275100053</v>
      </c>
      <c r="E1114" s="114">
        <v>2.113757716705847</v>
      </c>
      <c r="F1114" s="112" t="s">
        <v>2049</v>
      </c>
      <c r="G1114" s="112" t="b">
        <v>0</v>
      </c>
      <c r="H1114" s="112" t="b">
        <v>0</v>
      </c>
      <c r="I1114" s="112" t="b">
        <v>0</v>
      </c>
      <c r="J1114" s="112" t="b">
        <v>0</v>
      </c>
      <c r="K1114" s="112" t="b">
        <v>0</v>
      </c>
      <c r="L1114" s="112" t="b">
        <v>0</v>
      </c>
    </row>
    <row r="1115" spans="1:12" ht="15">
      <c r="A1115" s="112" t="s">
        <v>2142</v>
      </c>
      <c r="B1115" s="112" t="s">
        <v>2202</v>
      </c>
      <c r="C1115" s="112">
        <v>4</v>
      </c>
      <c r="D1115" s="114">
        <v>0.002158016275100053</v>
      </c>
      <c r="E1115" s="114">
        <v>1.5494862862672845</v>
      </c>
      <c r="F1115" s="112" t="s">
        <v>2049</v>
      </c>
      <c r="G1115" s="112" t="b">
        <v>0</v>
      </c>
      <c r="H1115" s="112" t="b">
        <v>0</v>
      </c>
      <c r="I1115" s="112" t="b">
        <v>0</v>
      </c>
      <c r="J1115" s="112" t="b">
        <v>0</v>
      </c>
      <c r="K1115" s="112" t="b">
        <v>0</v>
      </c>
      <c r="L1115" s="112" t="b">
        <v>0</v>
      </c>
    </row>
    <row r="1116" spans="1:12" ht="15">
      <c r="A1116" s="112" t="s">
        <v>2080</v>
      </c>
      <c r="B1116" s="112" t="s">
        <v>2117</v>
      </c>
      <c r="C1116" s="112">
        <v>4</v>
      </c>
      <c r="D1116" s="114">
        <v>0.0019496113766708618</v>
      </c>
      <c r="E1116" s="114">
        <v>2.090276620856324</v>
      </c>
      <c r="F1116" s="112" t="s">
        <v>2049</v>
      </c>
      <c r="G1116" s="112" t="b">
        <v>0</v>
      </c>
      <c r="H1116" s="112" t="b">
        <v>0</v>
      </c>
      <c r="I1116" s="112" t="b">
        <v>0</v>
      </c>
      <c r="J1116" s="112" t="b">
        <v>0</v>
      </c>
      <c r="K1116" s="112" t="b">
        <v>0</v>
      </c>
      <c r="L1116" s="112" t="b">
        <v>0</v>
      </c>
    </row>
    <row r="1117" spans="1:12" ht="15">
      <c r="A1117" s="112" t="s">
        <v>2153</v>
      </c>
      <c r="B1117" s="112" t="s">
        <v>2085</v>
      </c>
      <c r="C1117" s="112">
        <v>4</v>
      </c>
      <c r="D1117" s="114">
        <v>0.002158016275100053</v>
      </c>
      <c r="E1117" s="114">
        <v>0.8231048924533103</v>
      </c>
      <c r="F1117" s="112" t="s">
        <v>2049</v>
      </c>
      <c r="G1117" s="112" t="b">
        <v>0</v>
      </c>
      <c r="H1117" s="112" t="b">
        <v>0</v>
      </c>
      <c r="I1117" s="112" t="b">
        <v>0</v>
      </c>
      <c r="J1117" s="112" t="b">
        <v>0</v>
      </c>
      <c r="K1117" s="112" t="b">
        <v>0</v>
      </c>
      <c r="L1117" s="112" t="b">
        <v>0</v>
      </c>
    </row>
    <row r="1118" spans="1:12" ht="15">
      <c r="A1118" s="112" t="s">
        <v>2083</v>
      </c>
      <c r="B1118" s="112" t="s">
        <v>2083</v>
      </c>
      <c r="C1118" s="112">
        <v>4</v>
      </c>
      <c r="D1118" s="114">
        <v>0.002158016275100053</v>
      </c>
      <c r="E1118" s="114">
        <v>1.1581768564942598</v>
      </c>
      <c r="F1118" s="112" t="s">
        <v>2049</v>
      </c>
      <c r="G1118" s="112" t="b">
        <v>0</v>
      </c>
      <c r="H1118" s="112" t="b">
        <v>0</v>
      </c>
      <c r="I1118" s="112" t="b">
        <v>0</v>
      </c>
      <c r="J1118" s="112" t="b">
        <v>0</v>
      </c>
      <c r="K1118" s="112" t="b">
        <v>0</v>
      </c>
      <c r="L1118" s="112" t="b">
        <v>0</v>
      </c>
    </row>
    <row r="1119" spans="1:12" ht="15">
      <c r="A1119" s="112" t="s">
        <v>2080</v>
      </c>
      <c r="B1119" s="112" t="s">
        <v>2127</v>
      </c>
      <c r="C1119" s="112">
        <v>4</v>
      </c>
      <c r="D1119" s="114">
        <v>0.0019496113766708618</v>
      </c>
      <c r="E1119" s="114">
        <v>2.090276620856324</v>
      </c>
      <c r="F1119" s="112" t="s">
        <v>2049</v>
      </c>
      <c r="G1119" s="112" t="b">
        <v>0</v>
      </c>
      <c r="H1119" s="112" t="b">
        <v>0</v>
      </c>
      <c r="I1119" s="112" t="b">
        <v>0</v>
      </c>
      <c r="J1119" s="112" t="b">
        <v>0</v>
      </c>
      <c r="K1119" s="112" t="b">
        <v>0</v>
      </c>
      <c r="L1119" s="112" t="b">
        <v>0</v>
      </c>
    </row>
    <row r="1120" spans="1:12" ht="15">
      <c r="A1120" s="112" t="s">
        <v>2565</v>
      </c>
      <c r="B1120" s="112" t="s">
        <v>2418</v>
      </c>
      <c r="C1120" s="112">
        <v>4</v>
      </c>
      <c r="D1120" s="114">
        <v>0.002451746482031965</v>
      </c>
      <c r="E1120" s="114">
        <v>2.5908789714255094</v>
      </c>
      <c r="F1120" s="112" t="s">
        <v>2049</v>
      </c>
      <c r="G1120" s="112" t="b">
        <v>0</v>
      </c>
      <c r="H1120" s="112" t="b">
        <v>0</v>
      </c>
      <c r="I1120" s="112" t="b">
        <v>0</v>
      </c>
      <c r="J1120" s="112" t="b">
        <v>1</v>
      </c>
      <c r="K1120" s="112" t="b">
        <v>0</v>
      </c>
      <c r="L1120" s="112" t="b">
        <v>0</v>
      </c>
    </row>
    <row r="1121" spans="1:12" ht="15">
      <c r="A1121" s="112" t="s">
        <v>2094</v>
      </c>
      <c r="B1121" s="112" t="s">
        <v>2080</v>
      </c>
      <c r="C1121" s="112">
        <v>3</v>
      </c>
      <c r="D1121" s="114">
        <v>0.0016185122063250399</v>
      </c>
      <c r="E1121" s="114">
        <v>1.3604300500472355</v>
      </c>
      <c r="F1121" s="112" t="s">
        <v>2049</v>
      </c>
      <c r="G1121" s="112" t="b">
        <v>0</v>
      </c>
      <c r="H1121" s="112" t="b">
        <v>0</v>
      </c>
      <c r="I1121" s="112" t="b">
        <v>0</v>
      </c>
      <c r="J1121" s="112" t="b">
        <v>0</v>
      </c>
      <c r="K1121" s="112" t="b">
        <v>0</v>
      </c>
      <c r="L1121" s="112" t="b">
        <v>0</v>
      </c>
    </row>
    <row r="1122" spans="1:12" ht="15">
      <c r="A1122" s="112" t="s">
        <v>2080</v>
      </c>
      <c r="B1122" s="112" t="s">
        <v>2139</v>
      </c>
      <c r="C1122" s="112">
        <v>3</v>
      </c>
      <c r="D1122" s="114">
        <v>0.0016185122063250399</v>
      </c>
      <c r="E1122" s="114">
        <v>1.9653378842480242</v>
      </c>
      <c r="F1122" s="112" t="s">
        <v>2049</v>
      </c>
      <c r="G1122" s="112" t="b">
        <v>0</v>
      </c>
      <c r="H1122" s="112" t="b">
        <v>0</v>
      </c>
      <c r="I1122" s="112" t="b">
        <v>0</v>
      </c>
      <c r="J1122" s="112" t="b">
        <v>0</v>
      </c>
      <c r="K1122" s="112" t="b">
        <v>0</v>
      </c>
      <c r="L1122" s="112" t="b">
        <v>0</v>
      </c>
    </row>
    <row r="1123" spans="1:12" ht="15">
      <c r="A1123" s="112" t="s">
        <v>2230</v>
      </c>
      <c r="B1123" s="112" t="s">
        <v>2083</v>
      </c>
      <c r="C1123" s="112">
        <v>3</v>
      </c>
      <c r="D1123" s="114">
        <v>0.0016185122063250399</v>
      </c>
      <c r="E1123" s="114">
        <v>1.749241463520759</v>
      </c>
      <c r="F1123" s="112" t="s">
        <v>2049</v>
      </c>
      <c r="G1123" s="112" t="b">
        <v>0</v>
      </c>
      <c r="H1123" s="112" t="b">
        <v>0</v>
      </c>
      <c r="I1123" s="112" t="b">
        <v>0</v>
      </c>
      <c r="J1123" s="112" t="b">
        <v>0</v>
      </c>
      <c r="K1123" s="112" t="b">
        <v>0</v>
      </c>
      <c r="L1123" s="112" t="b">
        <v>0</v>
      </c>
    </row>
    <row r="1124" spans="1:12" ht="15">
      <c r="A1124" s="112" t="s">
        <v>2083</v>
      </c>
      <c r="B1124" s="112" t="s">
        <v>2225</v>
      </c>
      <c r="C1124" s="112">
        <v>3</v>
      </c>
      <c r="D1124" s="114">
        <v>0.0016185122063250399</v>
      </c>
      <c r="E1124" s="114">
        <v>1.954056873838335</v>
      </c>
      <c r="F1124" s="112" t="s">
        <v>2049</v>
      </c>
      <c r="G1124" s="112" t="b">
        <v>0</v>
      </c>
      <c r="H1124" s="112" t="b">
        <v>0</v>
      </c>
      <c r="I1124" s="112" t="b">
        <v>0</v>
      </c>
      <c r="J1124" s="112" t="b">
        <v>0</v>
      </c>
      <c r="K1124" s="112" t="b">
        <v>0</v>
      </c>
      <c r="L1124" s="112" t="b">
        <v>0</v>
      </c>
    </row>
    <row r="1125" spans="1:12" ht="15">
      <c r="A1125" s="112" t="s">
        <v>2196</v>
      </c>
      <c r="B1125" s="112" t="s">
        <v>2196</v>
      </c>
      <c r="C1125" s="112">
        <v>3</v>
      </c>
      <c r="D1125" s="114">
        <v>0.0016185122063250399</v>
      </c>
      <c r="E1125" s="114">
        <v>1.6877889844335658</v>
      </c>
      <c r="F1125" s="112" t="s">
        <v>2049</v>
      </c>
      <c r="G1125" s="112" t="b">
        <v>0</v>
      </c>
      <c r="H1125" s="112" t="b">
        <v>0</v>
      </c>
      <c r="I1125" s="112" t="b">
        <v>0</v>
      </c>
      <c r="J1125" s="112" t="b">
        <v>0</v>
      </c>
      <c r="K1125" s="112" t="b">
        <v>0</v>
      </c>
      <c r="L1125" s="112" t="b">
        <v>0</v>
      </c>
    </row>
    <row r="1126" spans="1:12" ht="15">
      <c r="A1126" s="112" t="s">
        <v>2184</v>
      </c>
      <c r="B1126" s="112" t="s">
        <v>2153</v>
      </c>
      <c r="C1126" s="112">
        <v>3</v>
      </c>
      <c r="D1126" s="114">
        <v>0.0016185122063250399</v>
      </c>
      <c r="E1126" s="114">
        <v>1.5260051904177616</v>
      </c>
      <c r="F1126" s="112" t="s">
        <v>2049</v>
      </c>
      <c r="G1126" s="112" t="b">
        <v>0</v>
      </c>
      <c r="H1126" s="112" t="b">
        <v>0</v>
      </c>
      <c r="I1126" s="112" t="b">
        <v>0</v>
      </c>
      <c r="J1126" s="112" t="b">
        <v>0</v>
      </c>
      <c r="K1126" s="112" t="b">
        <v>0</v>
      </c>
      <c r="L1126" s="112" t="b">
        <v>0</v>
      </c>
    </row>
    <row r="1127" spans="1:12" ht="15">
      <c r="A1127" s="112" t="s">
        <v>2488</v>
      </c>
      <c r="B1127" s="112" t="s">
        <v>2457</v>
      </c>
      <c r="C1127" s="112">
        <v>3</v>
      </c>
      <c r="D1127" s="114">
        <v>0.002215411190544801</v>
      </c>
      <c r="E1127" s="114">
        <v>2.642031493872891</v>
      </c>
      <c r="F1127" s="112" t="s">
        <v>2049</v>
      </c>
      <c r="G1127" s="112" t="b">
        <v>0</v>
      </c>
      <c r="H1127" s="112" t="b">
        <v>0</v>
      </c>
      <c r="I1127" s="112" t="b">
        <v>0</v>
      </c>
      <c r="J1127" s="112" t="b">
        <v>0</v>
      </c>
      <c r="K1127" s="112" t="b">
        <v>0</v>
      </c>
      <c r="L1127" s="112" t="b">
        <v>0</v>
      </c>
    </row>
    <row r="1128" spans="1:12" ht="15">
      <c r="A1128" s="112" t="s">
        <v>2457</v>
      </c>
      <c r="B1128" s="112" t="s">
        <v>2612</v>
      </c>
      <c r="C1128" s="112">
        <v>3</v>
      </c>
      <c r="D1128" s="114">
        <v>0.002215411190544801</v>
      </c>
      <c r="E1128" s="114">
        <v>2.642031493872891</v>
      </c>
      <c r="F1128" s="112" t="s">
        <v>2049</v>
      </c>
      <c r="G1128" s="112" t="b">
        <v>0</v>
      </c>
      <c r="H1128" s="112" t="b">
        <v>0</v>
      </c>
      <c r="I1128" s="112" t="b">
        <v>0</v>
      </c>
      <c r="J1128" s="112" t="b">
        <v>0</v>
      </c>
      <c r="K1128" s="112" t="b">
        <v>0</v>
      </c>
      <c r="L1128" s="112" t="b">
        <v>0</v>
      </c>
    </row>
    <row r="1129" spans="1:12" ht="15">
      <c r="A1129" s="112" t="s">
        <v>2376</v>
      </c>
      <c r="B1129" s="112" t="s">
        <v>2273</v>
      </c>
      <c r="C1129" s="112">
        <v>3</v>
      </c>
      <c r="D1129" s="114">
        <v>0.002215411190544801</v>
      </c>
      <c r="E1129" s="114">
        <v>2.068000226145172</v>
      </c>
      <c r="F1129" s="112" t="s">
        <v>2049</v>
      </c>
      <c r="G1129" s="112" t="b">
        <v>0</v>
      </c>
      <c r="H1129" s="112" t="b">
        <v>0</v>
      </c>
      <c r="I1129" s="112" t="b">
        <v>0</v>
      </c>
      <c r="J1129" s="112" t="b">
        <v>0</v>
      </c>
      <c r="K1129" s="112" t="b">
        <v>0</v>
      </c>
      <c r="L1129" s="112" t="b">
        <v>0</v>
      </c>
    </row>
    <row r="1130" spans="1:12" ht="15">
      <c r="A1130" s="112" t="s">
        <v>2368</v>
      </c>
      <c r="B1130" s="112" t="s">
        <v>2077</v>
      </c>
      <c r="C1130" s="112">
        <v>3</v>
      </c>
      <c r="D1130" s="114">
        <v>0.0016185122063250399</v>
      </c>
      <c r="E1130" s="114">
        <v>2.068000226145172</v>
      </c>
      <c r="F1130" s="112" t="s">
        <v>2049</v>
      </c>
      <c r="G1130" s="112" t="b">
        <v>0</v>
      </c>
      <c r="H1130" s="112" t="b">
        <v>0</v>
      </c>
      <c r="I1130" s="112" t="b">
        <v>0</v>
      </c>
      <c r="J1130" s="112" t="b">
        <v>0</v>
      </c>
      <c r="K1130" s="112" t="b">
        <v>0</v>
      </c>
      <c r="L1130" s="112" t="b">
        <v>0</v>
      </c>
    </row>
    <row r="1131" spans="1:12" ht="15">
      <c r="A1131" s="112" t="s">
        <v>2170</v>
      </c>
      <c r="B1131" s="112" t="s">
        <v>2472</v>
      </c>
      <c r="C1131" s="112">
        <v>3</v>
      </c>
      <c r="D1131" s="114">
        <v>0.0018388098615239735</v>
      </c>
      <c r="E1131" s="114">
        <v>1.8684278712399678</v>
      </c>
      <c r="F1131" s="112" t="s">
        <v>2049</v>
      </c>
      <c r="G1131" s="112" t="b">
        <v>0</v>
      </c>
      <c r="H1131" s="112" t="b">
        <v>0</v>
      </c>
      <c r="I1131" s="112" t="b">
        <v>0</v>
      </c>
      <c r="J1131" s="112" t="b">
        <v>0</v>
      </c>
      <c r="K1131" s="112" t="b">
        <v>0</v>
      </c>
      <c r="L1131" s="112" t="b">
        <v>0</v>
      </c>
    </row>
    <row r="1132" spans="1:12" ht="15">
      <c r="A1132" s="112" t="s">
        <v>2294</v>
      </c>
      <c r="B1132" s="112" t="s">
        <v>2295</v>
      </c>
      <c r="C1132" s="112">
        <v>3</v>
      </c>
      <c r="D1132" s="114">
        <v>0.002215411190544801</v>
      </c>
      <c r="E1132" s="114">
        <v>2.8919089670894906</v>
      </c>
      <c r="F1132" s="112" t="s">
        <v>2049</v>
      </c>
      <c r="G1132" s="112" t="b">
        <v>0</v>
      </c>
      <c r="H1132" s="112" t="b">
        <v>0</v>
      </c>
      <c r="I1132" s="112" t="b">
        <v>0</v>
      </c>
      <c r="J1132" s="112" t="b">
        <v>0</v>
      </c>
      <c r="K1132" s="112" t="b">
        <v>0</v>
      </c>
      <c r="L1132" s="112" t="b">
        <v>0</v>
      </c>
    </row>
    <row r="1133" spans="1:12" ht="15">
      <c r="A1133" s="112" t="s">
        <v>2376</v>
      </c>
      <c r="B1133" s="112" t="s">
        <v>2754</v>
      </c>
      <c r="C1133" s="112">
        <v>3</v>
      </c>
      <c r="D1133" s="114">
        <v>0.002215411190544801</v>
      </c>
      <c r="E1133" s="114">
        <v>2.5908789714255094</v>
      </c>
      <c r="F1133" s="112" t="s">
        <v>2049</v>
      </c>
      <c r="G1133" s="112" t="b">
        <v>0</v>
      </c>
      <c r="H1133" s="112" t="b">
        <v>0</v>
      </c>
      <c r="I1133" s="112" t="b">
        <v>0</v>
      </c>
      <c r="J1133" s="112" t="b">
        <v>0</v>
      </c>
      <c r="K1133" s="112" t="b">
        <v>0</v>
      </c>
      <c r="L1133" s="112" t="b">
        <v>0</v>
      </c>
    </row>
    <row r="1134" spans="1:12" ht="15">
      <c r="A1134" s="112" t="s">
        <v>2080</v>
      </c>
      <c r="B1134" s="112" t="s">
        <v>2083</v>
      </c>
      <c r="C1134" s="112">
        <v>3</v>
      </c>
      <c r="D1134" s="114">
        <v>0.0018388098615239735</v>
      </c>
      <c r="E1134" s="114">
        <v>1.1694578669039488</v>
      </c>
      <c r="F1134" s="112" t="s">
        <v>2049</v>
      </c>
      <c r="G1134" s="112" t="b">
        <v>0</v>
      </c>
      <c r="H1134" s="112" t="b">
        <v>0</v>
      </c>
      <c r="I1134" s="112" t="b">
        <v>0</v>
      </c>
      <c r="J1134" s="112" t="b">
        <v>0</v>
      </c>
      <c r="K1134" s="112" t="b">
        <v>0</v>
      </c>
      <c r="L1134" s="112" t="b">
        <v>0</v>
      </c>
    </row>
    <row r="1135" spans="1:12" ht="15">
      <c r="A1135" s="112" t="s">
        <v>2090</v>
      </c>
      <c r="B1135" s="112" t="s">
        <v>2126</v>
      </c>
      <c r="C1135" s="112">
        <v>3</v>
      </c>
      <c r="D1135" s="114">
        <v>0.002215411190544801</v>
      </c>
      <c r="E1135" s="114">
        <v>1.7669702304811905</v>
      </c>
      <c r="F1135" s="112" t="s">
        <v>2049</v>
      </c>
      <c r="G1135" s="112" t="b">
        <v>0</v>
      </c>
      <c r="H1135" s="112" t="b">
        <v>0</v>
      </c>
      <c r="I1135" s="112" t="b">
        <v>0</v>
      </c>
      <c r="J1135" s="112" t="b">
        <v>0</v>
      </c>
      <c r="K1135" s="112" t="b">
        <v>0</v>
      </c>
      <c r="L1135" s="112" t="b">
        <v>0</v>
      </c>
    </row>
    <row r="1136" spans="1:12" ht="15">
      <c r="A1136" s="112" t="s">
        <v>2077</v>
      </c>
      <c r="B1136" s="112" t="s">
        <v>2080</v>
      </c>
      <c r="C1136" s="112">
        <v>3</v>
      </c>
      <c r="D1136" s="114">
        <v>0.002215411190544801</v>
      </c>
      <c r="E1136" s="114">
        <v>1.3604300500472355</v>
      </c>
      <c r="F1136" s="112" t="s">
        <v>2049</v>
      </c>
      <c r="G1136" s="112" t="b">
        <v>0</v>
      </c>
      <c r="H1136" s="112" t="b">
        <v>0</v>
      </c>
      <c r="I1136" s="112" t="b">
        <v>0</v>
      </c>
      <c r="J1136" s="112" t="b">
        <v>0</v>
      </c>
      <c r="K1136" s="112" t="b">
        <v>0</v>
      </c>
      <c r="L1136" s="112" t="b">
        <v>0</v>
      </c>
    </row>
    <row r="1137" spans="1:12" ht="15">
      <c r="A1137" s="112" t="s">
        <v>2571</v>
      </c>
      <c r="B1137" s="112" t="s">
        <v>2370</v>
      </c>
      <c r="C1137" s="112">
        <v>3</v>
      </c>
      <c r="D1137" s="114">
        <v>0.0016185122063250399</v>
      </c>
      <c r="E1137" s="114">
        <v>2.4659402348172095</v>
      </c>
      <c r="F1137" s="112" t="s">
        <v>2049</v>
      </c>
      <c r="G1137" s="112" t="b">
        <v>0</v>
      </c>
      <c r="H1137" s="112" t="b">
        <v>0</v>
      </c>
      <c r="I1137" s="112" t="b">
        <v>0</v>
      </c>
      <c r="J1137" s="112" t="b">
        <v>0</v>
      </c>
      <c r="K1137" s="112" t="b">
        <v>0</v>
      </c>
      <c r="L1137" s="112" t="b">
        <v>0</v>
      </c>
    </row>
    <row r="1138" spans="1:12" ht="15">
      <c r="A1138" s="112" t="s">
        <v>2138</v>
      </c>
      <c r="B1138" s="112" t="s">
        <v>2133</v>
      </c>
      <c r="C1138" s="112">
        <v>3</v>
      </c>
      <c r="D1138" s="114">
        <v>0.002215411190544801</v>
      </c>
      <c r="E1138" s="114">
        <v>2.545121480864834</v>
      </c>
      <c r="F1138" s="112" t="s">
        <v>2049</v>
      </c>
      <c r="G1138" s="112" t="b">
        <v>0</v>
      </c>
      <c r="H1138" s="112" t="b">
        <v>0</v>
      </c>
      <c r="I1138" s="112" t="b">
        <v>0</v>
      </c>
      <c r="J1138" s="112" t="b">
        <v>0</v>
      </c>
      <c r="K1138" s="112" t="b">
        <v>0</v>
      </c>
      <c r="L1138" s="112" t="b">
        <v>0</v>
      </c>
    </row>
    <row r="1139" spans="1:12" ht="15">
      <c r="A1139" s="112" t="s">
        <v>2564</v>
      </c>
      <c r="B1139" s="112" t="s">
        <v>2707</v>
      </c>
      <c r="C1139" s="112">
        <v>3</v>
      </c>
      <c r="D1139" s="114">
        <v>0.0018388098615239735</v>
      </c>
      <c r="E1139" s="114">
        <v>2.8919089670894906</v>
      </c>
      <c r="F1139" s="112" t="s">
        <v>2049</v>
      </c>
      <c r="G1139" s="112" t="b">
        <v>0</v>
      </c>
      <c r="H1139" s="112" t="b">
        <v>0</v>
      </c>
      <c r="I1139" s="112" t="b">
        <v>0</v>
      </c>
      <c r="J1139" s="112" t="b">
        <v>0</v>
      </c>
      <c r="K1139" s="112" t="b">
        <v>0</v>
      </c>
      <c r="L1139" s="112" t="b">
        <v>0</v>
      </c>
    </row>
    <row r="1140" spans="1:12" ht="15">
      <c r="A1140" s="112" t="s">
        <v>2170</v>
      </c>
      <c r="B1140" s="112" t="s">
        <v>2085</v>
      </c>
      <c r="C1140" s="112">
        <v>3</v>
      </c>
      <c r="D1140" s="114">
        <v>0.002215411190544801</v>
      </c>
      <c r="E1140" s="114">
        <v>0.6981661558450104</v>
      </c>
      <c r="F1140" s="112" t="s">
        <v>2049</v>
      </c>
      <c r="G1140" s="112" t="b">
        <v>0</v>
      </c>
      <c r="H1140" s="112" t="b">
        <v>0</v>
      </c>
      <c r="I1140" s="112" t="b">
        <v>0</v>
      </c>
      <c r="J1140" s="112" t="b">
        <v>0</v>
      </c>
      <c r="K1140" s="112" t="b">
        <v>0</v>
      </c>
      <c r="L1140" s="112" t="b">
        <v>0</v>
      </c>
    </row>
    <row r="1141" spans="1:12" ht="15">
      <c r="A1141" s="112" t="s">
        <v>2170</v>
      </c>
      <c r="B1141" s="112" t="s">
        <v>2169</v>
      </c>
      <c r="C1141" s="112">
        <v>3</v>
      </c>
      <c r="D1141" s="114">
        <v>0.002215411190544801</v>
      </c>
      <c r="E1141" s="114">
        <v>1.3121253704726805</v>
      </c>
      <c r="F1141" s="112" t="s">
        <v>2049</v>
      </c>
      <c r="G1141" s="112" t="b">
        <v>0</v>
      </c>
      <c r="H1141" s="112" t="b">
        <v>0</v>
      </c>
      <c r="I1141" s="112" t="b">
        <v>0</v>
      </c>
      <c r="J1141" s="112" t="b">
        <v>0</v>
      </c>
      <c r="K1141" s="112" t="b">
        <v>0</v>
      </c>
      <c r="L1141" s="112" t="b">
        <v>0</v>
      </c>
    </row>
    <row r="1142" spans="1:12" ht="15">
      <c r="A1142" s="112" t="s">
        <v>2088</v>
      </c>
      <c r="B1142" s="112" t="s">
        <v>2170</v>
      </c>
      <c r="C1142" s="112">
        <v>3</v>
      </c>
      <c r="D1142" s="114">
        <v>0.002215411190544801</v>
      </c>
      <c r="E1142" s="114">
        <v>0.5494862862672844</v>
      </c>
      <c r="F1142" s="112" t="s">
        <v>2049</v>
      </c>
      <c r="G1142" s="112" t="b">
        <v>0</v>
      </c>
      <c r="H1142" s="112" t="b">
        <v>0</v>
      </c>
      <c r="I1142" s="112" t="b">
        <v>0</v>
      </c>
      <c r="J1142" s="112" t="b">
        <v>0</v>
      </c>
      <c r="K1142" s="112" t="b">
        <v>0</v>
      </c>
      <c r="L1142" s="112" t="b">
        <v>0</v>
      </c>
    </row>
    <row r="1143" spans="1:12" ht="15">
      <c r="A1143" s="112" t="s">
        <v>2715</v>
      </c>
      <c r="B1143" s="112" t="s">
        <v>2716</v>
      </c>
      <c r="C1143" s="112">
        <v>3</v>
      </c>
      <c r="D1143" s="114">
        <v>0.002215411190544801</v>
      </c>
      <c r="E1143" s="114">
        <v>2.8919089670894906</v>
      </c>
      <c r="F1143" s="112" t="s">
        <v>2049</v>
      </c>
      <c r="G1143" s="112" t="b">
        <v>0</v>
      </c>
      <c r="H1143" s="112" t="b">
        <v>1</v>
      </c>
      <c r="I1143" s="112" t="b">
        <v>0</v>
      </c>
      <c r="J1143" s="112" t="b">
        <v>0</v>
      </c>
      <c r="K1143" s="112" t="b">
        <v>0</v>
      </c>
      <c r="L1143" s="112" t="b">
        <v>0</v>
      </c>
    </row>
    <row r="1144" spans="1:12" ht="15">
      <c r="A1144" s="112" t="s">
        <v>2935</v>
      </c>
      <c r="B1144" s="112" t="s">
        <v>2106</v>
      </c>
      <c r="C1144" s="112">
        <v>2</v>
      </c>
      <c r="D1144" s="114">
        <v>0.0012258732410159825</v>
      </c>
      <c r="E1144" s="114">
        <v>2.670060217473134</v>
      </c>
      <c r="F1144" s="112" t="s">
        <v>2049</v>
      </c>
      <c r="G1144" s="112" t="b">
        <v>1</v>
      </c>
      <c r="H1144" s="112" t="b">
        <v>0</v>
      </c>
      <c r="I1144" s="112" t="b">
        <v>0</v>
      </c>
      <c r="J1144" s="112" t="b">
        <v>0</v>
      </c>
      <c r="K1144" s="112" t="b">
        <v>0</v>
      </c>
      <c r="L1144" s="112" t="b">
        <v>0</v>
      </c>
    </row>
    <row r="1145" spans="1:12" ht="15">
      <c r="A1145" s="112" t="s">
        <v>2096</v>
      </c>
      <c r="B1145" s="112" t="s">
        <v>2230</v>
      </c>
      <c r="C1145" s="112">
        <v>2</v>
      </c>
      <c r="D1145" s="114">
        <v>0.0012258732410159825</v>
      </c>
      <c r="E1145" s="114">
        <v>2.068000226145172</v>
      </c>
      <c r="F1145" s="112" t="s">
        <v>2049</v>
      </c>
      <c r="G1145" s="112" t="b">
        <v>0</v>
      </c>
      <c r="H1145" s="112" t="b">
        <v>0</v>
      </c>
      <c r="I1145" s="112" t="b">
        <v>0</v>
      </c>
      <c r="J1145" s="112" t="b">
        <v>0</v>
      </c>
      <c r="K1145" s="112" t="b">
        <v>0</v>
      </c>
      <c r="L1145" s="112" t="b">
        <v>0</v>
      </c>
    </row>
    <row r="1146" spans="1:12" ht="15">
      <c r="A1146" s="112" t="s">
        <v>2123</v>
      </c>
      <c r="B1146" s="112" t="s">
        <v>2233</v>
      </c>
      <c r="C1146" s="112">
        <v>2</v>
      </c>
      <c r="D1146" s="114">
        <v>0.0012258732410159825</v>
      </c>
      <c r="E1146" s="114">
        <v>1.0680002261451718</v>
      </c>
      <c r="F1146" s="112" t="s">
        <v>2049</v>
      </c>
      <c r="G1146" s="112" t="b">
        <v>0</v>
      </c>
      <c r="H1146" s="112" t="b">
        <v>0</v>
      </c>
      <c r="I1146" s="112" t="b">
        <v>0</v>
      </c>
      <c r="J1146" s="112" t="b">
        <v>0</v>
      </c>
      <c r="K1146" s="112" t="b">
        <v>0</v>
      </c>
      <c r="L1146" s="112" t="b">
        <v>0</v>
      </c>
    </row>
    <row r="1147" spans="1:12" ht="15">
      <c r="A1147" s="112" t="s">
        <v>2142</v>
      </c>
      <c r="B1147" s="112" t="s">
        <v>3239</v>
      </c>
      <c r="C1147" s="112">
        <v>2</v>
      </c>
      <c r="D1147" s="114">
        <v>0.001476940793696534</v>
      </c>
      <c r="E1147" s="114">
        <v>2.026607540986947</v>
      </c>
      <c r="F1147" s="112" t="s">
        <v>2049</v>
      </c>
      <c r="G1147" s="112" t="b">
        <v>0</v>
      </c>
      <c r="H1147" s="112" t="b">
        <v>0</v>
      </c>
      <c r="I1147" s="112" t="b">
        <v>0</v>
      </c>
      <c r="J1147" s="112" t="b">
        <v>0</v>
      </c>
      <c r="K1147" s="112" t="b">
        <v>0</v>
      </c>
      <c r="L1147" s="112" t="b">
        <v>0</v>
      </c>
    </row>
    <row r="1148" spans="1:12" ht="15">
      <c r="A1148" s="112" t="s">
        <v>3239</v>
      </c>
      <c r="B1148" s="112" t="s">
        <v>3240</v>
      </c>
      <c r="C1148" s="112">
        <v>2</v>
      </c>
      <c r="D1148" s="114">
        <v>0.001476940793696534</v>
      </c>
      <c r="E1148" s="114">
        <v>3.068000226145172</v>
      </c>
      <c r="F1148" s="112" t="s">
        <v>2049</v>
      </c>
      <c r="G1148" s="112" t="b">
        <v>0</v>
      </c>
      <c r="H1148" s="112" t="b">
        <v>0</v>
      </c>
      <c r="I1148" s="112" t="b">
        <v>0</v>
      </c>
      <c r="J1148" s="112" t="b">
        <v>0</v>
      </c>
      <c r="K1148" s="112" t="b">
        <v>0</v>
      </c>
      <c r="L1148" s="112" t="b">
        <v>0</v>
      </c>
    </row>
    <row r="1149" spans="1:12" ht="15">
      <c r="A1149" s="112" t="s">
        <v>3236</v>
      </c>
      <c r="B1149" s="112" t="s">
        <v>3237</v>
      </c>
      <c r="C1149" s="112">
        <v>2</v>
      </c>
      <c r="D1149" s="114">
        <v>0.001476940793696534</v>
      </c>
      <c r="E1149" s="114">
        <v>3.068000226145172</v>
      </c>
      <c r="F1149" s="112" t="s">
        <v>2049</v>
      </c>
      <c r="G1149" s="112" t="b">
        <v>0</v>
      </c>
      <c r="H1149" s="112" t="b">
        <v>0</v>
      </c>
      <c r="I1149" s="112" t="b">
        <v>0</v>
      </c>
      <c r="J1149" s="112" t="b">
        <v>0</v>
      </c>
      <c r="K1149" s="112" t="b">
        <v>0</v>
      </c>
      <c r="L1149" s="112" t="b">
        <v>0</v>
      </c>
    </row>
    <row r="1150" spans="1:12" ht="15">
      <c r="A1150" s="112" t="s">
        <v>2210</v>
      </c>
      <c r="B1150" s="112" t="s">
        <v>2182</v>
      </c>
      <c r="C1150" s="112">
        <v>2</v>
      </c>
      <c r="D1150" s="114">
        <v>0.0012258732410159825</v>
      </c>
      <c r="E1150" s="114">
        <v>2.493968958417453</v>
      </c>
      <c r="F1150" s="112" t="s">
        <v>2049</v>
      </c>
      <c r="G1150" s="112" t="b">
        <v>0</v>
      </c>
      <c r="H1150" s="112" t="b">
        <v>0</v>
      </c>
      <c r="I1150" s="112" t="b">
        <v>0</v>
      </c>
      <c r="J1150" s="112" t="b">
        <v>0</v>
      </c>
      <c r="K1150" s="112" t="b">
        <v>0</v>
      </c>
      <c r="L1150" s="112" t="b">
        <v>0</v>
      </c>
    </row>
    <row r="1151" spans="1:12" ht="15">
      <c r="A1151" s="112" t="s">
        <v>2176</v>
      </c>
      <c r="B1151" s="112" t="s">
        <v>2403</v>
      </c>
      <c r="C1151" s="112">
        <v>2</v>
      </c>
      <c r="D1151" s="114">
        <v>0.0012258732410159825</v>
      </c>
      <c r="E1151" s="114">
        <v>2.4659402348172095</v>
      </c>
      <c r="F1151" s="112" t="s">
        <v>2049</v>
      </c>
      <c r="G1151" s="112" t="b">
        <v>0</v>
      </c>
      <c r="H1151" s="112" t="b">
        <v>0</v>
      </c>
      <c r="I1151" s="112" t="b">
        <v>0</v>
      </c>
      <c r="J1151" s="112" t="b">
        <v>0</v>
      </c>
      <c r="K1151" s="112" t="b">
        <v>0</v>
      </c>
      <c r="L1151" s="112" t="b">
        <v>0</v>
      </c>
    </row>
    <row r="1152" spans="1:12" ht="15">
      <c r="A1152" s="112" t="s">
        <v>2403</v>
      </c>
      <c r="B1152" s="112" t="s">
        <v>2799</v>
      </c>
      <c r="C1152" s="112">
        <v>2</v>
      </c>
      <c r="D1152" s="114">
        <v>0.0012258732410159825</v>
      </c>
      <c r="E1152" s="114">
        <v>3.068000226145172</v>
      </c>
      <c r="F1152" s="112" t="s">
        <v>2049</v>
      </c>
      <c r="G1152" s="112" t="b">
        <v>0</v>
      </c>
      <c r="H1152" s="112" t="b">
        <v>0</v>
      </c>
      <c r="I1152" s="112" t="b">
        <v>0</v>
      </c>
      <c r="J1152" s="112" t="b">
        <v>0</v>
      </c>
      <c r="K1152" s="112" t="b">
        <v>0</v>
      </c>
      <c r="L1152" s="112" t="b">
        <v>0</v>
      </c>
    </row>
    <row r="1153" spans="1:12" ht="15">
      <c r="A1153" s="112" t="s">
        <v>2246</v>
      </c>
      <c r="B1153" s="112" t="s">
        <v>2203</v>
      </c>
      <c r="C1153" s="112">
        <v>2</v>
      </c>
      <c r="D1153" s="114">
        <v>0.0012258732410159825</v>
      </c>
      <c r="E1153" s="114">
        <v>1.8127277210418657</v>
      </c>
      <c r="F1153" s="112" t="s">
        <v>2049</v>
      </c>
      <c r="G1153" s="112" t="b">
        <v>0</v>
      </c>
      <c r="H1153" s="112" t="b">
        <v>0</v>
      </c>
      <c r="I1153" s="112" t="b">
        <v>0</v>
      </c>
      <c r="J1153" s="112" t="b">
        <v>0</v>
      </c>
      <c r="K1153" s="112" t="b">
        <v>0</v>
      </c>
      <c r="L1153" s="112" t="b">
        <v>0</v>
      </c>
    </row>
    <row r="1154" spans="1:12" ht="15">
      <c r="A1154" s="112" t="s">
        <v>2143</v>
      </c>
      <c r="B1154" s="112" t="s">
        <v>2087</v>
      </c>
      <c r="C1154" s="112">
        <v>2</v>
      </c>
      <c r="D1154" s="114">
        <v>0.0012258732410159825</v>
      </c>
      <c r="E1154" s="114">
        <v>2.369030221809153</v>
      </c>
      <c r="F1154" s="112" t="s">
        <v>2049</v>
      </c>
      <c r="G1154" s="112" t="b">
        <v>0</v>
      </c>
      <c r="H1154" s="112" t="b">
        <v>0</v>
      </c>
      <c r="I1154" s="112" t="b">
        <v>0</v>
      </c>
      <c r="J1154" s="112" t="b">
        <v>0</v>
      </c>
      <c r="K1154" s="112" t="b">
        <v>0</v>
      </c>
      <c r="L1154" s="112" t="b">
        <v>0</v>
      </c>
    </row>
    <row r="1155" spans="1:12" ht="15">
      <c r="A1155" s="112" t="s">
        <v>2981</v>
      </c>
      <c r="B1155" s="112" t="s">
        <v>2982</v>
      </c>
      <c r="C1155" s="112">
        <v>2</v>
      </c>
      <c r="D1155" s="114">
        <v>0.001476940793696534</v>
      </c>
      <c r="E1155" s="114">
        <v>3.068000226145172</v>
      </c>
      <c r="F1155" s="112" t="s">
        <v>2049</v>
      </c>
      <c r="G1155" s="112" t="b">
        <v>0</v>
      </c>
      <c r="H1155" s="112" t="b">
        <v>0</v>
      </c>
      <c r="I1155" s="112" t="b">
        <v>0</v>
      </c>
      <c r="J1155" s="112" t="b">
        <v>0</v>
      </c>
      <c r="K1155" s="112" t="b">
        <v>0</v>
      </c>
      <c r="L1155" s="112" t="b">
        <v>0</v>
      </c>
    </row>
    <row r="1156" spans="1:12" ht="15">
      <c r="A1156" s="112" t="s">
        <v>2577</v>
      </c>
      <c r="B1156" s="112" t="s">
        <v>3009</v>
      </c>
      <c r="C1156" s="112">
        <v>2</v>
      </c>
      <c r="D1156" s="114">
        <v>0.0012258732410159825</v>
      </c>
      <c r="E1156" s="114">
        <v>3.068000226145172</v>
      </c>
      <c r="F1156" s="112" t="s">
        <v>2049</v>
      </c>
      <c r="G1156" s="112" t="b">
        <v>0</v>
      </c>
      <c r="H1156" s="112" t="b">
        <v>0</v>
      </c>
      <c r="I1156" s="112" t="b">
        <v>0</v>
      </c>
      <c r="J1156" s="112" t="b">
        <v>0</v>
      </c>
      <c r="K1156" s="112" t="b">
        <v>0</v>
      </c>
      <c r="L1156" s="112" t="b">
        <v>0</v>
      </c>
    </row>
    <row r="1157" spans="1:12" ht="15">
      <c r="A1157" s="112" t="s">
        <v>3014</v>
      </c>
      <c r="B1157" s="112" t="s">
        <v>3015</v>
      </c>
      <c r="C1157" s="112">
        <v>2</v>
      </c>
      <c r="D1157" s="114">
        <v>0.0012258732410159825</v>
      </c>
      <c r="E1157" s="114">
        <v>3.068000226145172</v>
      </c>
      <c r="F1157" s="112" t="s">
        <v>2049</v>
      </c>
      <c r="G1157" s="112" t="b">
        <v>0</v>
      </c>
      <c r="H1157" s="112" t="b">
        <v>0</v>
      </c>
      <c r="I1157" s="112" t="b">
        <v>0</v>
      </c>
      <c r="J1157" s="112" t="b">
        <v>0</v>
      </c>
      <c r="K1157" s="112" t="b">
        <v>0</v>
      </c>
      <c r="L1157" s="112" t="b">
        <v>0</v>
      </c>
    </row>
    <row r="1158" spans="1:12" ht="15">
      <c r="A1158" s="112" t="s">
        <v>2710</v>
      </c>
      <c r="B1158" s="112" t="s">
        <v>2300</v>
      </c>
      <c r="C1158" s="112">
        <v>2</v>
      </c>
      <c r="D1158" s="114">
        <v>0.0012258732410159825</v>
      </c>
      <c r="E1158" s="114">
        <v>2.5908789714255094</v>
      </c>
      <c r="F1158" s="112" t="s">
        <v>2049</v>
      </c>
      <c r="G1158" s="112" t="b">
        <v>0</v>
      </c>
      <c r="H1158" s="112" t="b">
        <v>0</v>
      </c>
      <c r="I1158" s="112" t="b">
        <v>0</v>
      </c>
      <c r="J1158" s="112" t="b">
        <v>0</v>
      </c>
      <c r="K1158" s="112" t="b">
        <v>0</v>
      </c>
      <c r="L1158" s="112" t="b">
        <v>0</v>
      </c>
    </row>
    <row r="1159" spans="1:12" ht="15">
      <c r="A1159" s="112" t="s">
        <v>2758</v>
      </c>
      <c r="B1159" s="112" t="s">
        <v>2757</v>
      </c>
      <c r="C1159" s="112">
        <v>2</v>
      </c>
      <c r="D1159" s="114">
        <v>0.001476940793696534</v>
      </c>
      <c r="E1159" s="114">
        <v>3.068000226145172</v>
      </c>
      <c r="F1159" s="112" t="s">
        <v>2049</v>
      </c>
      <c r="G1159" s="112" t="b">
        <v>0</v>
      </c>
      <c r="H1159" s="112" t="b">
        <v>0</v>
      </c>
      <c r="I1159" s="112" t="b">
        <v>0</v>
      </c>
      <c r="J1159" s="112" t="b">
        <v>0</v>
      </c>
      <c r="K1159" s="112" t="b">
        <v>0</v>
      </c>
      <c r="L1159" s="112" t="b">
        <v>0</v>
      </c>
    </row>
    <row r="1160" spans="1:12" ht="15">
      <c r="A1160" s="112" t="s">
        <v>2573</v>
      </c>
      <c r="B1160" s="112" t="s">
        <v>2236</v>
      </c>
      <c r="C1160" s="112">
        <v>2</v>
      </c>
      <c r="D1160" s="114">
        <v>0.0012258732410159825</v>
      </c>
      <c r="E1160" s="114">
        <v>2.5908789714255094</v>
      </c>
      <c r="F1160" s="112" t="s">
        <v>2049</v>
      </c>
      <c r="G1160" s="112" t="b">
        <v>0</v>
      </c>
      <c r="H1160" s="112" t="b">
        <v>0</v>
      </c>
      <c r="I1160" s="112" t="b">
        <v>0</v>
      </c>
      <c r="J1160" s="112" t="b">
        <v>0</v>
      </c>
      <c r="K1160" s="112" t="b">
        <v>0</v>
      </c>
      <c r="L1160" s="112" t="b">
        <v>0</v>
      </c>
    </row>
    <row r="1161" spans="1:12" ht="15">
      <c r="A1161" s="112" t="s">
        <v>2606</v>
      </c>
      <c r="B1161" s="112" t="s">
        <v>2631</v>
      </c>
      <c r="C1161" s="112">
        <v>2</v>
      </c>
      <c r="D1161" s="114">
        <v>0.001476940793696534</v>
      </c>
      <c r="E1161" s="114">
        <v>2.8919089670894906</v>
      </c>
      <c r="F1161" s="112" t="s">
        <v>2049</v>
      </c>
      <c r="G1161" s="112" t="b">
        <v>0</v>
      </c>
      <c r="H1161" s="112" t="b">
        <v>0</v>
      </c>
      <c r="I1161" s="112" t="b">
        <v>0</v>
      </c>
      <c r="J1161" s="112" t="b">
        <v>0</v>
      </c>
      <c r="K1161" s="112" t="b">
        <v>0</v>
      </c>
      <c r="L1161" s="112" t="b">
        <v>0</v>
      </c>
    </row>
    <row r="1162" spans="1:12" ht="15">
      <c r="A1162" s="112" t="s">
        <v>2631</v>
      </c>
      <c r="B1162" s="112" t="s">
        <v>2310</v>
      </c>
      <c r="C1162" s="112">
        <v>2</v>
      </c>
      <c r="D1162" s="114">
        <v>0.001476940793696534</v>
      </c>
      <c r="E1162" s="114">
        <v>3.068000226145172</v>
      </c>
      <c r="F1162" s="112" t="s">
        <v>2049</v>
      </c>
      <c r="G1162" s="112" t="b">
        <v>0</v>
      </c>
      <c r="H1162" s="112" t="b">
        <v>0</v>
      </c>
      <c r="I1162" s="112" t="b">
        <v>0</v>
      </c>
      <c r="J1162" s="112" t="b">
        <v>0</v>
      </c>
      <c r="K1162" s="112" t="b">
        <v>0</v>
      </c>
      <c r="L1162" s="112" t="b">
        <v>0</v>
      </c>
    </row>
    <row r="1163" spans="1:12" ht="15">
      <c r="A1163" s="112" t="s">
        <v>3226</v>
      </c>
      <c r="B1163" s="112" t="s">
        <v>2252</v>
      </c>
      <c r="C1163" s="112">
        <v>2</v>
      </c>
      <c r="D1163" s="114">
        <v>0.001476940793696534</v>
      </c>
      <c r="E1163" s="114">
        <v>2.414787712369828</v>
      </c>
      <c r="F1163" s="112" t="s">
        <v>2049</v>
      </c>
      <c r="G1163" s="112" t="b">
        <v>0</v>
      </c>
      <c r="H1163" s="112" t="b">
        <v>0</v>
      </c>
      <c r="I1163" s="112" t="b">
        <v>0</v>
      </c>
      <c r="J1163" s="112" t="b">
        <v>0</v>
      </c>
      <c r="K1163" s="112" t="b">
        <v>0</v>
      </c>
      <c r="L1163" s="112" t="b">
        <v>0</v>
      </c>
    </row>
    <row r="1164" spans="1:12" ht="15">
      <c r="A1164" s="112" t="s">
        <v>2787</v>
      </c>
      <c r="B1164" s="112" t="s">
        <v>3227</v>
      </c>
      <c r="C1164" s="112">
        <v>2</v>
      </c>
      <c r="D1164" s="114">
        <v>0.001476940793696534</v>
      </c>
      <c r="E1164" s="114">
        <v>3.068000226145172</v>
      </c>
      <c r="F1164" s="112" t="s">
        <v>2049</v>
      </c>
      <c r="G1164" s="112" t="b">
        <v>0</v>
      </c>
      <c r="H1164" s="112" t="b">
        <v>0</v>
      </c>
      <c r="I1164" s="112" t="b">
        <v>0</v>
      </c>
      <c r="J1164" s="112" t="b">
        <v>0</v>
      </c>
      <c r="K1164" s="112" t="b">
        <v>0</v>
      </c>
      <c r="L1164" s="112" t="b">
        <v>0</v>
      </c>
    </row>
    <row r="1165" spans="1:12" ht="15">
      <c r="A1165" s="112" t="s">
        <v>2181</v>
      </c>
      <c r="B1165" s="112" t="s">
        <v>2578</v>
      </c>
      <c r="C1165" s="112">
        <v>2</v>
      </c>
      <c r="D1165" s="114">
        <v>0.0012258732410159825</v>
      </c>
      <c r="E1165" s="114">
        <v>2.8919089670894906</v>
      </c>
      <c r="F1165" s="112" t="s">
        <v>2049</v>
      </c>
      <c r="G1165" s="112" t="b">
        <v>1</v>
      </c>
      <c r="H1165" s="112" t="b">
        <v>0</v>
      </c>
      <c r="I1165" s="112" t="b">
        <v>0</v>
      </c>
      <c r="J1165" s="112" t="b">
        <v>0</v>
      </c>
      <c r="K1165" s="112" t="b">
        <v>0</v>
      </c>
      <c r="L1165" s="112" t="b">
        <v>0</v>
      </c>
    </row>
    <row r="1166" spans="1:12" ht="15">
      <c r="A1166" s="112" t="s">
        <v>2471</v>
      </c>
      <c r="B1166" s="112" t="s">
        <v>2614</v>
      </c>
      <c r="C1166" s="112">
        <v>2</v>
      </c>
      <c r="D1166" s="114">
        <v>0.001476940793696534</v>
      </c>
      <c r="E1166" s="114">
        <v>2.7158177080338093</v>
      </c>
      <c r="F1166" s="112" t="s">
        <v>2049</v>
      </c>
      <c r="G1166" s="112" t="b">
        <v>0</v>
      </c>
      <c r="H1166" s="112" t="b">
        <v>0</v>
      </c>
      <c r="I1166" s="112" t="b">
        <v>0</v>
      </c>
      <c r="J1166" s="112" t="b">
        <v>0</v>
      </c>
      <c r="K1166" s="112" t="b">
        <v>0</v>
      </c>
      <c r="L1166" s="112" t="b">
        <v>0</v>
      </c>
    </row>
    <row r="1167" spans="1:12" ht="15">
      <c r="A1167" s="112" t="s">
        <v>2474</v>
      </c>
      <c r="B1167" s="112" t="s">
        <v>3210</v>
      </c>
      <c r="C1167" s="112">
        <v>2</v>
      </c>
      <c r="D1167" s="114">
        <v>0.0012258732410159825</v>
      </c>
      <c r="E1167" s="114">
        <v>2.670060217473134</v>
      </c>
      <c r="F1167" s="112" t="s">
        <v>2049</v>
      </c>
      <c r="G1167" s="112" t="b">
        <v>0</v>
      </c>
      <c r="H1167" s="112" t="b">
        <v>0</v>
      </c>
      <c r="I1167" s="112" t="b">
        <v>0</v>
      </c>
      <c r="J1167" s="112" t="b">
        <v>0</v>
      </c>
      <c r="K1167" s="112" t="b">
        <v>0</v>
      </c>
      <c r="L1167" s="112" t="b">
        <v>0</v>
      </c>
    </row>
    <row r="1168" spans="1:12" ht="15">
      <c r="A1168" s="112" t="s">
        <v>2427</v>
      </c>
      <c r="B1168" s="112" t="s">
        <v>2609</v>
      </c>
      <c r="C1168" s="112">
        <v>2</v>
      </c>
      <c r="D1168" s="114">
        <v>0.001476940793696534</v>
      </c>
      <c r="E1168" s="114">
        <v>3.068000226145172</v>
      </c>
      <c r="F1168" s="112" t="s">
        <v>2049</v>
      </c>
      <c r="G1168" s="112" t="b">
        <v>0</v>
      </c>
      <c r="H1168" s="112" t="b">
        <v>0</v>
      </c>
      <c r="I1168" s="112" t="b">
        <v>0</v>
      </c>
      <c r="J1168" s="112" t="b">
        <v>0</v>
      </c>
      <c r="K1168" s="112" t="b">
        <v>0</v>
      </c>
      <c r="L1168" s="112" t="b">
        <v>0</v>
      </c>
    </row>
    <row r="1169" spans="1:12" ht="15">
      <c r="A1169" s="112" t="s">
        <v>2493</v>
      </c>
      <c r="B1169" s="112" t="s">
        <v>2300</v>
      </c>
      <c r="C1169" s="112">
        <v>2</v>
      </c>
      <c r="D1169" s="114">
        <v>0.001476940793696534</v>
      </c>
      <c r="E1169" s="114">
        <v>2.289848975761528</v>
      </c>
      <c r="F1169" s="112" t="s">
        <v>2049</v>
      </c>
      <c r="G1169" s="112" t="b">
        <v>0</v>
      </c>
      <c r="H1169" s="112" t="b">
        <v>0</v>
      </c>
      <c r="I1169" s="112" t="b">
        <v>0</v>
      </c>
      <c r="J1169" s="112" t="b">
        <v>0</v>
      </c>
      <c r="K1169" s="112" t="b">
        <v>0</v>
      </c>
      <c r="L1169" s="112" t="b">
        <v>0</v>
      </c>
    </row>
    <row r="1170" spans="1:12" ht="15">
      <c r="A1170" s="112" t="s">
        <v>2171</v>
      </c>
      <c r="B1170" s="112" t="s">
        <v>2171</v>
      </c>
      <c r="C1170" s="112">
        <v>2</v>
      </c>
      <c r="D1170" s="114">
        <v>0.0012258732410159825</v>
      </c>
      <c r="E1170" s="114">
        <v>1.988818980097547</v>
      </c>
      <c r="F1170" s="112" t="s">
        <v>2049</v>
      </c>
      <c r="G1170" s="112" t="b">
        <v>0</v>
      </c>
      <c r="H1170" s="112" t="b">
        <v>0</v>
      </c>
      <c r="I1170" s="112" t="b">
        <v>0</v>
      </c>
      <c r="J1170" s="112" t="b">
        <v>0</v>
      </c>
      <c r="K1170" s="112" t="b">
        <v>0</v>
      </c>
      <c r="L1170" s="112" t="b">
        <v>0</v>
      </c>
    </row>
    <row r="1171" spans="1:12" ht="15">
      <c r="A1171" s="112" t="s">
        <v>2171</v>
      </c>
      <c r="B1171" s="112" t="s">
        <v>2193</v>
      </c>
      <c r="C1171" s="112">
        <v>2</v>
      </c>
      <c r="D1171" s="114">
        <v>0.0012258732410159825</v>
      </c>
      <c r="E1171" s="114">
        <v>1.988818980097547</v>
      </c>
      <c r="F1171" s="112" t="s">
        <v>2049</v>
      </c>
      <c r="G1171" s="112" t="b">
        <v>0</v>
      </c>
      <c r="H1171" s="112" t="b">
        <v>0</v>
      </c>
      <c r="I1171" s="112" t="b">
        <v>0</v>
      </c>
      <c r="J1171" s="112" t="b">
        <v>0</v>
      </c>
      <c r="K1171" s="112" t="b">
        <v>0</v>
      </c>
      <c r="L1171" s="112" t="b">
        <v>0</v>
      </c>
    </row>
    <row r="1172" spans="1:12" ht="15">
      <c r="A1172" s="112" t="s">
        <v>2193</v>
      </c>
      <c r="B1172" s="112" t="s">
        <v>2171</v>
      </c>
      <c r="C1172" s="112">
        <v>2</v>
      </c>
      <c r="D1172" s="114">
        <v>0.0012258732410159825</v>
      </c>
      <c r="E1172" s="114">
        <v>2.113757716705847</v>
      </c>
      <c r="F1172" s="112" t="s">
        <v>2049</v>
      </c>
      <c r="G1172" s="112" t="b">
        <v>0</v>
      </c>
      <c r="H1172" s="112" t="b">
        <v>0</v>
      </c>
      <c r="I1172" s="112" t="b">
        <v>0</v>
      </c>
      <c r="J1172" s="112" t="b">
        <v>0</v>
      </c>
      <c r="K1172" s="112" t="b">
        <v>0</v>
      </c>
      <c r="L1172" s="112" t="b">
        <v>0</v>
      </c>
    </row>
    <row r="1173" spans="1:12" ht="15">
      <c r="A1173" s="112" t="s">
        <v>2171</v>
      </c>
      <c r="B1173" s="112" t="s">
        <v>2326</v>
      </c>
      <c r="C1173" s="112">
        <v>2</v>
      </c>
      <c r="D1173" s="114">
        <v>0.0012258732410159825</v>
      </c>
      <c r="E1173" s="114">
        <v>2.4659402348172095</v>
      </c>
      <c r="F1173" s="112" t="s">
        <v>2049</v>
      </c>
      <c r="G1173" s="112" t="b">
        <v>0</v>
      </c>
      <c r="H1173" s="112" t="b">
        <v>0</v>
      </c>
      <c r="I1173" s="112" t="b">
        <v>0</v>
      </c>
      <c r="J1173" s="112" t="b">
        <v>0</v>
      </c>
      <c r="K1173" s="112" t="b">
        <v>0</v>
      </c>
      <c r="L1173" s="112" t="b">
        <v>0</v>
      </c>
    </row>
    <row r="1174" spans="1:12" ht="15">
      <c r="A1174" s="112" t="s">
        <v>2326</v>
      </c>
      <c r="B1174" s="112" t="s">
        <v>2103</v>
      </c>
      <c r="C1174" s="112">
        <v>2</v>
      </c>
      <c r="D1174" s="114">
        <v>0.0012258732410159825</v>
      </c>
      <c r="E1174" s="114">
        <v>1.6788341417806394</v>
      </c>
      <c r="F1174" s="112" t="s">
        <v>2049</v>
      </c>
      <c r="G1174" s="112" t="b">
        <v>0</v>
      </c>
      <c r="H1174" s="112" t="b">
        <v>0</v>
      </c>
      <c r="I1174" s="112" t="b">
        <v>0</v>
      </c>
      <c r="J1174" s="112" t="b">
        <v>0</v>
      </c>
      <c r="K1174" s="112" t="b">
        <v>0</v>
      </c>
      <c r="L1174" s="112" t="b">
        <v>0</v>
      </c>
    </row>
    <row r="1175" spans="1:12" ht="15">
      <c r="A1175" s="112" t="s">
        <v>2103</v>
      </c>
      <c r="B1175" s="112" t="s">
        <v>2407</v>
      </c>
      <c r="C1175" s="112">
        <v>2</v>
      </c>
      <c r="D1175" s="114">
        <v>0.0012258732410159825</v>
      </c>
      <c r="E1175" s="114">
        <v>1.502742882724958</v>
      </c>
      <c r="F1175" s="112" t="s">
        <v>2049</v>
      </c>
      <c r="G1175" s="112" t="b">
        <v>0</v>
      </c>
      <c r="H1175" s="112" t="b">
        <v>0</v>
      </c>
      <c r="I1175" s="112" t="b">
        <v>0</v>
      </c>
      <c r="J1175" s="112" t="b">
        <v>0</v>
      </c>
      <c r="K1175" s="112" t="b">
        <v>1</v>
      </c>
      <c r="L1175" s="112" t="b">
        <v>0</v>
      </c>
    </row>
    <row r="1176" spans="1:12" ht="15">
      <c r="A1176" s="112" t="s">
        <v>2407</v>
      </c>
      <c r="B1176" s="112" t="s">
        <v>2543</v>
      </c>
      <c r="C1176" s="112">
        <v>2</v>
      </c>
      <c r="D1176" s="114">
        <v>0.0012258732410159825</v>
      </c>
      <c r="E1176" s="114">
        <v>2.8919089670894906</v>
      </c>
      <c r="F1176" s="112" t="s">
        <v>2049</v>
      </c>
      <c r="G1176" s="112" t="b">
        <v>0</v>
      </c>
      <c r="H1176" s="112" t="b">
        <v>1</v>
      </c>
      <c r="I1176" s="112" t="b">
        <v>0</v>
      </c>
      <c r="J1176" s="112" t="b">
        <v>0</v>
      </c>
      <c r="K1176" s="112" t="b">
        <v>0</v>
      </c>
      <c r="L1176" s="112" t="b">
        <v>0</v>
      </c>
    </row>
    <row r="1177" spans="1:12" ht="15">
      <c r="A1177" s="112" t="s">
        <v>2543</v>
      </c>
      <c r="B1177" s="112" t="s">
        <v>2453</v>
      </c>
      <c r="C1177" s="112">
        <v>2</v>
      </c>
      <c r="D1177" s="114">
        <v>0.0012258732410159825</v>
      </c>
      <c r="E1177" s="114">
        <v>3.068000226145172</v>
      </c>
      <c r="F1177" s="112" t="s">
        <v>2049</v>
      </c>
      <c r="G1177" s="112" t="b">
        <v>0</v>
      </c>
      <c r="H1177" s="112" t="b">
        <v>0</v>
      </c>
      <c r="I1177" s="112" t="b">
        <v>0</v>
      </c>
      <c r="J1177" s="112" t="b">
        <v>1</v>
      </c>
      <c r="K1177" s="112" t="b">
        <v>0</v>
      </c>
      <c r="L1177" s="112" t="b">
        <v>0</v>
      </c>
    </row>
    <row r="1178" spans="1:12" ht="15">
      <c r="A1178" s="112" t="s">
        <v>2453</v>
      </c>
      <c r="B1178" s="112" t="s">
        <v>2454</v>
      </c>
      <c r="C1178" s="112">
        <v>2</v>
      </c>
      <c r="D1178" s="114">
        <v>0.0012258732410159825</v>
      </c>
      <c r="E1178" s="114">
        <v>3.068000226145172</v>
      </c>
      <c r="F1178" s="112" t="s">
        <v>2049</v>
      </c>
      <c r="G1178" s="112" t="b">
        <v>1</v>
      </c>
      <c r="H1178" s="112" t="b">
        <v>0</v>
      </c>
      <c r="I1178" s="112" t="b">
        <v>0</v>
      </c>
      <c r="J1178" s="112" t="b">
        <v>0</v>
      </c>
      <c r="K1178" s="112" t="b">
        <v>0</v>
      </c>
      <c r="L1178" s="112" t="b">
        <v>0</v>
      </c>
    </row>
    <row r="1179" spans="1:12" ht="15">
      <c r="A1179" s="112" t="s">
        <v>2454</v>
      </c>
      <c r="B1179" s="112" t="s">
        <v>2291</v>
      </c>
      <c r="C1179" s="112">
        <v>2</v>
      </c>
      <c r="D1179" s="114">
        <v>0.0012258732410159825</v>
      </c>
      <c r="E1179" s="114">
        <v>2.670060217473134</v>
      </c>
      <c r="F1179" s="112" t="s">
        <v>2049</v>
      </c>
      <c r="G1179" s="112" t="b">
        <v>0</v>
      </c>
      <c r="H1179" s="112" t="b">
        <v>0</v>
      </c>
      <c r="I1179" s="112" t="b">
        <v>0</v>
      </c>
      <c r="J1179" s="112" t="b">
        <v>0</v>
      </c>
      <c r="K1179" s="112" t="b">
        <v>0</v>
      </c>
      <c r="L1179" s="112" t="b">
        <v>0</v>
      </c>
    </row>
    <row r="1180" spans="1:12" ht="15">
      <c r="A1180" s="112" t="s">
        <v>2292</v>
      </c>
      <c r="B1180" s="112" t="s">
        <v>2291</v>
      </c>
      <c r="C1180" s="112">
        <v>2</v>
      </c>
      <c r="D1180" s="114">
        <v>0.0012258732410159825</v>
      </c>
      <c r="E1180" s="114">
        <v>2.192938962753472</v>
      </c>
      <c r="F1180" s="112" t="s">
        <v>2049</v>
      </c>
      <c r="G1180" s="112" t="b">
        <v>0</v>
      </c>
      <c r="H1180" s="112" t="b">
        <v>0</v>
      </c>
      <c r="I1180" s="112" t="b">
        <v>0</v>
      </c>
      <c r="J1180" s="112" t="b">
        <v>0</v>
      </c>
      <c r="K1180" s="112" t="b">
        <v>0</v>
      </c>
      <c r="L1180" s="112" t="b">
        <v>0</v>
      </c>
    </row>
    <row r="1181" spans="1:12" ht="15">
      <c r="A1181" s="112" t="s">
        <v>2292</v>
      </c>
      <c r="B1181" s="112" t="s">
        <v>2171</v>
      </c>
      <c r="C1181" s="112">
        <v>2</v>
      </c>
      <c r="D1181" s="114">
        <v>0.0012258732410159825</v>
      </c>
      <c r="E1181" s="114">
        <v>2.113757716705847</v>
      </c>
      <c r="F1181" s="112" t="s">
        <v>2049</v>
      </c>
      <c r="G1181" s="112" t="b">
        <v>0</v>
      </c>
      <c r="H1181" s="112" t="b">
        <v>0</v>
      </c>
      <c r="I1181" s="112" t="b">
        <v>0</v>
      </c>
      <c r="J1181" s="112" t="b">
        <v>0</v>
      </c>
      <c r="K1181" s="112" t="b">
        <v>0</v>
      </c>
      <c r="L1181" s="112" t="b">
        <v>0</v>
      </c>
    </row>
    <row r="1182" spans="1:12" ht="15">
      <c r="A1182" s="112" t="s">
        <v>2082</v>
      </c>
      <c r="B1182" s="112" t="s">
        <v>2688</v>
      </c>
      <c r="C1182" s="112">
        <v>2</v>
      </c>
      <c r="D1182" s="114">
        <v>0.001476940793696534</v>
      </c>
      <c r="E1182" s="114">
        <v>2.670060217473134</v>
      </c>
      <c r="F1182" s="112" t="s">
        <v>2049</v>
      </c>
      <c r="G1182" s="112" t="b">
        <v>0</v>
      </c>
      <c r="H1182" s="112" t="b">
        <v>0</v>
      </c>
      <c r="I1182" s="112" t="b">
        <v>0</v>
      </c>
      <c r="J1182" s="112" t="b">
        <v>0</v>
      </c>
      <c r="K1182" s="112" t="b">
        <v>0</v>
      </c>
      <c r="L1182" s="112" t="b">
        <v>0</v>
      </c>
    </row>
    <row r="1183" spans="1:12" ht="15">
      <c r="A1183" s="112" t="s">
        <v>2271</v>
      </c>
      <c r="B1183" s="112" t="s">
        <v>2365</v>
      </c>
      <c r="C1183" s="112">
        <v>2</v>
      </c>
      <c r="D1183" s="114">
        <v>0.0012258732410159825</v>
      </c>
      <c r="E1183" s="114">
        <v>2.8919089670894906</v>
      </c>
      <c r="F1183" s="112" t="s">
        <v>2049</v>
      </c>
      <c r="G1183" s="112" t="b">
        <v>0</v>
      </c>
      <c r="H1183" s="112" t="b">
        <v>0</v>
      </c>
      <c r="I1183" s="112" t="b">
        <v>0</v>
      </c>
      <c r="J1183" s="112" t="b">
        <v>0</v>
      </c>
      <c r="K1183" s="112" t="b">
        <v>0</v>
      </c>
      <c r="L1183" s="112" t="b">
        <v>0</v>
      </c>
    </row>
    <row r="1184" spans="1:12" ht="15">
      <c r="A1184" s="112" t="s">
        <v>2103</v>
      </c>
      <c r="B1184" s="112" t="s">
        <v>2077</v>
      </c>
      <c r="C1184" s="112">
        <v>2</v>
      </c>
      <c r="D1184" s="114">
        <v>0.0012258732410159825</v>
      </c>
      <c r="E1184" s="114">
        <v>0.6788341417806393</v>
      </c>
      <c r="F1184" s="112" t="s">
        <v>2049</v>
      </c>
      <c r="G1184" s="112" t="b">
        <v>0</v>
      </c>
      <c r="H1184" s="112" t="b">
        <v>0</v>
      </c>
      <c r="I1184" s="112" t="b">
        <v>0</v>
      </c>
      <c r="J1184" s="112" t="b">
        <v>0</v>
      </c>
      <c r="K1184" s="112" t="b">
        <v>0</v>
      </c>
      <c r="L1184" s="112" t="b">
        <v>0</v>
      </c>
    </row>
    <row r="1185" spans="1:12" ht="15">
      <c r="A1185" s="112" t="s">
        <v>2077</v>
      </c>
      <c r="B1185" s="112" t="s">
        <v>2185</v>
      </c>
      <c r="C1185" s="112">
        <v>2</v>
      </c>
      <c r="D1185" s="114">
        <v>0.0012258732410159825</v>
      </c>
      <c r="E1185" s="114">
        <v>1.9376664576501657</v>
      </c>
      <c r="F1185" s="112" t="s">
        <v>2049</v>
      </c>
      <c r="G1185" s="112" t="b">
        <v>0</v>
      </c>
      <c r="H1185" s="112" t="b">
        <v>0</v>
      </c>
      <c r="I1185" s="112" t="b">
        <v>0</v>
      </c>
      <c r="J1185" s="112" t="b">
        <v>0</v>
      </c>
      <c r="K1185" s="112" t="b">
        <v>0</v>
      </c>
      <c r="L1185" s="112" t="b">
        <v>0</v>
      </c>
    </row>
    <row r="1186" spans="1:12" ht="15">
      <c r="A1186" s="112" t="s">
        <v>2185</v>
      </c>
      <c r="B1186" s="112" t="s">
        <v>2476</v>
      </c>
      <c r="C1186" s="112">
        <v>2</v>
      </c>
      <c r="D1186" s="114">
        <v>0.0012258732410159825</v>
      </c>
      <c r="E1186" s="114">
        <v>2.8919089670894906</v>
      </c>
      <c r="F1186" s="112" t="s">
        <v>2049</v>
      </c>
      <c r="G1186" s="112" t="b">
        <v>0</v>
      </c>
      <c r="H1186" s="112" t="b">
        <v>0</v>
      </c>
      <c r="I1186" s="112" t="b">
        <v>0</v>
      </c>
      <c r="J1186" s="112" t="b">
        <v>0</v>
      </c>
      <c r="K1186" s="112" t="b">
        <v>0</v>
      </c>
      <c r="L1186" s="112" t="b">
        <v>0</v>
      </c>
    </row>
    <row r="1187" spans="1:12" ht="15">
      <c r="A1187" s="112" t="s">
        <v>2476</v>
      </c>
      <c r="B1187" s="112" t="s">
        <v>2477</v>
      </c>
      <c r="C1187" s="112">
        <v>2</v>
      </c>
      <c r="D1187" s="114">
        <v>0.0012258732410159825</v>
      </c>
      <c r="E1187" s="114">
        <v>3.068000226145172</v>
      </c>
      <c r="F1187" s="112" t="s">
        <v>2049</v>
      </c>
      <c r="G1187" s="112" t="b">
        <v>0</v>
      </c>
      <c r="H1187" s="112" t="b">
        <v>0</v>
      </c>
      <c r="I1187" s="112" t="b">
        <v>0</v>
      </c>
      <c r="J1187" s="112" t="b">
        <v>0</v>
      </c>
      <c r="K1187" s="112" t="b">
        <v>0</v>
      </c>
      <c r="L1187" s="112" t="b">
        <v>0</v>
      </c>
    </row>
    <row r="1188" spans="1:12" ht="15">
      <c r="A1188" s="112" t="s">
        <v>2477</v>
      </c>
      <c r="B1188" s="112" t="s">
        <v>2218</v>
      </c>
      <c r="C1188" s="112">
        <v>2</v>
      </c>
      <c r="D1188" s="114">
        <v>0.0012258732410159825</v>
      </c>
      <c r="E1188" s="114">
        <v>2.7669702304811907</v>
      </c>
      <c r="F1188" s="112" t="s">
        <v>2049</v>
      </c>
      <c r="G1188" s="112" t="b">
        <v>0</v>
      </c>
      <c r="H1188" s="112" t="b">
        <v>0</v>
      </c>
      <c r="I1188" s="112" t="b">
        <v>0</v>
      </c>
      <c r="J1188" s="112" t="b">
        <v>0</v>
      </c>
      <c r="K1188" s="112" t="b">
        <v>0</v>
      </c>
      <c r="L1188" s="112" t="b">
        <v>0</v>
      </c>
    </row>
    <row r="1189" spans="1:12" ht="15">
      <c r="A1189" s="112" t="s">
        <v>2218</v>
      </c>
      <c r="B1189" s="112" t="s">
        <v>2732</v>
      </c>
      <c r="C1189" s="112">
        <v>2</v>
      </c>
      <c r="D1189" s="114">
        <v>0.0012258732410159825</v>
      </c>
      <c r="E1189" s="114">
        <v>2.7669702304811907</v>
      </c>
      <c r="F1189" s="112" t="s">
        <v>2049</v>
      </c>
      <c r="G1189" s="112" t="b">
        <v>0</v>
      </c>
      <c r="H1189" s="112" t="b">
        <v>0</v>
      </c>
      <c r="I1189" s="112" t="b">
        <v>0</v>
      </c>
      <c r="J1189" s="112" t="b">
        <v>0</v>
      </c>
      <c r="K1189" s="112" t="b">
        <v>0</v>
      </c>
      <c r="L1189" s="112" t="b">
        <v>0</v>
      </c>
    </row>
    <row r="1190" spans="1:12" ht="15">
      <c r="A1190" s="112" t="s">
        <v>2732</v>
      </c>
      <c r="B1190" s="112" t="s">
        <v>2584</v>
      </c>
      <c r="C1190" s="112">
        <v>2</v>
      </c>
      <c r="D1190" s="114">
        <v>0.0012258732410159825</v>
      </c>
      <c r="E1190" s="114">
        <v>3.068000226145172</v>
      </c>
      <c r="F1190" s="112" t="s">
        <v>2049</v>
      </c>
      <c r="G1190" s="112" t="b">
        <v>0</v>
      </c>
      <c r="H1190" s="112" t="b">
        <v>0</v>
      </c>
      <c r="I1190" s="112" t="b">
        <v>0</v>
      </c>
      <c r="J1190" s="112" t="b">
        <v>0</v>
      </c>
      <c r="K1190" s="112" t="b">
        <v>0</v>
      </c>
      <c r="L1190" s="112" t="b">
        <v>0</v>
      </c>
    </row>
    <row r="1191" spans="1:12" ht="15">
      <c r="A1191" s="112" t="s">
        <v>2142</v>
      </c>
      <c r="B1191" s="112" t="s">
        <v>2142</v>
      </c>
      <c r="C1191" s="112">
        <v>2</v>
      </c>
      <c r="D1191" s="114">
        <v>0.0012258732410159825</v>
      </c>
      <c r="E1191" s="114">
        <v>0.965909700633335</v>
      </c>
      <c r="F1191" s="112" t="s">
        <v>2049</v>
      </c>
      <c r="G1191" s="112" t="b">
        <v>0</v>
      </c>
      <c r="H1191" s="112" t="b">
        <v>0</v>
      </c>
      <c r="I1191" s="112" t="b">
        <v>0</v>
      </c>
      <c r="J1191" s="112" t="b">
        <v>0</v>
      </c>
      <c r="K1191" s="112" t="b">
        <v>0</v>
      </c>
      <c r="L1191" s="112" t="b">
        <v>0</v>
      </c>
    </row>
    <row r="1192" spans="1:12" ht="15">
      <c r="A1192" s="112" t="s">
        <v>2142</v>
      </c>
      <c r="B1192" s="112" t="s">
        <v>2713</v>
      </c>
      <c r="C1192" s="112">
        <v>2</v>
      </c>
      <c r="D1192" s="114">
        <v>0.001476940793696534</v>
      </c>
      <c r="E1192" s="114">
        <v>1.8505162819312655</v>
      </c>
      <c r="F1192" s="112" t="s">
        <v>2049</v>
      </c>
      <c r="G1192" s="112" t="b">
        <v>0</v>
      </c>
      <c r="H1192" s="112" t="b">
        <v>0</v>
      </c>
      <c r="I1192" s="112" t="b">
        <v>0</v>
      </c>
      <c r="J1192" s="112" t="b">
        <v>0</v>
      </c>
      <c r="K1192" s="112" t="b">
        <v>0</v>
      </c>
      <c r="L1192" s="112" t="b">
        <v>0</v>
      </c>
    </row>
    <row r="1193" spans="1:12" ht="15">
      <c r="A1193" s="112" t="s">
        <v>3203</v>
      </c>
      <c r="B1193" s="112" t="s">
        <v>3204</v>
      </c>
      <c r="C1193" s="112">
        <v>2</v>
      </c>
      <c r="D1193" s="114">
        <v>0.001476940793696534</v>
      </c>
      <c r="E1193" s="114">
        <v>3.068000226145172</v>
      </c>
      <c r="F1193" s="112" t="s">
        <v>2049</v>
      </c>
      <c r="G1193" s="112" t="b">
        <v>0</v>
      </c>
      <c r="H1193" s="112" t="b">
        <v>0</v>
      </c>
      <c r="I1193" s="112" t="b">
        <v>0</v>
      </c>
      <c r="J1193" s="112" t="b">
        <v>0</v>
      </c>
      <c r="K1193" s="112" t="b">
        <v>0</v>
      </c>
      <c r="L1193" s="112" t="b">
        <v>0</v>
      </c>
    </row>
    <row r="1194" spans="1:12" ht="15">
      <c r="A1194" s="112" t="s">
        <v>2169</v>
      </c>
      <c r="B1194" s="112" t="s">
        <v>3205</v>
      </c>
      <c r="C1194" s="112">
        <v>2</v>
      </c>
      <c r="D1194" s="114">
        <v>0.001476940793696534</v>
      </c>
      <c r="E1194" s="114">
        <v>2.068000226145172</v>
      </c>
      <c r="F1194" s="112" t="s">
        <v>2049</v>
      </c>
      <c r="G1194" s="112" t="b">
        <v>0</v>
      </c>
      <c r="H1194" s="112" t="b">
        <v>0</v>
      </c>
      <c r="I1194" s="112" t="b">
        <v>0</v>
      </c>
      <c r="J1194" s="112" t="b">
        <v>0</v>
      </c>
      <c r="K1194" s="112" t="b">
        <v>0</v>
      </c>
      <c r="L1194" s="112" t="b">
        <v>0</v>
      </c>
    </row>
    <row r="1195" spans="1:12" ht="15">
      <c r="A1195" s="112" t="s">
        <v>2096</v>
      </c>
      <c r="B1195" s="112" t="s">
        <v>2137</v>
      </c>
      <c r="C1195" s="112">
        <v>2</v>
      </c>
      <c r="D1195" s="114">
        <v>0.0012258732410159825</v>
      </c>
      <c r="E1195" s="114">
        <v>1.8127277210418657</v>
      </c>
      <c r="F1195" s="112" t="s">
        <v>2049</v>
      </c>
      <c r="G1195" s="112" t="b">
        <v>0</v>
      </c>
      <c r="H1195" s="112" t="b">
        <v>0</v>
      </c>
      <c r="I1195" s="112" t="b">
        <v>0</v>
      </c>
      <c r="J1195" s="112" t="b">
        <v>0</v>
      </c>
      <c r="K1195" s="112" t="b">
        <v>0</v>
      </c>
      <c r="L1195" s="112" t="b">
        <v>0</v>
      </c>
    </row>
    <row r="1196" spans="1:12" ht="15">
      <c r="A1196" s="112" t="s">
        <v>2126</v>
      </c>
      <c r="B1196" s="112" t="s">
        <v>2083</v>
      </c>
      <c r="C1196" s="112">
        <v>2</v>
      </c>
      <c r="D1196" s="114">
        <v>0.0012258732410159825</v>
      </c>
      <c r="E1196" s="114">
        <v>1.2307275236428714</v>
      </c>
      <c r="F1196" s="112" t="s">
        <v>2049</v>
      </c>
      <c r="G1196" s="112" t="b">
        <v>0</v>
      </c>
      <c r="H1196" s="112" t="b">
        <v>0</v>
      </c>
      <c r="I1196" s="112" t="b">
        <v>0</v>
      </c>
      <c r="J1196" s="112" t="b">
        <v>0</v>
      </c>
      <c r="K1196" s="112" t="b">
        <v>0</v>
      </c>
      <c r="L1196" s="112" t="b">
        <v>0</v>
      </c>
    </row>
    <row r="1197" spans="1:12" ht="15">
      <c r="A1197" s="112" t="s">
        <v>2126</v>
      </c>
      <c r="B1197" s="112" t="s">
        <v>2294</v>
      </c>
      <c r="C1197" s="112">
        <v>2</v>
      </c>
      <c r="D1197" s="114">
        <v>0.001476940793696534</v>
      </c>
      <c r="E1197" s="114">
        <v>2.1515462775952465</v>
      </c>
      <c r="F1197" s="112" t="s">
        <v>2049</v>
      </c>
      <c r="G1197" s="112" t="b">
        <v>0</v>
      </c>
      <c r="H1197" s="112" t="b">
        <v>0</v>
      </c>
      <c r="I1197" s="112" t="b">
        <v>0</v>
      </c>
      <c r="J1197" s="112" t="b">
        <v>0</v>
      </c>
      <c r="K1197" s="112" t="b">
        <v>0</v>
      </c>
      <c r="L1197" s="112" t="b">
        <v>0</v>
      </c>
    </row>
    <row r="1198" spans="1:12" ht="15">
      <c r="A1198" s="112" t="s">
        <v>2419</v>
      </c>
      <c r="B1198" s="112" t="s">
        <v>2420</v>
      </c>
      <c r="C1198" s="112">
        <v>2</v>
      </c>
      <c r="D1198" s="114">
        <v>0.0012258732410159825</v>
      </c>
      <c r="E1198" s="114">
        <v>3.068000226145172</v>
      </c>
      <c r="F1198" s="112" t="s">
        <v>2049</v>
      </c>
      <c r="G1198" s="112" t="b">
        <v>0</v>
      </c>
      <c r="H1198" s="112" t="b">
        <v>0</v>
      </c>
      <c r="I1198" s="112" t="b">
        <v>0</v>
      </c>
      <c r="J1198" s="112" t="b">
        <v>0</v>
      </c>
      <c r="K1198" s="112" t="b">
        <v>0</v>
      </c>
      <c r="L1198" s="112" t="b">
        <v>0</v>
      </c>
    </row>
    <row r="1199" spans="1:12" ht="15">
      <c r="A1199" s="112" t="s">
        <v>2219</v>
      </c>
      <c r="B1199" s="112" t="s">
        <v>2083</v>
      </c>
      <c r="C1199" s="112">
        <v>2</v>
      </c>
      <c r="D1199" s="114">
        <v>0.0012258732410159825</v>
      </c>
      <c r="E1199" s="114">
        <v>1.7949989540814342</v>
      </c>
      <c r="F1199" s="112" t="s">
        <v>2049</v>
      </c>
      <c r="G1199" s="112" t="b">
        <v>0</v>
      </c>
      <c r="H1199" s="112" t="b">
        <v>0</v>
      </c>
      <c r="I1199" s="112" t="b">
        <v>0</v>
      </c>
      <c r="J1199" s="112" t="b">
        <v>0</v>
      </c>
      <c r="K1199" s="112" t="b">
        <v>0</v>
      </c>
      <c r="L1199" s="112" t="b">
        <v>0</v>
      </c>
    </row>
    <row r="1200" spans="1:12" ht="15">
      <c r="A1200" s="112" t="s">
        <v>2247</v>
      </c>
      <c r="B1200" s="112" t="s">
        <v>2083</v>
      </c>
      <c r="C1200" s="112">
        <v>2</v>
      </c>
      <c r="D1200" s="114">
        <v>0.001476940793696534</v>
      </c>
      <c r="E1200" s="114">
        <v>1.7949989540814342</v>
      </c>
      <c r="F1200" s="112" t="s">
        <v>2049</v>
      </c>
      <c r="G1200" s="112" t="b">
        <v>0</v>
      </c>
      <c r="H1200" s="112" t="b">
        <v>0</v>
      </c>
      <c r="I1200" s="112" t="b">
        <v>0</v>
      </c>
      <c r="J1200" s="112" t="b">
        <v>0</v>
      </c>
      <c r="K1200" s="112" t="b">
        <v>0</v>
      </c>
      <c r="L1200" s="112" t="b">
        <v>0</v>
      </c>
    </row>
    <row r="1201" spans="1:12" ht="15">
      <c r="A1201" s="112" t="s">
        <v>2094</v>
      </c>
      <c r="B1201" s="112" t="s">
        <v>2090</v>
      </c>
      <c r="C1201" s="112">
        <v>2</v>
      </c>
      <c r="D1201" s="114">
        <v>0.0012258732410159825</v>
      </c>
      <c r="E1201" s="114">
        <v>1.3356064663222034</v>
      </c>
      <c r="F1201" s="112" t="s">
        <v>2049</v>
      </c>
      <c r="G1201" s="112" t="b">
        <v>0</v>
      </c>
      <c r="H1201" s="112" t="b">
        <v>0</v>
      </c>
      <c r="I1201" s="112" t="b">
        <v>0</v>
      </c>
      <c r="J1201" s="112" t="b">
        <v>0</v>
      </c>
      <c r="K1201" s="112" t="b">
        <v>0</v>
      </c>
      <c r="L1201" s="112" t="b">
        <v>0</v>
      </c>
    </row>
    <row r="1202" spans="1:12" ht="15">
      <c r="A1202" s="112" t="s">
        <v>2086</v>
      </c>
      <c r="B1202" s="112" t="s">
        <v>2082</v>
      </c>
      <c r="C1202" s="112">
        <v>2</v>
      </c>
      <c r="D1202" s="114">
        <v>0.001476940793696534</v>
      </c>
      <c r="E1202" s="114">
        <v>1.988818980097547</v>
      </c>
      <c r="F1202" s="112" t="s">
        <v>2049</v>
      </c>
      <c r="G1202" s="112" t="b">
        <v>0</v>
      </c>
      <c r="H1202" s="112" t="b">
        <v>0</v>
      </c>
      <c r="I1202" s="112" t="b">
        <v>0</v>
      </c>
      <c r="J1202" s="112" t="b">
        <v>0</v>
      </c>
      <c r="K1202" s="112" t="b">
        <v>0</v>
      </c>
      <c r="L1202" s="112" t="b">
        <v>0</v>
      </c>
    </row>
    <row r="1203" spans="1:12" ht="15">
      <c r="A1203" s="112" t="s">
        <v>2580</v>
      </c>
      <c r="B1203" s="112" t="s">
        <v>2126</v>
      </c>
      <c r="C1203" s="112">
        <v>2</v>
      </c>
      <c r="D1203" s="114">
        <v>0.0012258732410159825</v>
      </c>
      <c r="E1203" s="114">
        <v>2.289848975761528</v>
      </c>
      <c r="F1203" s="112" t="s">
        <v>2049</v>
      </c>
      <c r="G1203" s="112" t="b">
        <v>0</v>
      </c>
      <c r="H1203" s="112" t="b">
        <v>0</v>
      </c>
      <c r="I1203" s="112" t="b">
        <v>0</v>
      </c>
      <c r="J1203" s="112" t="b">
        <v>0</v>
      </c>
      <c r="K1203" s="112" t="b">
        <v>0</v>
      </c>
      <c r="L1203" s="112" t="b">
        <v>0</v>
      </c>
    </row>
    <row r="1204" spans="1:12" ht="15">
      <c r="A1204" s="112" t="s">
        <v>2126</v>
      </c>
      <c r="B1204" s="112" t="s">
        <v>2090</v>
      </c>
      <c r="C1204" s="112">
        <v>2</v>
      </c>
      <c r="D1204" s="114">
        <v>0.0012258732410159825</v>
      </c>
      <c r="E1204" s="114">
        <v>1.5494862862672845</v>
      </c>
      <c r="F1204" s="112" t="s">
        <v>2049</v>
      </c>
      <c r="G1204" s="112" t="b">
        <v>0</v>
      </c>
      <c r="H1204" s="112" t="b">
        <v>0</v>
      </c>
      <c r="I1204" s="112" t="b">
        <v>0</v>
      </c>
      <c r="J1204" s="112" t="b">
        <v>0</v>
      </c>
      <c r="K1204" s="112" t="b">
        <v>0</v>
      </c>
      <c r="L1204" s="112" t="b">
        <v>0</v>
      </c>
    </row>
    <row r="1205" spans="1:12" ht="15">
      <c r="A1205" s="112" t="s">
        <v>2083</v>
      </c>
      <c r="B1205" s="112" t="s">
        <v>2080</v>
      </c>
      <c r="C1205" s="112">
        <v>2</v>
      </c>
      <c r="D1205" s="114">
        <v>0.0012258732410159825</v>
      </c>
      <c r="E1205" s="114">
        <v>1.0246379481240422</v>
      </c>
      <c r="F1205" s="112" t="s">
        <v>2049</v>
      </c>
      <c r="G1205" s="112" t="b">
        <v>0</v>
      </c>
      <c r="H1205" s="112" t="b">
        <v>0</v>
      </c>
      <c r="I1205" s="112" t="b">
        <v>0</v>
      </c>
      <c r="J1205" s="112" t="b">
        <v>0</v>
      </c>
      <c r="K1205" s="112" t="b">
        <v>0</v>
      </c>
      <c r="L1205" s="112" t="b">
        <v>0</v>
      </c>
    </row>
    <row r="1206" spans="1:12" ht="15">
      <c r="A1206" s="112" t="s">
        <v>2094</v>
      </c>
      <c r="B1206" s="112" t="s">
        <v>2159</v>
      </c>
      <c r="C1206" s="112">
        <v>2</v>
      </c>
      <c r="D1206" s="114">
        <v>0.0012258732410159825</v>
      </c>
      <c r="E1206" s="114">
        <v>1.6366364619861844</v>
      </c>
      <c r="F1206" s="112" t="s">
        <v>2049</v>
      </c>
      <c r="G1206" s="112" t="b">
        <v>0</v>
      </c>
      <c r="H1206" s="112" t="b">
        <v>0</v>
      </c>
      <c r="I1206" s="112" t="b">
        <v>0</v>
      </c>
      <c r="J1206" s="112" t="b">
        <v>0</v>
      </c>
      <c r="K1206" s="112" t="b">
        <v>0</v>
      </c>
      <c r="L1206" s="112" t="b">
        <v>0</v>
      </c>
    </row>
    <row r="1207" spans="1:12" ht="15">
      <c r="A1207" s="112" t="s">
        <v>2364</v>
      </c>
      <c r="B1207" s="112" t="s">
        <v>2089</v>
      </c>
      <c r="C1207" s="112">
        <v>2</v>
      </c>
      <c r="D1207" s="114">
        <v>0.001476940793696534</v>
      </c>
      <c r="E1207" s="114">
        <v>1.9218721904669338</v>
      </c>
      <c r="F1207" s="112" t="s">
        <v>2049</v>
      </c>
      <c r="G1207" s="112" t="b">
        <v>0</v>
      </c>
      <c r="H1207" s="112" t="b">
        <v>0</v>
      </c>
      <c r="I1207" s="112" t="b">
        <v>0</v>
      </c>
      <c r="J1207" s="112" t="b">
        <v>0</v>
      </c>
      <c r="K1207" s="112" t="b">
        <v>0</v>
      </c>
      <c r="L1207" s="112" t="b">
        <v>0</v>
      </c>
    </row>
    <row r="1208" spans="1:12" ht="15">
      <c r="A1208" s="112" t="s">
        <v>2089</v>
      </c>
      <c r="B1208" s="112" t="s">
        <v>2364</v>
      </c>
      <c r="C1208" s="112">
        <v>2</v>
      </c>
      <c r="D1208" s="114">
        <v>0.001476940793696534</v>
      </c>
      <c r="E1208" s="114">
        <v>2.0468109270752337</v>
      </c>
      <c r="F1208" s="112" t="s">
        <v>2049</v>
      </c>
      <c r="G1208" s="112" t="b">
        <v>0</v>
      </c>
      <c r="H1208" s="112" t="b">
        <v>0</v>
      </c>
      <c r="I1208" s="112" t="b">
        <v>0</v>
      </c>
      <c r="J1208" s="112" t="b">
        <v>0</v>
      </c>
      <c r="K1208" s="112" t="b">
        <v>0</v>
      </c>
      <c r="L1208" s="112" t="b">
        <v>0</v>
      </c>
    </row>
    <row r="1209" spans="1:12" ht="15">
      <c r="A1209" s="112" t="s">
        <v>2077</v>
      </c>
      <c r="B1209" s="112" t="s">
        <v>2077</v>
      </c>
      <c r="C1209" s="112">
        <v>2</v>
      </c>
      <c r="D1209" s="114">
        <v>0.001476940793696534</v>
      </c>
      <c r="E1209" s="114">
        <v>1.1137577167058468</v>
      </c>
      <c r="F1209" s="112" t="s">
        <v>2049</v>
      </c>
      <c r="G1209" s="112" t="b">
        <v>0</v>
      </c>
      <c r="H1209" s="112" t="b">
        <v>0</v>
      </c>
      <c r="I1209" s="112" t="b">
        <v>0</v>
      </c>
      <c r="J1209" s="112" t="b">
        <v>0</v>
      </c>
      <c r="K1209" s="112" t="b">
        <v>0</v>
      </c>
      <c r="L1209" s="112" t="b">
        <v>0</v>
      </c>
    </row>
    <row r="1210" spans="1:12" ht="15">
      <c r="A1210" s="112" t="s">
        <v>2153</v>
      </c>
      <c r="B1210" s="112" t="s">
        <v>2169</v>
      </c>
      <c r="C1210" s="112">
        <v>2</v>
      </c>
      <c r="D1210" s="114">
        <v>0.0012258732410159825</v>
      </c>
      <c r="E1210" s="114">
        <v>1.1360341114169992</v>
      </c>
      <c r="F1210" s="112" t="s">
        <v>2049</v>
      </c>
      <c r="G1210" s="112" t="b">
        <v>0</v>
      </c>
      <c r="H1210" s="112" t="b">
        <v>0</v>
      </c>
      <c r="I1210" s="112" t="b">
        <v>0</v>
      </c>
      <c r="J1210" s="112" t="b">
        <v>0</v>
      </c>
      <c r="K1210" s="112" t="b">
        <v>0</v>
      </c>
      <c r="L1210" s="112" t="b">
        <v>0</v>
      </c>
    </row>
    <row r="1211" spans="1:12" ht="15">
      <c r="A1211" s="112" t="s">
        <v>2708</v>
      </c>
      <c r="B1211" s="112" t="s">
        <v>2565</v>
      </c>
      <c r="C1211" s="112">
        <v>2</v>
      </c>
      <c r="D1211" s="114">
        <v>0.0012258732410159825</v>
      </c>
      <c r="E1211" s="114">
        <v>2.5908789714255094</v>
      </c>
      <c r="F1211" s="112" t="s">
        <v>2049</v>
      </c>
      <c r="G1211" s="112" t="b">
        <v>0</v>
      </c>
      <c r="H1211" s="112" t="b">
        <v>0</v>
      </c>
      <c r="I1211" s="112" t="b">
        <v>0</v>
      </c>
      <c r="J1211" s="112" t="b">
        <v>0</v>
      </c>
      <c r="K1211" s="112" t="b">
        <v>0</v>
      </c>
      <c r="L1211" s="112" t="b">
        <v>0</v>
      </c>
    </row>
    <row r="1212" spans="1:12" ht="15">
      <c r="A1212" s="112" t="s">
        <v>2123</v>
      </c>
      <c r="B1212" s="112" t="s">
        <v>2571</v>
      </c>
      <c r="C1212" s="112">
        <v>2</v>
      </c>
      <c r="D1212" s="114">
        <v>0.0012258732410159825</v>
      </c>
      <c r="E1212" s="114">
        <v>1.4659402348172095</v>
      </c>
      <c r="F1212" s="112" t="s">
        <v>2049</v>
      </c>
      <c r="G1212" s="112" t="b">
        <v>0</v>
      </c>
      <c r="H1212" s="112" t="b">
        <v>0</v>
      </c>
      <c r="I1212" s="112" t="b">
        <v>0</v>
      </c>
      <c r="J1212" s="112" t="b">
        <v>0</v>
      </c>
      <c r="K1212" s="112" t="b">
        <v>0</v>
      </c>
      <c r="L1212" s="112" t="b">
        <v>0</v>
      </c>
    </row>
    <row r="1213" spans="1:12" ht="15">
      <c r="A1213" s="112" t="s">
        <v>2370</v>
      </c>
      <c r="B1213" s="112" t="s">
        <v>2202</v>
      </c>
      <c r="C1213" s="112">
        <v>2</v>
      </c>
      <c r="D1213" s="114">
        <v>0.0012258732410159825</v>
      </c>
      <c r="E1213" s="114">
        <v>1.8127277210418657</v>
      </c>
      <c r="F1213" s="112" t="s">
        <v>2049</v>
      </c>
      <c r="G1213" s="112" t="b">
        <v>0</v>
      </c>
      <c r="H1213" s="112" t="b">
        <v>0</v>
      </c>
      <c r="I1213" s="112" t="b">
        <v>0</v>
      </c>
      <c r="J1213" s="112" t="b">
        <v>0</v>
      </c>
      <c r="K1213" s="112" t="b">
        <v>0</v>
      </c>
      <c r="L1213" s="112" t="b">
        <v>0</v>
      </c>
    </row>
    <row r="1214" spans="1:12" ht="15">
      <c r="A1214" s="112" t="s">
        <v>2202</v>
      </c>
      <c r="B1214" s="112" t="s">
        <v>2203</v>
      </c>
      <c r="C1214" s="112">
        <v>2</v>
      </c>
      <c r="D1214" s="114">
        <v>0.0012258732410159825</v>
      </c>
      <c r="E1214" s="114">
        <v>1.6877889844335658</v>
      </c>
      <c r="F1214" s="112" t="s">
        <v>2049</v>
      </c>
      <c r="G1214" s="112" t="b">
        <v>0</v>
      </c>
      <c r="H1214" s="112" t="b">
        <v>0</v>
      </c>
      <c r="I1214" s="112" t="b">
        <v>0</v>
      </c>
      <c r="J1214" s="112" t="b">
        <v>0</v>
      </c>
      <c r="K1214" s="112" t="b">
        <v>0</v>
      </c>
      <c r="L1214" s="112" t="b">
        <v>0</v>
      </c>
    </row>
    <row r="1215" spans="1:12" ht="15">
      <c r="A1215" s="112" t="s">
        <v>2202</v>
      </c>
      <c r="B1215" s="112" t="s">
        <v>2202</v>
      </c>
      <c r="C1215" s="112">
        <v>2</v>
      </c>
      <c r="D1215" s="114">
        <v>0.0012258732410159825</v>
      </c>
      <c r="E1215" s="114">
        <v>1.5116977253778845</v>
      </c>
      <c r="F1215" s="112" t="s">
        <v>2049</v>
      </c>
      <c r="G1215" s="112" t="b">
        <v>0</v>
      </c>
      <c r="H1215" s="112" t="b">
        <v>0</v>
      </c>
      <c r="I1215" s="112" t="b">
        <v>0</v>
      </c>
      <c r="J1215" s="112" t="b">
        <v>0</v>
      </c>
      <c r="K1215" s="112" t="b">
        <v>0</v>
      </c>
      <c r="L1215" s="112" t="b">
        <v>0</v>
      </c>
    </row>
    <row r="1216" spans="1:12" ht="15">
      <c r="A1216" s="112" t="s">
        <v>2370</v>
      </c>
      <c r="B1216" s="112" t="s">
        <v>2203</v>
      </c>
      <c r="C1216" s="112">
        <v>2</v>
      </c>
      <c r="D1216" s="114">
        <v>0.001476940793696534</v>
      </c>
      <c r="E1216" s="114">
        <v>1.988818980097547</v>
      </c>
      <c r="F1216" s="112" t="s">
        <v>2049</v>
      </c>
      <c r="G1216" s="112" t="b">
        <v>0</v>
      </c>
      <c r="H1216" s="112" t="b">
        <v>0</v>
      </c>
      <c r="I1216" s="112" t="b">
        <v>0</v>
      </c>
      <c r="J1216" s="112" t="b">
        <v>0</v>
      </c>
      <c r="K1216" s="112" t="b">
        <v>0</v>
      </c>
      <c r="L1216" s="112" t="b">
        <v>0</v>
      </c>
    </row>
    <row r="1217" spans="1:12" ht="15">
      <c r="A1217" s="112" t="s">
        <v>3026</v>
      </c>
      <c r="B1217" s="112" t="s">
        <v>3027</v>
      </c>
      <c r="C1217" s="112">
        <v>2</v>
      </c>
      <c r="D1217" s="114">
        <v>0.0012258732410159825</v>
      </c>
      <c r="E1217" s="114">
        <v>3.068000226145172</v>
      </c>
      <c r="F1217" s="112" t="s">
        <v>2049</v>
      </c>
      <c r="G1217" s="112" t="b">
        <v>0</v>
      </c>
      <c r="H1217" s="112" t="b">
        <v>0</v>
      </c>
      <c r="I1217" s="112" t="b">
        <v>0</v>
      </c>
      <c r="J1217" s="112" t="b">
        <v>0</v>
      </c>
      <c r="K1217" s="112" t="b">
        <v>0</v>
      </c>
      <c r="L1217" s="112" t="b">
        <v>0</v>
      </c>
    </row>
    <row r="1218" spans="1:12" ht="15">
      <c r="A1218" s="112" t="s">
        <v>3027</v>
      </c>
      <c r="B1218" s="112" t="s">
        <v>2370</v>
      </c>
      <c r="C1218" s="112">
        <v>2</v>
      </c>
      <c r="D1218" s="114">
        <v>0.0012258732410159825</v>
      </c>
      <c r="E1218" s="114">
        <v>2.5908789714255094</v>
      </c>
      <c r="F1218" s="112" t="s">
        <v>2049</v>
      </c>
      <c r="G1218" s="112" t="b">
        <v>0</v>
      </c>
      <c r="H1218" s="112" t="b">
        <v>0</v>
      </c>
      <c r="I1218" s="112" t="b">
        <v>0</v>
      </c>
      <c r="J1218" s="112" t="b">
        <v>0</v>
      </c>
      <c r="K1218" s="112" t="b">
        <v>0</v>
      </c>
      <c r="L1218" s="112" t="b">
        <v>0</v>
      </c>
    </row>
    <row r="1219" spans="1:12" ht="15">
      <c r="A1219" s="112" t="s">
        <v>2133</v>
      </c>
      <c r="B1219" s="112" t="s">
        <v>2138</v>
      </c>
      <c r="C1219" s="112">
        <v>2</v>
      </c>
      <c r="D1219" s="114">
        <v>0.001476940793696534</v>
      </c>
      <c r="E1219" s="114">
        <v>2.369030221809153</v>
      </c>
      <c r="F1219" s="112" t="s">
        <v>2049</v>
      </c>
      <c r="G1219" s="112" t="b">
        <v>0</v>
      </c>
      <c r="H1219" s="112" t="b">
        <v>0</v>
      </c>
      <c r="I1219" s="112" t="b">
        <v>0</v>
      </c>
      <c r="J1219" s="112" t="b">
        <v>0</v>
      </c>
      <c r="K1219" s="112" t="b">
        <v>0</v>
      </c>
      <c r="L1219" s="112" t="b">
        <v>0</v>
      </c>
    </row>
    <row r="1220" spans="1:12" ht="15">
      <c r="A1220" s="112" t="s">
        <v>2084</v>
      </c>
      <c r="B1220" s="112" t="s">
        <v>2084</v>
      </c>
      <c r="C1220" s="112">
        <v>2</v>
      </c>
      <c r="D1220" s="114">
        <v>0.001476940793696534</v>
      </c>
      <c r="E1220" s="114">
        <v>0.030972346389396832</v>
      </c>
      <c r="F1220" s="112" t="s">
        <v>2049</v>
      </c>
      <c r="G1220" s="112" t="b">
        <v>0</v>
      </c>
      <c r="H1220" s="112" t="b">
        <v>1</v>
      </c>
      <c r="I1220" s="112" t="b">
        <v>0</v>
      </c>
      <c r="J1220" s="112" t="b">
        <v>0</v>
      </c>
      <c r="K1220" s="112" t="b">
        <v>1</v>
      </c>
      <c r="L1220" s="112" t="b">
        <v>0</v>
      </c>
    </row>
    <row r="1221" spans="1:12" ht="15">
      <c r="A1221" s="112" t="s">
        <v>2202</v>
      </c>
      <c r="B1221" s="112" t="s">
        <v>2246</v>
      </c>
      <c r="C1221" s="112">
        <v>2</v>
      </c>
      <c r="D1221" s="114">
        <v>0.0012258732410159825</v>
      </c>
      <c r="E1221" s="114">
        <v>1.6366364619861844</v>
      </c>
      <c r="F1221" s="112" t="s">
        <v>2049</v>
      </c>
      <c r="G1221" s="112" t="b">
        <v>0</v>
      </c>
      <c r="H1221" s="112" t="b">
        <v>0</v>
      </c>
      <c r="I1221" s="112" t="b">
        <v>0</v>
      </c>
      <c r="J1221" s="112" t="b">
        <v>0</v>
      </c>
      <c r="K1221" s="112" t="b">
        <v>0</v>
      </c>
      <c r="L1221" s="112" t="b">
        <v>0</v>
      </c>
    </row>
    <row r="1222" spans="1:12" ht="15">
      <c r="A1222" s="112" t="s">
        <v>2350</v>
      </c>
      <c r="B1222" s="112" t="s">
        <v>2165</v>
      </c>
      <c r="C1222" s="112">
        <v>2</v>
      </c>
      <c r="D1222" s="114">
        <v>0.0012258732410159825</v>
      </c>
      <c r="E1222" s="114">
        <v>2.8919089670894906</v>
      </c>
      <c r="F1222" s="112" t="s">
        <v>2049</v>
      </c>
      <c r="G1222" s="112" t="b">
        <v>0</v>
      </c>
      <c r="H1222" s="112" t="b">
        <v>0</v>
      </c>
      <c r="I1222" s="112" t="b">
        <v>0</v>
      </c>
      <c r="J1222" s="112" t="b">
        <v>0</v>
      </c>
      <c r="K1222" s="112" t="b">
        <v>0</v>
      </c>
      <c r="L1222" s="112" t="b">
        <v>0</v>
      </c>
    </row>
    <row r="1223" spans="1:12" ht="15">
      <c r="A1223" s="112" t="s">
        <v>2572</v>
      </c>
      <c r="B1223" s="112" t="s">
        <v>2196</v>
      </c>
      <c r="C1223" s="112">
        <v>2</v>
      </c>
      <c r="D1223" s="114">
        <v>0.0012258732410159825</v>
      </c>
      <c r="E1223" s="114">
        <v>1.988818980097547</v>
      </c>
      <c r="F1223" s="112" t="s">
        <v>2049</v>
      </c>
      <c r="G1223" s="112" t="b">
        <v>0</v>
      </c>
      <c r="H1223" s="112" t="b">
        <v>0</v>
      </c>
      <c r="I1223" s="112" t="b">
        <v>0</v>
      </c>
      <c r="J1223" s="112" t="b">
        <v>0</v>
      </c>
      <c r="K1223" s="112" t="b">
        <v>0</v>
      </c>
      <c r="L1223" s="112" t="b">
        <v>0</v>
      </c>
    </row>
    <row r="1224" spans="1:12" ht="15">
      <c r="A1224" s="112" t="s">
        <v>2196</v>
      </c>
      <c r="B1224" s="112" t="s">
        <v>2993</v>
      </c>
      <c r="C1224" s="112">
        <v>2</v>
      </c>
      <c r="D1224" s="114">
        <v>0.0012258732410159825</v>
      </c>
      <c r="E1224" s="114">
        <v>2.289848975761528</v>
      </c>
      <c r="F1224" s="112" t="s">
        <v>2049</v>
      </c>
      <c r="G1224" s="112" t="b">
        <v>0</v>
      </c>
      <c r="H1224" s="112" t="b">
        <v>0</v>
      </c>
      <c r="I1224" s="112" t="b">
        <v>0</v>
      </c>
      <c r="J1224" s="112" t="b">
        <v>0</v>
      </c>
      <c r="K1224" s="112" t="b">
        <v>0</v>
      </c>
      <c r="L1224" s="112" t="b">
        <v>0</v>
      </c>
    </row>
    <row r="1225" spans="1:12" ht="15">
      <c r="A1225" s="112" t="s">
        <v>2446</v>
      </c>
      <c r="B1225" s="112" t="s">
        <v>2244</v>
      </c>
      <c r="C1225" s="112">
        <v>2</v>
      </c>
      <c r="D1225" s="114">
        <v>0.0012258732410159825</v>
      </c>
      <c r="E1225" s="114">
        <v>3.068000226145172</v>
      </c>
      <c r="F1225" s="112" t="s">
        <v>2049</v>
      </c>
      <c r="G1225" s="112" t="b">
        <v>0</v>
      </c>
      <c r="H1225" s="112" t="b">
        <v>1</v>
      </c>
      <c r="I1225" s="112" t="b">
        <v>0</v>
      </c>
      <c r="J1225" s="112" t="b">
        <v>0</v>
      </c>
      <c r="K1225" s="112" t="b">
        <v>0</v>
      </c>
      <c r="L1225" s="112" t="b">
        <v>0</v>
      </c>
    </row>
    <row r="1226" spans="1:12" ht="15">
      <c r="A1226" s="112" t="s">
        <v>2714</v>
      </c>
      <c r="B1226" s="112" t="s">
        <v>2470</v>
      </c>
      <c r="C1226" s="112">
        <v>2</v>
      </c>
      <c r="D1226" s="114">
        <v>0.0012258732410159825</v>
      </c>
      <c r="E1226" s="114">
        <v>2.7669702304811907</v>
      </c>
      <c r="F1226" s="112" t="s">
        <v>2049</v>
      </c>
      <c r="G1226" s="112" t="b">
        <v>0</v>
      </c>
      <c r="H1226" s="112" t="b">
        <v>0</v>
      </c>
      <c r="I1226" s="112" t="b">
        <v>0</v>
      </c>
      <c r="J1226" s="112" t="b">
        <v>0</v>
      </c>
      <c r="K1226" s="112" t="b">
        <v>0</v>
      </c>
      <c r="L1226" s="112" t="b">
        <v>0</v>
      </c>
    </row>
    <row r="1227" spans="1:12" ht="15">
      <c r="A1227" s="112" t="s">
        <v>2121</v>
      </c>
      <c r="B1227" s="112" t="s">
        <v>2984</v>
      </c>
      <c r="C1227" s="112">
        <v>2</v>
      </c>
      <c r="D1227" s="114">
        <v>0.0012258732410159825</v>
      </c>
      <c r="E1227" s="114">
        <v>2.8919089670894906</v>
      </c>
      <c r="F1227" s="112" t="s">
        <v>2049</v>
      </c>
      <c r="G1227" s="112" t="b">
        <v>0</v>
      </c>
      <c r="H1227" s="112" t="b">
        <v>0</v>
      </c>
      <c r="I1227" s="112" t="b">
        <v>0</v>
      </c>
      <c r="J1227" s="112" t="b">
        <v>0</v>
      </c>
      <c r="K1227" s="112" t="b">
        <v>0</v>
      </c>
      <c r="L1227" s="112" t="b">
        <v>0</v>
      </c>
    </row>
    <row r="1228" spans="1:12" ht="15">
      <c r="A1228" s="112" t="s">
        <v>2716</v>
      </c>
      <c r="B1228" s="112" t="s">
        <v>2715</v>
      </c>
      <c r="C1228" s="112">
        <v>2</v>
      </c>
      <c r="D1228" s="114">
        <v>0.001476940793696534</v>
      </c>
      <c r="E1228" s="114">
        <v>2.8919089670894906</v>
      </c>
      <c r="F1228" s="112" t="s">
        <v>2049</v>
      </c>
      <c r="G1228" s="112" t="b">
        <v>0</v>
      </c>
      <c r="H1228" s="112" t="b">
        <v>0</v>
      </c>
      <c r="I1228" s="112" t="b">
        <v>0</v>
      </c>
      <c r="J1228" s="112" t="b">
        <v>0</v>
      </c>
      <c r="K1228" s="112" t="b">
        <v>1</v>
      </c>
      <c r="L1228" s="112" t="b">
        <v>0</v>
      </c>
    </row>
    <row r="1229" spans="1:12" ht="15">
      <c r="A1229" s="112" t="s">
        <v>2418</v>
      </c>
      <c r="B1229" s="112" t="s">
        <v>2709</v>
      </c>
      <c r="C1229" s="112">
        <v>2</v>
      </c>
      <c r="D1229" s="114">
        <v>0.001476940793696534</v>
      </c>
      <c r="E1229" s="114">
        <v>2.414787712369828</v>
      </c>
      <c r="F1229" s="112" t="s">
        <v>2049</v>
      </c>
      <c r="G1229" s="112" t="b">
        <v>1</v>
      </c>
      <c r="H1229" s="112" t="b">
        <v>0</v>
      </c>
      <c r="I1229" s="112" t="b">
        <v>0</v>
      </c>
      <c r="J1229" s="112" t="b">
        <v>1</v>
      </c>
      <c r="K1229" s="112" t="b">
        <v>0</v>
      </c>
      <c r="L1229" s="112" t="b">
        <v>0</v>
      </c>
    </row>
    <row r="1230" spans="1:12" ht="15">
      <c r="A1230" s="112" t="s">
        <v>2985</v>
      </c>
      <c r="B1230" s="112" t="s">
        <v>2411</v>
      </c>
      <c r="C1230" s="112">
        <v>2</v>
      </c>
      <c r="D1230" s="114">
        <v>0.001476940793696534</v>
      </c>
      <c r="E1230" s="114">
        <v>3.068000226145172</v>
      </c>
      <c r="F1230" s="112" t="s">
        <v>2049</v>
      </c>
      <c r="G1230" s="112" t="b">
        <v>0</v>
      </c>
      <c r="H1230" s="112" t="b">
        <v>0</v>
      </c>
      <c r="I1230" s="112" t="b">
        <v>0</v>
      </c>
      <c r="J1230" s="112" t="b">
        <v>0</v>
      </c>
      <c r="K1230" s="112" t="b">
        <v>0</v>
      </c>
      <c r="L1230" s="112" t="b">
        <v>0</v>
      </c>
    </row>
    <row r="1231" spans="1:12" ht="15">
      <c r="A1231" s="112" t="s">
        <v>2077</v>
      </c>
      <c r="B1231" s="112" t="s">
        <v>2077</v>
      </c>
      <c r="C1231" s="112">
        <v>82</v>
      </c>
      <c r="D1231" s="114">
        <v>0.0061754711999556485</v>
      </c>
      <c r="E1231" s="114">
        <v>-0.07920739970045286</v>
      </c>
      <c r="F1231" s="112" t="s">
        <v>2050</v>
      </c>
      <c r="G1231" s="112" t="b">
        <v>0</v>
      </c>
      <c r="H1231" s="112" t="b">
        <v>0</v>
      </c>
      <c r="I1231" s="112" t="b">
        <v>0</v>
      </c>
      <c r="J1231" s="112" t="b">
        <v>0</v>
      </c>
      <c r="K1231" s="112" t="b">
        <v>0</v>
      </c>
      <c r="L1231" s="112" t="b">
        <v>0</v>
      </c>
    </row>
    <row r="1232" spans="1:12" ht="15">
      <c r="A1232" s="112" t="s">
        <v>2081</v>
      </c>
      <c r="B1232" s="112" t="s">
        <v>2077</v>
      </c>
      <c r="C1232" s="112">
        <v>44</v>
      </c>
      <c r="D1232" s="114">
        <v>0.002976872271692247</v>
      </c>
      <c r="E1232" s="114">
        <v>0.5350380056999483</v>
      </c>
      <c r="F1232" s="112" t="s">
        <v>2050</v>
      </c>
      <c r="G1232" s="112" t="b">
        <v>0</v>
      </c>
      <c r="H1232" s="112" t="b">
        <v>0</v>
      </c>
      <c r="I1232" s="112" t="b">
        <v>0</v>
      </c>
      <c r="J1232" s="112" t="b">
        <v>0</v>
      </c>
      <c r="K1232" s="112" t="b">
        <v>0</v>
      </c>
      <c r="L1232" s="112" t="b">
        <v>0</v>
      </c>
    </row>
    <row r="1233" spans="1:12" ht="15">
      <c r="A1233" s="112" t="s">
        <v>2110</v>
      </c>
      <c r="B1233" s="112" t="s">
        <v>2111</v>
      </c>
      <c r="C1233" s="112">
        <v>43</v>
      </c>
      <c r="D1233" s="114">
        <v>0.002588007198502172</v>
      </c>
      <c r="E1233" s="114">
        <v>1.4968653129154195</v>
      </c>
      <c r="F1233" s="112" t="s">
        <v>2050</v>
      </c>
      <c r="G1233" s="112" t="b">
        <v>0</v>
      </c>
      <c r="H1233" s="112" t="b">
        <v>0</v>
      </c>
      <c r="I1233" s="112" t="b">
        <v>0</v>
      </c>
      <c r="J1233" s="112" t="b">
        <v>0</v>
      </c>
      <c r="K1233" s="112" t="b">
        <v>0</v>
      </c>
      <c r="L1233" s="112" t="b">
        <v>0</v>
      </c>
    </row>
    <row r="1234" spans="1:12" ht="15">
      <c r="A1234" s="112" t="s">
        <v>2077</v>
      </c>
      <c r="B1234" s="112" t="s">
        <v>2081</v>
      </c>
      <c r="C1234" s="112">
        <v>42</v>
      </c>
      <c r="D1234" s="114">
        <v>0.0031630462243675272</v>
      </c>
      <c r="E1234" s="114">
        <v>0.5156373822836714</v>
      </c>
      <c r="F1234" s="112" t="s">
        <v>2050</v>
      </c>
      <c r="G1234" s="112" t="b">
        <v>0</v>
      </c>
      <c r="H1234" s="112" t="b">
        <v>0</v>
      </c>
      <c r="I1234" s="112" t="b">
        <v>0</v>
      </c>
      <c r="J1234" s="112" t="b">
        <v>0</v>
      </c>
      <c r="K1234" s="112" t="b">
        <v>0</v>
      </c>
      <c r="L1234" s="112" t="b">
        <v>0</v>
      </c>
    </row>
    <row r="1235" spans="1:12" ht="15">
      <c r="A1235" s="112" t="s">
        <v>2077</v>
      </c>
      <c r="B1235" s="112" t="s">
        <v>2110</v>
      </c>
      <c r="C1235" s="112">
        <v>41</v>
      </c>
      <c r="D1235" s="114">
        <v>0.0030877355999778242</v>
      </c>
      <c r="E1235" s="114">
        <v>0.5438013509616374</v>
      </c>
      <c r="F1235" s="112" t="s">
        <v>2050</v>
      </c>
      <c r="G1235" s="112" t="b">
        <v>0</v>
      </c>
      <c r="H1235" s="112" t="b">
        <v>0</v>
      </c>
      <c r="I1235" s="112" t="b">
        <v>0</v>
      </c>
      <c r="J1235" s="112" t="b">
        <v>0</v>
      </c>
      <c r="K1235" s="112" t="b">
        <v>0</v>
      </c>
      <c r="L1235" s="112" t="b">
        <v>0</v>
      </c>
    </row>
    <row r="1236" spans="1:12" ht="15">
      <c r="A1236" s="112" t="s">
        <v>2077</v>
      </c>
      <c r="B1236" s="112" t="s">
        <v>2114</v>
      </c>
      <c r="C1236" s="112">
        <v>41</v>
      </c>
      <c r="D1236" s="114">
        <v>0.0034095134417765336</v>
      </c>
      <c r="E1236" s="114">
        <v>0.5338171300550365</v>
      </c>
      <c r="F1236" s="112" t="s">
        <v>2050</v>
      </c>
      <c r="G1236" s="112" t="b">
        <v>0</v>
      </c>
      <c r="H1236" s="112" t="b">
        <v>0</v>
      </c>
      <c r="I1236" s="112" t="b">
        <v>0</v>
      </c>
      <c r="J1236" s="112" t="b">
        <v>0</v>
      </c>
      <c r="K1236" s="112" t="b">
        <v>0</v>
      </c>
      <c r="L1236" s="112" t="b">
        <v>0</v>
      </c>
    </row>
    <row r="1237" spans="1:12" ht="15">
      <c r="A1237" s="112" t="s">
        <v>2119</v>
      </c>
      <c r="B1237" s="112" t="s">
        <v>2077</v>
      </c>
      <c r="C1237" s="112">
        <v>40</v>
      </c>
      <c r="D1237" s="114">
        <v>0.003012424975588121</v>
      </c>
      <c r="E1237" s="114">
        <v>0.5728265665893482</v>
      </c>
      <c r="F1237" s="112" t="s">
        <v>2050</v>
      </c>
      <c r="G1237" s="112" t="b">
        <v>0</v>
      </c>
      <c r="H1237" s="112" t="b">
        <v>0</v>
      </c>
      <c r="I1237" s="112" t="b">
        <v>0</v>
      </c>
      <c r="J1237" s="112" t="b">
        <v>0</v>
      </c>
      <c r="K1237" s="112" t="b">
        <v>0</v>
      </c>
      <c r="L1237" s="112" t="b">
        <v>0</v>
      </c>
    </row>
    <row r="1238" spans="1:12" ht="15">
      <c r="A1238" s="112" t="s">
        <v>2093</v>
      </c>
      <c r="B1238" s="112" t="s">
        <v>2077</v>
      </c>
      <c r="C1238" s="112">
        <v>40</v>
      </c>
      <c r="D1238" s="114">
        <v>0.0033263545773429596</v>
      </c>
      <c r="E1238" s="114">
        <v>0.2664015390386609</v>
      </c>
      <c r="F1238" s="112" t="s">
        <v>2050</v>
      </c>
      <c r="G1238" s="112" t="b">
        <v>0</v>
      </c>
      <c r="H1238" s="112" t="b">
        <v>0</v>
      </c>
      <c r="I1238" s="112" t="b">
        <v>0</v>
      </c>
      <c r="J1238" s="112" t="b">
        <v>0</v>
      </c>
      <c r="K1238" s="112" t="b">
        <v>0</v>
      </c>
      <c r="L1238" s="112" t="b">
        <v>0</v>
      </c>
    </row>
    <row r="1239" spans="1:12" ht="15">
      <c r="A1239" s="112" t="s">
        <v>2120</v>
      </c>
      <c r="B1239" s="112" t="s">
        <v>2129</v>
      </c>
      <c r="C1239" s="112">
        <v>40</v>
      </c>
      <c r="D1239" s="114">
        <v>0.0033263545773429596</v>
      </c>
      <c r="E1239" s="114">
        <v>1.5282737771670438</v>
      </c>
      <c r="F1239" s="112" t="s">
        <v>2050</v>
      </c>
      <c r="G1239" s="112" t="b">
        <v>0</v>
      </c>
      <c r="H1239" s="112" t="b">
        <v>0</v>
      </c>
      <c r="I1239" s="112" t="b">
        <v>0</v>
      </c>
      <c r="J1239" s="112" t="b">
        <v>0</v>
      </c>
      <c r="K1239" s="112" t="b">
        <v>0</v>
      </c>
      <c r="L1239" s="112" t="b">
        <v>0</v>
      </c>
    </row>
    <row r="1240" spans="1:12" ht="15">
      <c r="A1240" s="112" t="s">
        <v>2102</v>
      </c>
      <c r="B1240" s="112" t="s">
        <v>2115</v>
      </c>
      <c r="C1240" s="112">
        <v>40</v>
      </c>
      <c r="D1240" s="114">
        <v>0.003012424975588121</v>
      </c>
      <c r="E1240" s="114">
        <v>1.3829219606085827</v>
      </c>
      <c r="F1240" s="112" t="s">
        <v>2050</v>
      </c>
      <c r="G1240" s="112" t="b">
        <v>0</v>
      </c>
      <c r="H1240" s="112" t="b">
        <v>0</v>
      </c>
      <c r="I1240" s="112" t="b">
        <v>0</v>
      </c>
      <c r="J1240" s="112" t="b">
        <v>0</v>
      </c>
      <c r="K1240" s="112" t="b">
        <v>0</v>
      </c>
      <c r="L1240" s="112" t="b">
        <v>0</v>
      </c>
    </row>
    <row r="1241" spans="1:12" ht="15">
      <c r="A1241" s="112" t="s">
        <v>2116</v>
      </c>
      <c r="B1241" s="112" t="s">
        <v>2125</v>
      </c>
      <c r="C1241" s="112">
        <v>40</v>
      </c>
      <c r="D1241" s="114">
        <v>0.003012424975588121</v>
      </c>
      <c r="E1241" s="114">
        <v>1.4861414475236465</v>
      </c>
      <c r="F1241" s="112" t="s">
        <v>2050</v>
      </c>
      <c r="G1241" s="112" t="b">
        <v>0</v>
      </c>
      <c r="H1241" s="112" t="b">
        <v>0</v>
      </c>
      <c r="I1241" s="112" t="b">
        <v>0</v>
      </c>
      <c r="J1241" s="112" t="b">
        <v>0</v>
      </c>
      <c r="K1241" s="112" t="b">
        <v>0</v>
      </c>
      <c r="L1241" s="112" t="b">
        <v>0</v>
      </c>
    </row>
    <row r="1242" spans="1:12" ht="15">
      <c r="A1242" s="112" t="s">
        <v>2111</v>
      </c>
      <c r="B1242" s="112" t="s">
        <v>2077</v>
      </c>
      <c r="C1242" s="112">
        <v>39</v>
      </c>
      <c r="D1242" s="114">
        <v>0.0032431957129093855</v>
      </c>
      <c r="E1242" s="114">
        <v>0.5304227180362608</v>
      </c>
      <c r="F1242" s="112" t="s">
        <v>2050</v>
      </c>
      <c r="G1242" s="112" t="b">
        <v>0</v>
      </c>
      <c r="H1242" s="112" t="b">
        <v>0</v>
      </c>
      <c r="I1242" s="112" t="b">
        <v>0</v>
      </c>
      <c r="J1242" s="112" t="b">
        <v>0</v>
      </c>
      <c r="K1242" s="112" t="b">
        <v>0</v>
      </c>
      <c r="L1242" s="112" t="b">
        <v>0</v>
      </c>
    </row>
    <row r="1243" spans="1:12" ht="15">
      <c r="A1243" s="112" t="s">
        <v>2077</v>
      </c>
      <c r="B1243" s="112" t="s">
        <v>2105</v>
      </c>
      <c r="C1243" s="112">
        <v>39</v>
      </c>
      <c r="D1243" s="114">
        <v>0.0032431957129093855</v>
      </c>
      <c r="E1243" s="114">
        <v>0.5644859498214885</v>
      </c>
      <c r="F1243" s="112" t="s">
        <v>2050</v>
      </c>
      <c r="G1243" s="112" t="b">
        <v>0</v>
      </c>
      <c r="H1243" s="112" t="b">
        <v>0</v>
      </c>
      <c r="I1243" s="112" t="b">
        <v>0</v>
      </c>
      <c r="J1243" s="112" t="b">
        <v>0</v>
      </c>
      <c r="K1243" s="112" t="b">
        <v>0</v>
      </c>
      <c r="L1243" s="112" t="b">
        <v>0</v>
      </c>
    </row>
    <row r="1244" spans="1:12" ht="15">
      <c r="A1244" s="112" t="s">
        <v>2105</v>
      </c>
      <c r="B1244" s="112" t="s">
        <v>2093</v>
      </c>
      <c r="C1244" s="112">
        <v>39</v>
      </c>
      <c r="D1244" s="114">
        <v>0.0032431957129093855</v>
      </c>
      <c r="E1244" s="114">
        <v>1.2165199161112894</v>
      </c>
      <c r="F1244" s="112" t="s">
        <v>2050</v>
      </c>
      <c r="G1244" s="112" t="b">
        <v>0</v>
      </c>
      <c r="H1244" s="112" t="b">
        <v>0</v>
      </c>
      <c r="I1244" s="112" t="b">
        <v>0</v>
      </c>
      <c r="J1244" s="112" t="b">
        <v>0</v>
      </c>
      <c r="K1244" s="112" t="b">
        <v>0</v>
      </c>
      <c r="L1244" s="112" t="b">
        <v>0</v>
      </c>
    </row>
    <row r="1245" spans="1:12" ht="15">
      <c r="A1245" s="112" t="s">
        <v>2077</v>
      </c>
      <c r="B1245" s="112" t="s">
        <v>2093</v>
      </c>
      <c r="C1245" s="112">
        <v>39</v>
      </c>
      <c r="D1245" s="114">
        <v>0.0032431957129093855</v>
      </c>
      <c r="E1245" s="114">
        <v>0.24173670446427092</v>
      </c>
      <c r="F1245" s="112" t="s">
        <v>2050</v>
      </c>
      <c r="G1245" s="112" t="b">
        <v>0</v>
      </c>
      <c r="H1245" s="112" t="b">
        <v>0</v>
      </c>
      <c r="I1245" s="112" t="b">
        <v>0</v>
      </c>
      <c r="J1245" s="112" t="b">
        <v>0</v>
      </c>
      <c r="K1245" s="112" t="b">
        <v>0</v>
      </c>
      <c r="L1245" s="112" t="b">
        <v>0</v>
      </c>
    </row>
    <row r="1246" spans="1:12" ht="15">
      <c r="A1246" s="112" t="s">
        <v>2093</v>
      </c>
      <c r="B1246" s="112" t="s">
        <v>2128</v>
      </c>
      <c r="C1246" s="112">
        <v>39</v>
      </c>
      <c r="D1246" s="114">
        <v>0.0032431957129093855</v>
      </c>
      <c r="E1246" s="114">
        <v>1.2218487496163564</v>
      </c>
      <c r="F1246" s="112" t="s">
        <v>2050</v>
      </c>
      <c r="G1246" s="112" t="b">
        <v>0</v>
      </c>
      <c r="H1246" s="112" t="b">
        <v>0</v>
      </c>
      <c r="I1246" s="112" t="b">
        <v>0</v>
      </c>
      <c r="J1246" s="112" t="b">
        <v>0</v>
      </c>
      <c r="K1246" s="112" t="b">
        <v>0</v>
      </c>
      <c r="L1246" s="112" t="b">
        <v>0</v>
      </c>
    </row>
    <row r="1247" spans="1:12" ht="15">
      <c r="A1247" s="112" t="s">
        <v>2128</v>
      </c>
      <c r="B1247" s="112" t="s">
        <v>2124</v>
      </c>
      <c r="C1247" s="112">
        <v>39</v>
      </c>
      <c r="D1247" s="114">
        <v>0.0032431957129093855</v>
      </c>
      <c r="E1247" s="114">
        <v>1.5175499117752707</v>
      </c>
      <c r="F1247" s="112" t="s">
        <v>2050</v>
      </c>
      <c r="G1247" s="112" t="b">
        <v>0</v>
      </c>
      <c r="H1247" s="112" t="b">
        <v>0</v>
      </c>
      <c r="I1247" s="112" t="b">
        <v>0</v>
      </c>
      <c r="J1247" s="112" t="b">
        <v>0</v>
      </c>
      <c r="K1247" s="112" t="b">
        <v>0</v>
      </c>
      <c r="L1247" s="112" t="b">
        <v>0</v>
      </c>
    </row>
    <row r="1248" spans="1:12" ht="15">
      <c r="A1248" s="112" t="s">
        <v>2124</v>
      </c>
      <c r="B1248" s="112" t="s">
        <v>2120</v>
      </c>
      <c r="C1248" s="112">
        <v>39</v>
      </c>
      <c r="D1248" s="114">
        <v>0.0032431957129093855</v>
      </c>
      <c r="E1248" s="114">
        <v>1.5065545274738075</v>
      </c>
      <c r="F1248" s="112" t="s">
        <v>2050</v>
      </c>
      <c r="G1248" s="112" t="b">
        <v>0</v>
      </c>
      <c r="H1248" s="112" t="b">
        <v>0</v>
      </c>
      <c r="I1248" s="112" t="b">
        <v>0</v>
      </c>
      <c r="J1248" s="112" t="b">
        <v>0</v>
      </c>
      <c r="K1248" s="112" t="b">
        <v>0</v>
      </c>
      <c r="L1248" s="112" t="b">
        <v>0</v>
      </c>
    </row>
    <row r="1249" spans="1:12" ht="15">
      <c r="A1249" s="112" t="s">
        <v>2129</v>
      </c>
      <c r="B1249" s="112" t="s">
        <v>2121</v>
      </c>
      <c r="C1249" s="112">
        <v>39</v>
      </c>
      <c r="D1249" s="114">
        <v>0.0032431957129093855</v>
      </c>
      <c r="E1249" s="114">
        <v>1.5282737771670438</v>
      </c>
      <c r="F1249" s="112" t="s">
        <v>2050</v>
      </c>
      <c r="G1249" s="112" t="b">
        <v>0</v>
      </c>
      <c r="H1249" s="112" t="b">
        <v>0</v>
      </c>
      <c r="I1249" s="112" t="b">
        <v>0</v>
      </c>
      <c r="J1249" s="112" t="b">
        <v>0</v>
      </c>
      <c r="K1249" s="112" t="b">
        <v>0</v>
      </c>
      <c r="L1249" s="112" t="b">
        <v>0</v>
      </c>
    </row>
    <row r="1250" spans="1:12" ht="15">
      <c r="A1250" s="112" t="s">
        <v>2121</v>
      </c>
      <c r="B1250" s="112" t="s">
        <v>2102</v>
      </c>
      <c r="C1250" s="112">
        <v>39</v>
      </c>
      <c r="D1250" s="114">
        <v>0.0032431957129093855</v>
      </c>
      <c r="E1250" s="114">
        <v>1.4143304248602069</v>
      </c>
      <c r="F1250" s="112" t="s">
        <v>2050</v>
      </c>
      <c r="G1250" s="112" t="b">
        <v>0</v>
      </c>
      <c r="H1250" s="112" t="b">
        <v>0</v>
      </c>
      <c r="I1250" s="112" t="b">
        <v>0</v>
      </c>
      <c r="J1250" s="112" t="b">
        <v>0</v>
      </c>
      <c r="K1250" s="112" t="b">
        <v>0</v>
      </c>
      <c r="L1250" s="112" t="b">
        <v>0</v>
      </c>
    </row>
    <row r="1251" spans="1:12" ht="15">
      <c r="A1251" s="112" t="s">
        <v>2115</v>
      </c>
      <c r="B1251" s="112" t="s">
        <v>2077</v>
      </c>
      <c r="C1251" s="112">
        <v>39</v>
      </c>
      <c r="D1251" s="114">
        <v>0.0032431957129093855</v>
      </c>
      <c r="E1251" s="114">
        <v>0.5406418832179469</v>
      </c>
      <c r="F1251" s="112" t="s">
        <v>2050</v>
      </c>
      <c r="G1251" s="112" t="b">
        <v>0</v>
      </c>
      <c r="H1251" s="112" t="b">
        <v>0</v>
      </c>
      <c r="I1251" s="112" t="b">
        <v>0</v>
      </c>
      <c r="J1251" s="112" t="b">
        <v>0</v>
      </c>
      <c r="K1251" s="112" t="b">
        <v>0</v>
      </c>
      <c r="L1251" s="112" t="b">
        <v>0</v>
      </c>
    </row>
    <row r="1252" spans="1:12" ht="15">
      <c r="A1252" s="112" t="s">
        <v>2114</v>
      </c>
      <c r="B1252" s="112" t="s">
        <v>2116</v>
      </c>
      <c r="C1252" s="112">
        <v>39</v>
      </c>
      <c r="D1252" s="114">
        <v>0.0032431957129093855</v>
      </c>
      <c r="E1252" s="114">
        <v>1.4444772434557314</v>
      </c>
      <c r="F1252" s="112" t="s">
        <v>2050</v>
      </c>
      <c r="G1252" s="112" t="b">
        <v>0</v>
      </c>
      <c r="H1252" s="112" t="b">
        <v>0</v>
      </c>
      <c r="I1252" s="112" t="b">
        <v>0</v>
      </c>
      <c r="J1252" s="112" t="b">
        <v>0</v>
      </c>
      <c r="K1252" s="112" t="b">
        <v>0</v>
      </c>
      <c r="L1252" s="112" t="b">
        <v>0</v>
      </c>
    </row>
    <row r="1253" spans="1:12" ht="15">
      <c r="A1253" s="112" t="s">
        <v>2125</v>
      </c>
      <c r="B1253" s="112" t="s">
        <v>2077</v>
      </c>
      <c r="C1253" s="112">
        <v>16</v>
      </c>
      <c r="D1253" s="114">
        <v>0.005749609632456949</v>
      </c>
      <c r="E1253" s="114">
        <v>0.32978851790305375</v>
      </c>
      <c r="F1253" s="112" t="s">
        <v>2050</v>
      </c>
      <c r="G1253" s="112" t="b">
        <v>0</v>
      </c>
      <c r="H1253" s="112" t="b">
        <v>0</v>
      </c>
      <c r="I1253" s="112" t="b">
        <v>0</v>
      </c>
      <c r="J1253" s="112" t="b">
        <v>0</v>
      </c>
      <c r="K1253" s="112" t="b">
        <v>0</v>
      </c>
      <c r="L1253" s="112" t="b">
        <v>0</v>
      </c>
    </row>
    <row r="1254" spans="1:12" ht="15">
      <c r="A1254" s="112" t="s">
        <v>2077</v>
      </c>
      <c r="B1254" s="112" t="s">
        <v>2232</v>
      </c>
      <c r="C1254" s="112">
        <v>8</v>
      </c>
      <c r="D1254" s="114">
        <v>0.007026118037848816</v>
      </c>
      <c r="E1254" s="114">
        <v>0.3883946907658071</v>
      </c>
      <c r="F1254" s="112" t="s">
        <v>2050</v>
      </c>
      <c r="G1254" s="112" t="b">
        <v>0</v>
      </c>
      <c r="H1254" s="112" t="b">
        <v>0</v>
      </c>
      <c r="I1254" s="112" t="b">
        <v>0</v>
      </c>
      <c r="J1254" s="112" t="b">
        <v>0</v>
      </c>
      <c r="K1254" s="112" t="b">
        <v>0</v>
      </c>
      <c r="L1254" s="112" t="b">
        <v>0</v>
      </c>
    </row>
    <row r="1255" spans="1:12" ht="15">
      <c r="A1255" s="112" t="s">
        <v>2077</v>
      </c>
      <c r="B1255" s="112" t="s">
        <v>2102</v>
      </c>
      <c r="C1255" s="112">
        <v>6</v>
      </c>
      <c r="D1255" s="114">
        <v>0.006023726682800665</v>
      </c>
      <c r="E1255" s="114">
        <v>-0.3733661434296672</v>
      </c>
      <c r="F1255" s="112" t="s">
        <v>2050</v>
      </c>
      <c r="G1255" s="112" t="b">
        <v>0</v>
      </c>
      <c r="H1255" s="112" t="b">
        <v>0</v>
      </c>
      <c r="I1255" s="112" t="b">
        <v>0</v>
      </c>
      <c r="J1255" s="112" t="b">
        <v>0</v>
      </c>
      <c r="K1255" s="112" t="b">
        <v>0</v>
      </c>
      <c r="L1255" s="112" t="b">
        <v>0</v>
      </c>
    </row>
    <row r="1256" spans="1:12" ht="15">
      <c r="A1256" s="112" t="s">
        <v>2078</v>
      </c>
      <c r="B1256" s="112" t="s">
        <v>2078</v>
      </c>
      <c r="C1256" s="112">
        <v>5</v>
      </c>
      <c r="D1256" s="114">
        <v>0.006094111977508695</v>
      </c>
      <c r="E1256" s="114">
        <v>1.3187587626244126</v>
      </c>
      <c r="F1256" s="112" t="s">
        <v>2050</v>
      </c>
      <c r="G1256" s="112" t="b">
        <v>0</v>
      </c>
      <c r="H1256" s="112" t="b">
        <v>0</v>
      </c>
      <c r="I1256" s="112" t="b">
        <v>0</v>
      </c>
      <c r="J1256" s="112" t="b">
        <v>0</v>
      </c>
      <c r="K1256" s="112" t="b">
        <v>0</v>
      </c>
      <c r="L1256" s="112" t="b">
        <v>0</v>
      </c>
    </row>
    <row r="1257" spans="1:12" ht="15">
      <c r="A1257" s="112" t="s">
        <v>2232</v>
      </c>
      <c r="B1257" s="112" t="s">
        <v>2466</v>
      </c>
      <c r="C1257" s="112">
        <v>4</v>
      </c>
      <c r="D1257" s="114">
        <v>0.004015817788533777</v>
      </c>
      <c r="E1257" s="114">
        <v>1.9542425094393248</v>
      </c>
      <c r="F1257" s="112" t="s">
        <v>2050</v>
      </c>
      <c r="G1257" s="112" t="b">
        <v>0</v>
      </c>
      <c r="H1257" s="112" t="b">
        <v>0</v>
      </c>
      <c r="I1257" s="112" t="b">
        <v>0</v>
      </c>
      <c r="J1257" s="112" t="b">
        <v>0</v>
      </c>
      <c r="K1257" s="112" t="b">
        <v>0</v>
      </c>
      <c r="L1257" s="112" t="b">
        <v>0</v>
      </c>
    </row>
    <row r="1258" spans="1:12" ht="15">
      <c r="A1258" s="112" t="s">
        <v>2466</v>
      </c>
      <c r="B1258" s="112" t="s">
        <v>2077</v>
      </c>
      <c r="C1258" s="112">
        <v>3</v>
      </c>
      <c r="D1258" s="114">
        <v>0.003656467186505217</v>
      </c>
      <c r="E1258" s="114">
        <v>0.3509778169729918</v>
      </c>
      <c r="F1258" s="112" t="s">
        <v>2050</v>
      </c>
      <c r="G1258" s="112" t="b">
        <v>0</v>
      </c>
      <c r="H1258" s="112" t="b">
        <v>0</v>
      </c>
      <c r="I1258" s="112" t="b">
        <v>0</v>
      </c>
      <c r="J1258" s="112" t="b">
        <v>0</v>
      </c>
      <c r="K1258" s="112" t="b">
        <v>0</v>
      </c>
      <c r="L1258" s="112" t="b">
        <v>0</v>
      </c>
    </row>
    <row r="1259" spans="1:12" ht="15">
      <c r="A1259" s="112" t="s">
        <v>2077</v>
      </c>
      <c r="B1259" s="112" t="s">
        <v>2416</v>
      </c>
      <c r="C1259" s="112">
        <v>3</v>
      </c>
      <c r="D1259" s="114">
        <v>0.003656467186505217</v>
      </c>
      <c r="E1259" s="114">
        <v>0.4395472132131885</v>
      </c>
      <c r="F1259" s="112" t="s">
        <v>2050</v>
      </c>
      <c r="G1259" s="112" t="b">
        <v>0</v>
      </c>
      <c r="H1259" s="112" t="b">
        <v>0</v>
      </c>
      <c r="I1259" s="112" t="b">
        <v>0</v>
      </c>
      <c r="J1259" s="112" t="b">
        <v>0</v>
      </c>
      <c r="K1259" s="112" t="b">
        <v>0</v>
      </c>
      <c r="L1259" s="112" t="b">
        <v>0</v>
      </c>
    </row>
    <row r="1260" spans="1:12" ht="15">
      <c r="A1260" s="112" t="s">
        <v>2706</v>
      </c>
      <c r="B1260" s="112" t="s">
        <v>2077</v>
      </c>
      <c r="C1260" s="112">
        <v>3</v>
      </c>
      <c r="D1260" s="114">
        <v>0.003656467186505217</v>
      </c>
      <c r="E1260" s="114">
        <v>0.5728265665893482</v>
      </c>
      <c r="F1260" s="112" t="s">
        <v>2050</v>
      </c>
      <c r="G1260" s="112" t="b">
        <v>0</v>
      </c>
      <c r="H1260" s="112" t="b">
        <v>0</v>
      </c>
      <c r="I1260" s="112" t="b">
        <v>0</v>
      </c>
      <c r="J1260" s="112" t="b">
        <v>0</v>
      </c>
      <c r="K1260" s="112" t="b">
        <v>0</v>
      </c>
      <c r="L1260" s="112" t="b">
        <v>0</v>
      </c>
    </row>
    <row r="1261" spans="1:12" ht="15">
      <c r="A1261" s="112" t="s">
        <v>2084</v>
      </c>
      <c r="B1261" s="112" t="s">
        <v>2093</v>
      </c>
      <c r="C1261" s="112">
        <v>3</v>
      </c>
      <c r="D1261" s="114">
        <v>0.0030118633414003325</v>
      </c>
      <c r="E1261" s="114">
        <v>1.0915811795029895</v>
      </c>
      <c r="F1261" s="112" t="s">
        <v>2050</v>
      </c>
      <c r="G1261" s="112" t="b">
        <v>0</v>
      </c>
      <c r="H1261" s="112" t="b">
        <v>1</v>
      </c>
      <c r="I1261" s="112" t="b">
        <v>0</v>
      </c>
      <c r="J1261" s="112" t="b">
        <v>0</v>
      </c>
      <c r="K1261" s="112" t="b">
        <v>0</v>
      </c>
      <c r="L1261" s="112" t="b">
        <v>0</v>
      </c>
    </row>
    <row r="1262" spans="1:12" ht="15">
      <c r="A1262" s="112" t="s">
        <v>2077</v>
      </c>
      <c r="B1262" s="112" t="s">
        <v>2465</v>
      </c>
      <c r="C1262" s="112">
        <v>3</v>
      </c>
      <c r="D1262" s="114">
        <v>0.003656467186505217</v>
      </c>
      <c r="E1262" s="114">
        <v>0.342637200205132</v>
      </c>
      <c r="F1262" s="112" t="s">
        <v>2050</v>
      </c>
      <c r="G1262" s="112" t="b">
        <v>0</v>
      </c>
      <c r="H1262" s="112" t="b">
        <v>0</v>
      </c>
      <c r="I1262" s="112" t="b">
        <v>0</v>
      </c>
      <c r="J1262" s="112" t="b">
        <v>0</v>
      </c>
      <c r="K1262" s="112" t="b">
        <v>0</v>
      </c>
      <c r="L1262" s="112" t="b">
        <v>0</v>
      </c>
    </row>
    <row r="1263" spans="1:12" ht="15">
      <c r="A1263" s="112" t="s">
        <v>2087</v>
      </c>
      <c r="B1263" s="112" t="s">
        <v>2078</v>
      </c>
      <c r="C1263" s="112">
        <v>3</v>
      </c>
      <c r="D1263" s="114">
        <v>0.0030118633414003325</v>
      </c>
      <c r="E1263" s="114">
        <v>1.7501225267834002</v>
      </c>
      <c r="F1263" s="112" t="s">
        <v>2050</v>
      </c>
      <c r="G1263" s="112" t="b">
        <v>0</v>
      </c>
      <c r="H1263" s="112" t="b">
        <v>0</v>
      </c>
      <c r="I1263" s="112" t="b">
        <v>0</v>
      </c>
      <c r="J1263" s="112" t="b">
        <v>0</v>
      </c>
      <c r="K1263" s="112" t="b">
        <v>0</v>
      </c>
      <c r="L1263" s="112" t="b">
        <v>0</v>
      </c>
    </row>
    <row r="1264" spans="1:12" ht="15">
      <c r="A1264" s="112" t="s">
        <v>2694</v>
      </c>
      <c r="B1264" s="112" t="s">
        <v>2695</v>
      </c>
      <c r="C1264" s="112">
        <v>3</v>
      </c>
      <c r="D1264" s="114">
        <v>0.003656467186505217</v>
      </c>
      <c r="E1264" s="114">
        <v>2.6532125137753435</v>
      </c>
      <c r="F1264" s="112" t="s">
        <v>2050</v>
      </c>
      <c r="G1264" s="112" t="b">
        <v>0</v>
      </c>
      <c r="H1264" s="112" t="b">
        <v>0</v>
      </c>
      <c r="I1264" s="112" t="b">
        <v>0</v>
      </c>
      <c r="J1264" s="112" t="b">
        <v>0</v>
      </c>
      <c r="K1264" s="112" t="b">
        <v>0</v>
      </c>
      <c r="L1264" s="112" t="b">
        <v>0</v>
      </c>
    </row>
    <row r="1265" spans="1:12" ht="15">
      <c r="A1265" s="112" t="s">
        <v>2125</v>
      </c>
      <c r="B1265" s="112" t="s">
        <v>2232</v>
      </c>
      <c r="C1265" s="112">
        <v>2</v>
      </c>
      <c r="D1265" s="114">
        <v>0.0020079088942668885</v>
      </c>
      <c r="E1265" s="114">
        <v>0.9050244867691433</v>
      </c>
      <c r="F1265" s="112" t="s">
        <v>2050</v>
      </c>
      <c r="G1265" s="112" t="b">
        <v>0</v>
      </c>
      <c r="H1265" s="112" t="b">
        <v>0</v>
      </c>
      <c r="I1265" s="112" t="b">
        <v>0</v>
      </c>
      <c r="J1265" s="112" t="b">
        <v>0</v>
      </c>
      <c r="K1265" s="112" t="b">
        <v>0</v>
      </c>
      <c r="L1265" s="112" t="b">
        <v>0</v>
      </c>
    </row>
    <row r="1266" spans="1:12" ht="15">
      <c r="A1266" s="112" t="s">
        <v>2978</v>
      </c>
      <c r="B1266" s="112" t="s">
        <v>2077</v>
      </c>
      <c r="C1266" s="112">
        <v>2</v>
      </c>
      <c r="D1266" s="114">
        <v>0.002437644791003478</v>
      </c>
      <c r="E1266" s="114">
        <v>0.5728265665893482</v>
      </c>
      <c r="F1266" s="112" t="s">
        <v>2050</v>
      </c>
      <c r="G1266" s="112" t="b">
        <v>0</v>
      </c>
      <c r="H1266" s="112" t="b">
        <v>0</v>
      </c>
      <c r="I1266" s="112" t="b">
        <v>0</v>
      </c>
      <c r="J1266" s="112" t="b">
        <v>0</v>
      </c>
      <c r="K1266" s="112" t="b">
        <v>0</v>
      </c>
      <c r="L1266" s="112" t="b">
        <v>0</v>
      </c>
    </row>
    <row r="1267" spans="1:12" ht="15">
      <c r="A1267" s="112" t="s">
        <v>2232</v>
      </c>
      <c r="B1267" s="112" t="s">
        <v>2979</v>
      </c>
      <c r="C1267" s="112">
        <v>2</v>
      </c>
      <c r="D1267" s="114">
        <v>0.002437644791003478</v>
      </c>
      <c r="E1267" s="114">
        <v>2.0511525224473814</v>
      </c>
      <c r="F1267" s="112" t="s">
        <v>2050</v>
      </c>
      <c r="G1267" s="112" t="b">
        <v>0</v>
      </c>
      <c r="H1267" s="112" t="b">
        <v>0</v>
      </c>
      <c r="I1267" s="112" t="b">
        <v>0</v>
      </c>
      <c r="J1267" s="112" t="b">
        <v>0</v>
      </c>
      <c r="K1267" s="112" t="b">
        <v>0</v>
      </c>
      <c r="L1267" s="112" t="b">
        <v>0</v>
      </c>
    </row>
    <row r="1268" spans="1:12" ht="15">
      <c r="A1268" s="112" t="s">
        <v>2416</v>
      </c>
      <c r="B1268" s="112" t="s">
        <v>2077</v>
      </c>
      <c r="C1268" s="112">
        <v>2</v>
      </c>
      <c r="D1268" s="114">
        <v>0.002437644791003478</v>
      </c>
      <c r="E1268" s="114">
        <v>0.27179657092536696</v>
      </c>
      <c r="F1268" s="112" t="s">
        <v>2050</v>
      </c>
      <c r="G1268" s="112" t="b">
        <v>0</v>
      </c>
      <c r="H1268" s="112" t="b">
        <v>0</v>
      </c>
      <c r="I1268" s="112" t="b">
        <v>0</v>
      </c>
      <c r="J1268" s="112" t="b">
        <v>0</v>
      </c>
      <c r="K1268" s="112" t="b">
        <v>0</v>
      </c>
      <c r="L1268" s="112" t="b">
        <v>0</v>
      </c>
    </row>
    <row r="1269" spans="1:12" ht="15">
      <c r="A1269" s="112" t="s">
        <v>2976</v>
      </c>
      <c r="B1269" s="112" t="s">
        <v>2977</v>
      </c>
      <c r="C1269" s="112">
        <v>2</v>
      </c>
      <c r="D1269" s="114">
        <v>0.002437644791003478</v>
      </c>
      <c r="E1269" s="114">
        <v>2.829303772831025</v>
      </c>
      <c r="F1269" s="112" t="s">
        <v>2050</v>
      </c>
      <c r="G1269" s="112" t="b">
        <v>0</v>
      </c>
      <c r="H1269" s="112" t="b">
        <v>0</v>
      </c>
      <c r="I1269" s="112" t="b">
        <v>0</v>
      </c>
      <c r="J1269" s="112" t="b">
        <v>0</v>
      </c>
      <c r="K1269" s="112" t="b">
        <v>0</v>
      </c>
      <c r="L1269" s="112" t="b">
        <v>0</v>
      </c>
    </row>
    <row r="1270" spans="1:12" ht="15">
      <c r="A1270" s="112" t="s">
        <v>2973</v>
      </c>
      <c r="B1270" s="112" t="s">
        <v>2974</v>
      </c>
      <c r="C1270" s="112">
        <v>2</v>
      </c>
      <c r="D1270" s="114">
        <v>0.002437644791003478</v>
      </c>
      <c r="E1270" s="114">
        <v>2.829303772831025</v>
      </c>
      <c r="F1270" s="112" t="s">
        <v>2050</v>
      </c>
      <c r="G1270" s="112" t="b">
        <v>1</v>
      </c>
      <c r="H1270" s="112" t="b">
        <v>0</v>
      </c>
      <c r="I1270" s="112" t="b">
        <v>0</v>
      </c>
      <c r="J1270" s="112" t="b">
        <v>0</v>
      </c>
      <c r="K1270" s="112" t="b">
        <v>0</v>
      </c>
      <c r="L1270" s="112" t="b">
        <v>0</v>
      </c>
    </row>
    <row r="1271" spans="1:12" ht="15">
      <c r="A1271" s="112" t="s">
        <v>2975</v>
      </c>
      <c r="B1271" s="112" t="s">
        <v>2563</v>
      </c>
      <c r="C1271" s="112">
        <v>2</v>
      </c>
      <c r="D1271" s="114">
        <v>0.002437644791003478</v>
      </c>
      <c r="E1271" s="114">
        <v>2.829303772831025</v>
      </c>
      <c r="F1271" s="112" t="s">
        <v>2050</v>
      </c>
      <c r="G1271" s="112" t="b">
        <v>0</v>
      </c>
      <c r="H1271" s="112" t="b">
        <v>0</v>
      </c>
      <c r="I1271" s="112" t="b">
        <v>0</v>
      </c>
      <c r="J1271" s="112" t="b">
        <v>0</v>
      </c>
      <c r="K1271" s="112" t="b">
        <v>0</v>
      </c>
      <c r="L1271" s="112" t="b">
        <v>0</v>
      </c>
    </row>
    <row r="1272" spans="1:12" ht="15">
      <c r="A1272" s="112" t="s">
        <v>2561</v>
      </c>
      <c r="B1272" s="112" t="s">
        <v>2561</v>
      </c>
      <c r="C1272" s="112">
        <v>2</v>
      </c>
      <c r="D1272" s="114">
        <v>0.002437644791003478</v>
      </c>
      <c r="E1272" s="114">
        <v>2.3521825181113627</v>
      </c>
      <c r="F1272" s="112" t="s">
        <v>2050</v>
      </c>
      <c r="G1272" s="112" t="b">
        <v>0</v>
      </c>
      <c r="H1272" s="112" t="b">
        <v>0</v>
      </c>
      <c r="I1272" s="112" t="b">
        <v>0</v>
      </c>
      <c r="J1272" s="112" t="b">
        <v>0</v>
      </c>
      <c r="K1272" s="112" t="b">
        <v>0</v>
      </c>
      <c r="L1272" s="112" t="b">
        <v>0</v>
      </c>
    </row>
    <row r="1273" spans="1:12" ht="15">
      <c r="A1273" s="112" t="s">
        <v>2077</v>
      </c>
      <c r="B1273" s="112" t="s">
        <v>2562</v>
      </c>
      <c r="C1273" s="112">
        <v>2</v>
      </c>
      <c r="D1273" s="114">
        <v>0.002437644791003478</v>
      </c>
      <c r="E1273" s="114">
        <v>0.5644859498214885</v>
      </c>
      <c r="F1273" s="112" t="s">
        <v>2050</v>
      </c>
      <c r="G1273" s="112" t="b">
        <v>0</v>
      </c>
      <c r="H1273" s="112" t="b">
        <v>0</v>
      </c>
      <c r="I1273" s="112" t="b">
        <v>0</v>
      </c>
      <c r="J1273" s="112" t="b">
        <v>0</v>
      </c>
      <c r="K1273" s="112" t="b">
        <v>0</v>
      </c>
      <c r="L1273" s="112" t="b">
        <v>0</v>
      </c>
    </row>
    <row r="1274" spans="1:12" ht="15">
      <c r="A1274" s="112" t="s">
        <v>2562</v>
      </c>
      <c r="B1274" s="112" t="s">
        <v>2077</v>
      </c>
      <c r="C1274" s="112">
        <v>2</v>
      </c>
      <c r="D1274" s="114">
        <v>0.002437644791003478</v>
      </c>
      <c r="E1274" s="114">
        <v>0.5728265665893482</v>
      </c>
      <c r="F1274" s="112" t="s">
        <v>2050</v>
      </c>
      <c r="G1274" s="112" t="b">
        <v>0</v>
      </c>
      <c r="H1274" s="112" t="b">
        <v>0</v>
      </c>
      <c r="I1274" s="112" t="b">
        <v>0</v>
      </c>
      <c r="J1274" s="112" t="b">
        <v>0</v>
      </c>
      <c r="K1274" s="112" t="b">
        <v>0</v>
      </c>
      <c r="L1274" s="112" t="b">
        <v>0</v>
      </c>
    </row>
    <row r="1275" spans="1:12" ht="15">
      <c r="A1275" s="112" t="s">
        <v>2077</v>
      </c>
      <c r="B1275" s="112" t="s">
        <v>2705</v>
      </c>
      <c r="C1275" s="112">
        <v>2</v>
      </c>
      <c r="D1275" s="114">
        <v>0.002437644791003478</v>
      </c>
      <c r="E1275" s="114">
        <v>0.5644859498214885</v>
      </c>
      <c r="F1275" s="112" t="s">
        <v>2050</v>
      </c>
      <c r="G1275" s="112" t="b">
        <v>0</v>
      </c>
      <c r="H1275" s="112" t="b">
        <v>0</v>
      </c>
      <c r="I1275" s="112" t="b">
        <v>0</v>
      </c>
      <c r="J1275" s="112" t="b">
        <v>0</v>
      </c>
      <c r="K1275" s="112" t="b">
        <v>0</v>
      </c>
      <c r="L1275" s="112" t="b">
        <v>0</v>
      </c>
    </row>
    <row r="1276" spans="1:12" ht="15">
      <c r="A1276" s="112" t="s">
        <v>2705</v>
      </c>
      <c r="B1276" s="112" t="s">
        <v>2706</v>
      </c>
      <c r="C1276" s="112">
        <v>2</v>
      </c>
      <c r="D1276" s="114">
        <v>0.002437644791003478</v>
      </c>
      <c r="E1276" s="114">
        <v>2.6532125137753435</v>
      </c>
      <c r="F1276" s="112" t="s">
        <v>2050</v>
      </c>
      <c r="G1276" s="112" t="b">
        <v>0</v>
      </c>
      <c r="H1276" s="112" t="b">
        <v>0</v>
      </c>
      <c r="I1276" s="112" t="b">
        <v>0</v>
      </c>
      <c r="J1276" s="112" t="b">
        <v>0</v>
      </c>
      <c r="K1276" s="112" t="b">
        <v>0</v>
      </c>
      <c r="L1276" s="112" t="b">
        <v>0</v>
      </c>
    </row>
    <row r="1277" spans="1:12" ht="15">
      <c r="A1277" s="112" t="s">
        <v>2077</v>
      </c>
      <c r="B1277" s="112" t="s">
        <v>2084</v>
      </c>
      <c r="C1277" s="112">
        <v>2</v>
      </c>
      <c r="D1277" s="114">
        <v>0.002437644791003478</v>
      </c>
      <c r="E1277" s="114">
        <v>0.16654594114945082</v>
      </c>
      <c r="F1277" s="112" t="s">
        <v>2050</v>
      </c>
      <c r="G1277" s="112" t="b">
        <v>0</v>
      </c>
      <c r="H1277" s="112" t="b">
        <v>0</v>
      </c>
      <c r="I1277" s="112" t="b">
        <v>0</v>
      </c>
      <c r="J1277" s="112" t="b">
        <v>0</v>
      </c>
      <c r="K1277" s="112" t="b">
        <v>1</v>
      </c>
      <c r="L1277" s="112" t="b">
        <v>0</v>
      </c>
    </row>
    <row r="1278" spans="1:12" ht="15">
      <c r="A1278" s="112" t="s">
        <v>2077</v>
      </c>
      <c r="B1278" s="112" t="s">
        <v>2971</v>
      </c>
      <c r="C1278" s="112">
        <v>2</v>
      </c>
      <c r="D1278" s="114">
        <v>0.002437644791003478</v>
      </c>
      <c r="E1278" s="114">
        <v>0.5644859498214885</v>
      </c>
      <c r="F1278" s="112" t="s">
        <v>2050</v>
      </c>
      <c r="G1278" s="112" t="b">
        <v>0</v>
      </c>
      <c r="H1278" s="112" t="b">
        <v>0</v>
      </c>
      <c r="I1278" s="112" t="b">
        <v>0</v>
      </c>
      <c r="J1278" s="112" t="b">
        <v>0</v>
      </c>
      <c r="K1278" s="112" t="b">
        <v>0</v>
      </c>
      <c r="L1278" s="112" t="b">
        <v>0</v>
      </c>
    </row>
    <row r="1279" spans="1:12" ht="15">
      <c r="A1279" s="112" t="s">
        <v>2704</v>
      </c>
      <c r="B1279" s="112" t="s">
        <v>2077</v>
      </c>
      <c r="C1279" s="112">
        <v>2</v>
      </c>
      <c r="D1279" s="114">
        <v>0.002437644791003478</v>
      </c>
      <c r="E1279" s="114">
        <v>0.5728265665893482</v>
      </c>
      <c r="F1279" s="112" t="s">
        <v>2050</v>
      </c>
      <c r="G1279" s="112" t="b">
        <v>0</v>
      </c>
      <c r="H1279" s="112" t="b">
        <v>0</v>
      </c>
      <c r="I1279" s="112" t="b">
        <v>0</v>
      </c>
      <c r="J1279" s="112" t="b">
        <v>0</v>
      </c>
      <c r="K1279" s="112" t="b">
        <v>0</v>
      </c>
      <c r="L1279" s="112" t="b">
        <v>0</v>
      </c>
    </row>
    <row r="1280" spans="1:12" ht="15">
      <c r="A1280" s="112" t="s">
        <v>2232</v>
      </c>
      <c r="B1280" s="112" t="s">
        <v>2554</v>
      </c>
      <c r="C1280" s="112">
        <v>2</v>
      </c>
      <c r="D1280" s="114">
        <v>0.0020079088942668885</v>
      </c>
      <c r="E1280" s="114">
        <v>2.0511525224473814</v>
      </c>
      <c r="F1280" s="112" t="s">
        <v>2050</v>
      </c>
      <c r="G1280" s="112" t="b">
        <v>0</v>
      </c>
      <c r="H1280" s="112" t="b">
        <v>0</v>
      </c>
      <c r="I1280" s="112" t="b">
        <v>0</v>
      </c>
      <c r="J1280" s="112" t="b">
        <v>0</v>
      </c>
      <c r="K1280" s="112" t="b">
        <v>0</v>
      </c>
      <c r="L1280" s="112" t="b">
        <v>0</v>
      </c>
    </row>
    <row r="1281" spans="1:12" ht="15">
      <c r="A1281" s="112" t="s">
        <v>2077</v>
      </c>
      <c r="B1281" s="112" t="s">
        <v>2970</v>
      </c>
      <c r="C1281" s="112">
        <v>2</v>
      </c>
      <c r="D1281" s="114">
        <v>0.002437644791003478</v>
      </c>
      <c r="E1281" s="114">
        <v>0.5644859498214885</v>
      </c>
      <c r="F1281" s="112" t="s">
        <v>2050</v>
      </c>
      <c r="G1281" s="112" t="b">
        <v>0</v>
      </c>
      <c r="H1281" s="112" t="b">
        <v>0</v>
      </c>
      <c r="I1281" s="112" t="b">
        <v>0</v>
      </c>
      <c r="J1281" s="112" t="b">
        <v>0</v>
      </c>
      <c r="K1281" s="112" t="b">
        <v>0</v>
      </c>
      <c r="L1281" s="112" t="b">
        <v>0</v>
      </c>
    </row>
    <row r="1282" spans="1:12" ht="15">
      <c r="A1282" s="112" t="s">
        <v>2970</v>
      </c>
      <c r="B1282" s="112" t="s">
        <v>2290</v>
      </c>
      <c r="C1282" s="112">
        <v>2</v>
      </c>
      <c r="D1282" s="114">
        <v>0.002437644791003478</v>
      </c>
      <c r="E1282" s="114">
        <v>2.829303772831025</v>
      </c>
      <c r="F1282" s="112" t="s">
        <v>2050</v>
      </c>
      <c r="G1282" s="112" t="b">
        <v>0</v>
      </c>
      <c r="H1282" s="112" t="b">
        <v>0</v>
      </c>
      <c r="I1282" s="112" t="b">
        <v>0</v>
      </c>
      <c r="J1282" s="112" t="b">
        <v>0</v>
      </c>
      <c r="K1282" s="112" t="b">
        <v>1</v>
      </c>
      <c r="L1282" s="112" t="b">
        <v>0</v>
      </c>
    </row>
    <row r="1283" spans="1:12" ht="15">
      <c r="A1283" s="112" t="s">
        <v>2967</v>
      </c>
      <c r="B1283" s="112" t="s">
        <v>2556</v>
      </c>
      <c r="C1283" s="112">
        <v>2</v>
      </c>
      <c r="D1283" s="114">
        <v>0.0020079088942668885</v>
      </c>
      <c r="E1283" s="114">
        <v>2.5282737771670436</v>
      </c>
      <c r="F1283" s="112" t="s">
        <v>2050</v>
      </c>
      <c r="G1283" s="112" t="b">
        <v>0</v>
      </c>
      <c r="H1283" s="112" t="b">
        <v>0</v>
      </c>
      <c r="I1283" s="112" t="b">
        <v>0</v>
      </c>
      <c r="J1283" s="112" t="b">
        <v>0</v>
      </c>
      <c r="K1283" s="112" t="b">
        <v>0</v>
      </c>
      <c r="L1283" s="112" t="b">
        <v>0</v>
      </c>
    </row>
    <row r="1284" spans="1:12" ht="15">
      <c r="A1284" s="112" t="s">
        <v>2125</v>
      </c>
      <c r="B1284" s="112" t="s">
        <v>2102</v>
      </c>
      <c r="C1284" s="112">
        <v>2</v>
      </c>
      <c r="D1284" s="114">
        <v>0.0020079088942668885</v>
      </c>
      <c r="E1284" s="114">
        <v>0.26820238918196887</v>
      </c>
      <c r="F1284" s="112" t="s">
        <v>2050</v>
      </c>
      <c r="G1284" s="112" t="b">
        <v>0</v>
      </c>
      <c r="H1284" s="112" t="b">
        <v>0</v>
      </c>
      <c r="I1284" s="112" t="b">
        <v>0</v>
      </c>
      <c r="J1284" s="112" t="b">
        <v>0</v>
      </c>
      <c r="K1284" s="112" t="b">
        <v>0</v>
      </c>
      <c r="L1284" s="112" t="b">
        <v>0</v>
      </c>
    </row>
    <row r="1285" spans="1:12" ht="15">
      <c r="A1285" s="112" t="s">
        <v>2102</v>
      </c>
      <c r="B1285" s="112" t="s">
        <v>2201</v>
      </c>
      <c r="C1285" s="112">
        <v>2</v>
      </c>
      <c r="D1285" s="114">
        <v>0.002437644791003478</v>
      </c>
      <c r="E1285" s="114">
        <v>1.4143304248602069</v>
      </c>
      <c r="F1285" s="112" t="s">
        <v>2050</v>
      </c>
      <c r="G1285" s="112" t="b">
        <v>0</v>
      </c>
      <c r="H1285" s="112" t="b">
        <v>0</v>
      </c>
      <c r="I1285" s="112" t="b">
        <v>0</v>
      </c>
      <c r="J1285" s="112" t="b">
        <v>0</v>
      </c>
      <c r="K1285" s="112" t="b">
        <v>1</v>
      </c>
      <c r="L1285" s="112" t="b">
        <v>0</v>
      </c>
    </row>
    <row r="1286" spans="1:12" ht="15">
      <c r="A1286" s="112" t="s">
        <v>2102</v>
      </c>
      <c r="B1286" s="112" t="s">
        <v>2077</v>
      </c>
      <c r="C1286" s="112">
        <v>2</v>
      </c>
      <c r="D1286" s="114">
        <v>0.0020079088942668885</v>
      </c>
      <c r="E1286" s="114">
        <v>-0.8421467813814698</v>
      </c>
      <c r="F1286" s="112" t="s">
        <v>2050</v>
      </c>
      <c r="G1286" s="112" t="b">
        <v>0</v>
      </c>
      <c r="H1286" s="112" t="b">
        <v>0</v>
      </c>
      <c r="I1286" s="112" t="b">
        <v>0</v>
      </c>
      <c r="J1286" s="112" t="b">
        <v>0</v>
      </c>
      <c r="K1286" s="112" t="b">
        <v>0</v>
      </c>
      <c r="L1286" s="112" t="b">
        <v>0</v>
      </c>
    </row>
    <row r="1287" spans="1:12" ht="15">
      <c r="A1287" s="112" t="s">
        <v>2102</v>
      </c>
      <c r="B1287" s="112" t="s">
        <v>2968</v>
      </c>
      <c r="C1287" s="112">
        <v>2</v>
      </c>
      <c r="D1287" s="114">
        <v>0.002437644791003478</v>
      </c>
      <c r="E1287" s="114">
        <v>1.4143304248602069</v>
      </c>
      <c r="F1287" s="112" t="s">
        <v>2050</v>
      </c>
      <c r="G1287" s="112" t="b">
        <v>0</v>
      </c>
      <c r="H1287" s="112" t="b">
        <v>0</v>
      </c>
      <c r="I1287" s="112" t="b">
        <v>0</v>
      </c>
      <c r="J1287" s="112" t="b">
        <v>0</v>
      </c>
      <c r="K1287" s="112" t="b">
        <v>0</v>
      </c>
      <c r="L1287" s="112" t="b">
        <v>0</v>
      </c>
    </row>
    <row r="1288" spans="1:12" ht="15">
      <c r="A1288" s="112" t="s">
        <v>2968</v>
      </c>
      <c r="B1288" s="112" t="s">
        <v>2077</v>
      </c>
      <c r="C1288" s="112">
        <v>2</v>
      </c>
      <c r="D1288" s="114">
        <v>0.002437644791003478</v>
      </c>
      <c r="E1288" s="114">
        <v>0.5728265665893482</v>
      </c>
      <c r="F1288" s="112" t="s">
        <v>2050</v>
      </c>
      <c r="G1288" s="112" t="b">
        <v>0</v>
      </c>
      <c r="H1288" s="112" t="b">
        <v>0</v>
      </c>
      <c r="I1288" s="112" t="b">
        <v>0</v>
      </c>
      <c r="J1288" s="112" t="b">
        <v>0</v>
      </c>
      <c r="K1288" s="112" t="b">
        <v>0</v>
      </c>
      <c r="L1288" s="112" t="b">
        <v>0</v>
      </c>
    </row>
    <row r="1289" spans="1:12" ht="15">
      <c r="A1289" s="112" t="s">
        <v>2077</v>
      </c>
      <c r="B1289" s="112" t="s">
        <v>2346</v>
      </c>
      <c r="C1289" s="112">
        <v>2</v>
      </c>
      <c r="D1289" s="114">
        <v>0.002437644791003478</v>
      </c>
      <c r="E1289" s="114">
        <v>0.5644859498214885</v>
      </c>
      <c r="F1289" s="112" t="s">
        <v>2050</v>
      </c>
      <c r="G1289" s="112" t="b">
        <v>0</v>
      </c>
      <c r="H1289" s="112" t="b">
        <v>0</v>
      </c>
      <c r="I1289" s="112" t="b">
        <v>0</v>
      </c>
      <c r="J1289" s="112" t="b">
        <v>0</v>
      </c>
      <c r="K1289" s="112" t="b">
        <v>0</v>
      </c>
      <c r="L1289" s="112" t="b">
        <v>0</v>
      </c>
    </row>
    <row r="1290" spans="1:12" ht="15">
      <c r="A1290" s="112" t="s">
        <v>2346</v>
      </c>
      <c r="B1290" s="112" t="s">
        <v>2077</v>
      </c>
      <c r="C1290" s="112">
        <v>2</v>
      </c>
      <c r="D1290" s="114">
        <v>0.002437644791003478</v>
      </c>
      <c r="E1290" s="114">
        <v>0.5728265665893482</v>
      </c>
      <c r="F1290" s="112" t="s">
        <v>2050</v>
      </c>
      <c r="G1290" s="112" t="b">
        <v>0</v>
      </c>
      <c r="H1290" s="112" t="b">
        <v>0</v>
      </c>
      <c r="I1290" s="112" t="b">
        <v>0</v>
      </c>
      <c r="J1290" s="112" t="b">
        <v>0</v>
      </c>
      <c r="K1290" s="112" t="b">
        <v>0</v>
      </c>
      <c r="L1290" s="112" t="b">
        <v>0</v>
      </c>
    </row>
    <row r="1291" spans="1:12" ht="15">
      <c r="A1291" s="112" t="s">
        <v>2965</v>
      </c>
      <c r="B1291" s="112" t="s">
        <v>2966</v>
      </c>
      <c r="C1291" s="112">
        <v>2</v>
      </c>
      <c r="D1291" s="114">
        <v>0.002437644791003478</v>
      </c>
      <c r="E1291" s="114">
        <v>2.829303772831025</v>
      </c>
      <c r="F1291" s="112" t="s">
        <v>2050</v>
      </c>
      <c r="G1291" s="112" t="b">
        <v>0</v>
      </c>
      <c r="H1291" s="112" t="b">
        <v>0</v>
      </c>
      <c r="I1291" s="112" t="b">
        <v>0</v>
      </c>
      <c r="J1291" s="112" t="b">
        <v>0</v>
      </c>
      <c r="K1291" s="112" t="b">
        <v>0</v>
      </c>
      <c r="L1291" s="112" t="b">
        <v>0</v>
      </c>
    </row>
    <row r="1292" spans="1:12" ht="15">
      <c r="A1292" s="112" t="s">
        <v>2966</v>
      </c>
      <c r="B1292" s="112" t="s">
        <v>2467</v>
      </c>
      <c r="C1292" s="112">
        <v>2</v>
      </c>
      <c r="D1292" s="114">
        <v>0.002437644791003478</v>
      </c>
      <c r="E1292" s="114">
        <v>2.5282737771670436</v>
      </c>
      <c r="F1292" s="112" t="s">
        <v>2050</v>
      </c>
      <c r="G1292" s="112" t="b">
        <v>0</v>
      </c>
      <c r="H1292" s="112" t="b">
        <v>0</v>
      </c>
      <c r="I1292" s="112" t="b">
        <v>0</v>
      </c>
      <c r="J1292" s="112" t="b">
        <v>0</v>
      </c>
      <c r="K1292" s="112" t="b">
        <v>0</v>
      </c>
      <c r="L1292" s="112" t="b">
        <v>0</v>
      </c>
    </row>
    <row r="1293" spans="1:12" ht="15">
      <c r="A1293" s="112" t="s">
        <v>2077</v>
      </c>
      <c r="B1293" s="112" t="s">
        <v>2663</v>
      </c>
      <c r="C1293" s="112">
        <v>2</v>
      </c>
      <c r="D1293" s="114">
        <v>0.002437644791003478</v>
      </c>
      <c r="E1293" s="114">
        <v>0.5644859498214885</v>
      </c>
      <c r="F1293" s="112" t="s">
        <v>2050</v>
      </c>
      <c r="G1293" s="112" t="b">
        <v>0</v>
      </c>
      <c r="H1293" s="112" t="b">
        <v>0</v>
      </c>
      <c r="I1293" s="112" t="b">
        <v>0</v>
      </c>
      <c r="J1293" s="112" t="b">
        <v>0</v>
      </c>
      <c r="K1293" s="112" t="b">
        <v>1</v>
      </c>
      <c r="L1293" s="112" t="b">
        <v>0</v>
      </c>
    </row>
    <row r="1294" spans="1:12" ht="15">
      <c r="A1294" s="112" t="s">
        <v>2663</v>
      </c>
      <c r="B1294" s="112" t="s">
        <v>2077</v>
      </c>
      <c r="C1294" s="112">
        <v>2</v>
      </c>
      <c r="D1294" s="114">
        <v>0.002437644791003478</v>
      </c>
      <c r="E1294" s="114">
        <v>0.5728265665893482</v>
      </c>
      <c r="F1294" s="112" t="s">
        <v>2050</v>
      </c>
      <c r="G1294" s="112" t="b">
        <v>0</v>
      </c>
      <c r="H1294" s="112" t="b">
        <v>1</v>
      </c>
      <c r="I1294" s="112" t="b">
        <v>0</v>
      </c>
      <c r="J1294" s="112" t="b">
        <v>0</v>
      </c>
      <c r="K1294" s="112" t="b">
        <v>0</v>
      </c>
      <c r="L1294" s="112" t="b">
        <v>0</v>
      </c>
    </row>
    <row r="1295" spans="1:12" ht="15">
      <c r="A1295" s="112" t="s">
        <v>2465</v>
      </c>
      <c r="B1295" s="112" t="s">
        <v>2649</v>
      </c>
      <c r="C1295" s="112">
        <v>2</v>
      </c>
      <c r="D1295" s="114">
        <v>0.002437644791003478</v>
      </c>
      <c r="E1295" s="114">
        <v>2.5282737771670436</v>
      </c>
      <c r="F1295" s="112" t="s">
        <v>2050</v>
      </c>
      <c r="G1295" s="112" t="b">
        <v>0</v>
      </c>
      <c r="H1295" s="112" t="b">
        <v>0</v>
      </c>
      <c r="I1295" s="112" t="b">
        <v>0</v>
      </c>
      <c r="J1295" s="112" t="b">
        <v>0</v>
      </c>
      <c r="K1295" s="112" t="b">
        <v>1</v>
      </c>
      <c r="L1295" s="112" t="b">
        <v>0</v>
      </c>
    </row>
    <row r="1296" spans="1:12" ht="15">
      <c r="A1296" s="112" t="s">
        <v>2649</v>
      </c>
      <c r="B1296" s="112" t="s">
        <v>2077</v>
      </c>
      <c r="C1296" s="112">
        <v>2</v>
      </c>
      <c r="D1296" s="114">
        <v>0.002437644791003478</v>
      </c>
      <c r="E1296" s="114">
        <v>0.5728265665893482</v>
      </c>
      <c r="F1296" s="112" t="s">
        <v>2050</v>
      </c>
      <c r="G1296" s="112" t="b">
        <v>0</v>
      </c>
      <c r="H1296" s="112" t="b">
        <v>1</v>
      </c>
      <c r="I1296" s="112" t="b">
        <v>0</v>
      </c>
      <c r="J1296" s="112" t="b">
        <v>0</v>
      </c>
      <c r="K1296" s="112" t="b">
        <v>0</v>
      </c>
      <c r="L1296" s="112" t="b">
        <v>0</v>
      </c>
    </row>
    <row r="1297" spans="1:12" ht="15">
      <c r="A1297" s="112" t="s">
        <v>2078</v>
      </c>
      <c r="B1297" s="112" t="s">
        <v>2150</v>
      </c>
      <c r="C1297" s="112">
        <v>2</v>
      </c>
      <c r="D1297" s="114">
        <v>0.002437644791003478</v>
      </c>
      <c r="E1297" s="114">
        <v>1.6989700043360187</v>
      </c>
      <c r="F1297" s="112" t="s">
        <v>2050</v>
      </c>
      <c r="G1297" s="112" t="b">
        <v>0</v>
      </c>
      <c r="H1297" s="112" t="b">
        <v>0</v>
      </c>
      <c r="I1297" s="112" t="b">
        <v>0</v>
      </c>
      <c r="J1297" s="112" t="b">
        <v>0</v>
      </c>
      <c r="K1297" s="112" t="b">
        <v>0</v>
      </c>
      <c r="L1297" s="112" t="b">
        <v>0</v>
      </c>
    </row>
    <row r="1298" spans="1:12" ht="15">
      <c r="A1298" s="112" t="s">
        <v>2150</v>
      </c>
      <c r="B1298" s="112" t="s">
        <v>2078</v>
      </c>
      <c r="C1298" s="112">
        <v>2</v>
      </c>
      <c r="D1298" s="114">
        <v>0.002437644791003478</v>
      </c>
      <c r="E1298" s="114">
        <v>1.6989700043360187</v>
      </c>
      <c r="F1298" s="112" t="s">
        <v>2050</v>
      </c>
      <c r="G1298" s="112" t="b">
        <v>0</v>
      </c>
      <c r="H1298" s="112" t="b">
        <v>0</v>
      </c>
      <c r="I1298" s="112" t="b">
        <v>0</v>
      </c>
      <c r="J1298" s="112" t="b">
        <v>0</v>
      </c>
      <c r="K1298" s="112" t="b">
        <v>0</v>
      </c>
      <c r="L1298" s="112" t="b">
        <v>0</v>
      </c>
    </row>
    <row r="1299" spans="1:12" ht="15">
      <c r="A1299" s="112" t="s">
        <v>2078</v>
      </c>
      <c r="B1299" s="112" t="s">
        <v>2189</v>
      </c>
      <c r="C1299" s="112">
        <v>2</v>
      </c>
      <c r="D1299" s="114">
        <v>0.002437644791003478</v>
      </c>
      <c r="E1299" s="114">
        <v>1.8750612633917</v>
      </c>
      <c r="F1299" s="112" t="s">
        <v>2050</v>
      </c>
      <c r="G1299" s="112" t="b">
        <v>0</v>
      </c>
      <c r="H1299" s="112" t="b">
        <v>0</v>
      </c>
      <c r="I1299" s="112" t="b">
        <v>0</v>
      </c>
      <c r="J1299" s="112" t="b">
        <v>0</v>
      </c>
      <c r="K1299" s="112" t="b">
        <v>0</v>
      </c>
      <c r="L1299" s="112" t="b">
        <v>0</v>
      </c>
    </row>
    <row r="1300" spans="1:12" ht="15">
      <c r="A1300" s="112" t="s">
        <v>2077</v>
      </c>
      <c r="B1300" s="112" t="s">
        <v>2406</v>
      </c>
      <c r="C1300" s="112">
        <v>2</v>
      </c>
      <c r="D1300" s="114">
        <v>0.002437644791003478</v>
      </c>
      <c r="E1300" s="114">
        <v>0.2634559541575072</v>
      </c>
      <c r="F1300" s="112" t="s">
        <v>2050</v>
      </c>
      <c r="G1300" s="112" t="b">
        <v>0</v>
      </c>
      <c r="H1300" s="112" t="b">
        <v>0</v>
      </c>
      <c r="I1300" s="112" t="b">
        <v>0</v>
      </c>
      <c r="J1300" s="112" t="b">
        <v>0</v>
      </c>
      <c r="K1300" s="112" t="b">
        <v>0</v>
      </c>
      <c r="L1300" s="112" t="b">
        <v>0</v>
      </c>
    </row>
    <row r="1301" spans="1:12" ht="15">
      <c r="A1301" s="112" t="s">
        <v>2101</v>
      </c>
      <c r="B1301" s="112" t="s">
        <v>2693</v>
      </c>
      <c r="C1301" s="112">
        <v>2</v>
      </c>
      <c r="D1301" s="114">
        <v>0.002437644791003478</v>
      </c>
      <c r="E1301" s="114">
        <v>2.6532125137753435</v>
      </c>
      <c r="F1301" s="112" t="s">
        <v>2050</v>
      </c>
      <c r="G1301" s="112" t="b">
        <v>0</v>
      </c>
      <c r="H1301" s="112" t="b">
        <v>0</v>
      </c>
      <c r="I1301" s="112" t="b">
        <v>0</v>
      </c>
      <c r="J1301" s="112" t="b">
        <v>0</v>
      </c>
      <c r="K1301" s="112" t="b">
        <v>0</v>
      </c>
      <c r="L1301" s="112" t="b">
        <v>0</v>
      </c>
    </row>
    <row r="1302" spans="1:12" ht="15">
      <c r="A1302" s="112" t="s">
        <v>2078</v>
      </c>
      <c r="B1302" s="112" t="s">
        <v>2079</v>
      </c>
      <c r="C1302" s="112">
        <v>117</v>
      </c>
      <c r="D1302" s="114">
        <v>0.0009370590613925938</v>
      </c>
      <c r="E1302" s="114">
        <v>0.6229111572144084</v>
      </c>
      <c r="F1302" s="112" t="s">
        <v>2051</v>
      </c>
      <c r="G1302" s="112" t="b">
        <v>0</v>
      </c>
      <c r="H1302" s="112" t="b">
        <v>0</v>
      </c>
      <c r="I1302" s="112" t="b">
        <v>0</v>
      </c>
      <c r="J1302" s="112" t="b">
        <v>0</v>
      </c>
      <c r="K1302" s="112" t="b">
        <v>0</v>
      </c>
      <c r="L1302" s="112" t="b">
        <v>0</v>
      </c>
    </row>
    <row r="1303" spans="1:12" ht="15">
      <c r="A1303" s="112" t="s">
        <v>2081</v>
      </c>
      <c r="B1303" s="112" t="s">
        <v>2079</v>
      </c>
      <c r="C1303" s="112">
        <v>99</v>
      </c>
      <c r="D1303" s="114">
        <v>0.0012026602898657637</v>
      </c>
      <c r="E1303" s="114">
        <v>0.9612172718417824</v>
      </c>
      <c r="F1303" s="112" t="s">
        <v>2051</v>
      </c>
      <c r="G1303" s="112" t="b">
        <v>0</v>
      </c>
      <c r="H1303" s="112" t="b">
        <v>0</v>
      </c>
      <c r="I1303" s="112" t="b">
        <v>0</v>
      </c>
      <c r="J1303" s="112" t="b">
        <v>0</v>
      </c>
      <c r="K1303" s="112" t="b">
        <v>0</v>
      </c>
      <c r="L1303" s="112" t="b">
        <v>0</v>
      </c>
    </row>
    <row r="1304" spans="1:12" ht="15">
      <c r="A1304" s="112" t="s">
        <v>2079</v>
      </c>
      <c r="B1304" s="112" t="s">
        <v>2081</v>
      </c>
      <c r="C1304" s="112">
        <v>56</v>
      </c>
      <c r="D1304" s="114">
        <v>0.0024674230265684717</v>
      </c>
      <c r="E1304" s="114">
        <v>0.7299348903699947</v>
      </c>
      <c r="F1304" s="112" t="s">
        <v>2051</v>
      </c>
      <c r="G1304" s="112" t="b">
        <v>0</v>
      </c>
      <c r="H1304" s="112" t="b">
        <v>0</v>
      </c>
      <c r="I1304" s="112" t="b">
        <v>0</v>
      </c>
      <c r="J1304" s="112" t="b">
        <v>0</v>
      </c>
      <c r="K1304" s="112" t="b">
        <v>0</v>
      </c>
      <c r="L1304" s="112" t="b">
        <v>0</v>
      </c>
    </row>
    <row r="1305" spans="1:12" ht="15">
      <c r="A1305" s="112" t="s">
        <v>2131</v>
      </c>
      <c r="B1305" s="112" t="s">
        <v>2095</v>
      </c>
      <c r="C1305" s="112">
        <v>31</v>
      </c>
      <c r="D1305" s="114">
        <v>0.002376090367745881</v>
      </c>
      <c r="E1305" s="114">
        <v>1.5714082559808555</v>
      </c>
      <c r="F1305" s="112" t="s">
        <v>2051</v>
      </c>
      <c r="G1305" s="112" t="b">
        <v>0</v>
      </c>
      <c r="H1305" s="112" t="b">
        <v>0</v>
      </c>
      <c r="I1305" s="112" t="b">
        <v>0</v>
      </c>
      <c r="J1305" s="112" t="b">
        <v>0</v>
      </c>
      <c r="K1305" s="112" t="b">
        <v>0</v>
      </c>
      <c r="L1305" s="112" t="b">
        <v>0</v>
      </c>
    </row>
    <row r="1306" spans="1:12" ht="15">
      <c r="A1306" s="112" t="s">
        <v>2079</v>
      </c>
      <c r="B1306" s="112" t="s">
        <v>2078</v>
      </c>
      <c r="C1306" s="112">
        <v>31</v>
      </c>
      <c r="D1306" s="114">
        <v>0.003380347671294268</v>
      </c>
      <c r="E1306" s="114">
        <v>0.07770581659138964</v>
      </c>
      <c r="F1306" s="112" t="s">
        <v>2051</v>
      </c>
      <c r="G1306" s="112" t="b">
        <v>0</v>
      </c>
      <c r="H1306" s="112" t="b">
        <v>0</v>
      </c>
      <c r="I1306" s="112" t="b">
        <v>0</v>
      </c>
      <c r="J1306" s="112" t="b">
        <v>0</v>
      </c>
      <c r="K1306" s="112" t="b">
        <v>0</v>
      </c>
      <c r="L1306" s="112" t="b">
        <v>0</v>
      </c>
    </row>
    <row r="1307" spans="1:12" ht="15">
      <c r="A1307" s="112" t="s">
        <v>2079</v>
      </c>
      <c r="B1307" s="112" t="s">
        <v>2095</v>
      </c>
      <c r="C1307" s="112">
        <v>29</v>
      </c>
      <c r="D1307" s="114">
        <v>0.00405452931988627</v>
      </c>
      <c r="E1307" s="114">
        <v>0.6645903964696688</v>
      </c>
      <c r="F1307" s="112" t="s">
        <v>2051</v>
      </c>
      <c r="G1307" s="112" t="b">
        <v>0</v>
      </c>
      <c r="H1307" s="112" t="b">
        <v>0</v>
      </c>
      <c r="I1307" s="112" t="b">
        <v>0</v>
      </c>
      <c r="J1307" s="112" t="b">
        <v>0</v>
      </c>
      <c r="K1307" s="112" t="b">
        <v>0</v>
      </c>
      <c r="L1307" s="112" t="b">
        <v>0</v>
      </c>
    </row>
    <row r="1308" spans="1:12" ht="15">
      <c r="A1308" s="112" t="s">
        <v>2078</v>
      </c>
      <c r="B1308" s="112" t="s">
        <v>2078</v>
      </c>
      <c r="C1308" s="112">
        <v>24</v>
      </c>
      <c r="D1308" s="114">
        <v>0.004763133590634023</v>
      </c>
      <c r="E1308" s="114">
        <v>-0.10039142516189023</v>
      </c>
      <c r="F1308" s="112" t="s">
        <v>2051</v>
      </c>
      <c r="G1308" s="112" t="b">
        <v>0</v>
      </c>
      <c r="H1308" s="112" t="b">
        <v>0</v>
      </c>
      <c r="I1308" s="112" t="b">
        <v>0</v>
      </c>
      <c r="J1308" s="112" t="b">
        <v>0</v>
      </c>
      <c r="K1308" s="112" t="b">
        <v>0</v>
      </c>
      <c r="L1308" s="112" t="b">
        <v>0</v>
      </c>
    </row>
    <row r="1309" spans="1:12" ht="15">
      <c r="A1309" s="112" t="s">
        <v>2079</v>
      </c>
      <c r="B1309" s="112" t="s">
        <v>2131</v>
      </c>
      <c r="C1309" s="112">
        <v>19</v>
      </c>
      <c r="D1309" s="114">
        <v>0.0031694405778943517</v>
      </c>
      <c r="E1309" s="114">
        <v>0.7819759951875228</v>
      </c>
      <c r="F1309" s="112" t="s">
        <v>2051</v>
      </c>
      <c r="G1309" s="112" t="b">
        <v>0</v>
      </c>
      <c r="H1309" s="112" t="b">
        <v>0</v>
      </c>
      <c r="I1309" s="112" t="b">
        <v>0</v>
      </c>
      <c r="J1309" s="112" t="b">
        <v>0</v>
      </c>
      <c r="K1309" s="112" t="b">
        <v>0</v>
      </c>
      <c r="L1309" s="112" t="b">
        <v>0</v>
      </c>
    </row>
    <row r="1310" spans="1:12" ht="15">
      <c r="A1310" s="112" t="s">
        <v>2162</v>
      </c>
      <c r="B1310" s="112" t="s">
        <v>2078</v>
      </c>
      <c r="C1310" s="112">
        <v>18</v>
      </c>
      <c r="D1310" s="114">
        <v>0.003371365927919416</v>
      </c>
      <c r="E1310" s="114">
        <v>0.9098024896065847</v>
      </c>
      <c r="F1310" s="112" t="s">
        <v>2051</v>
      </c>
      <c r="G1310" s="112" t="b">
        <v>0</v>
      </c>
      <c r="H1310" s="112" t="b">
        <v>0</v>
      </c>
      <c r="I1310" s="112" t="b">
        <v>0</v>
      </c>
      <c r="J1310" s="112" t="b">
        <v>0</v>
      </c>
      <c r="K1310" s="112" t="b">
        <v>0</v>
      </c>
      <c r="L1310" s="112" t="b">
        <v>0</v>
      </c>
    </row>
    <row r="1311" spans="1:12" ht="15">
      <c r="A1311" s="112" t="s">
        <v>2079</v>
      </c>
      <c r="B1311" s="112" t="s">
        <v>2079</v>
      </c>
      <c r="C1311" s="112">
        <v>16</v>
      </c>
      <c r="D1311" s="114">
        <v>0.0031754223937560146</v>
      </c>
      <c r="E1311" s="114">
        <v>-0.17420793224521533</v>
      </c>
      <c r="F1311" s="112" t="s">
        <v>2051</v>
      </c>
      <c r="G1311" s="112" t="b">
        <v>0</v>
      </c>
      <c r="H1311" s="112" t="b">
        <v>0</v>
      </c>
      <c r="I1311" s="112" t="b">
        <v>0</v>
      </c>
      <c r="J1311" s="112" t="b">
        <v>0</v>
      </c>
      <c r="K1311" s="112" t="b">
        <v>0</v>
      </c>
      <c r="L1311" s="112" t="b">
        <v>0</v>
      </c>
    </row>
    <row r="1312" spans="1:12" ht="15">
      <c r="A1312" s="112" t="s">
        <v>2095</v>
      </c>
      <c r="B1312" s="112" t="s">
        <v>2078</v>
      </c>
      <c r="C1312" s="112">
        <v>15</v>
      </c>
      <c r="D1312" s="114">
        <v>0.0035506011808452967</v>
      </c>
      <c r="E1312" s="114">
        <v>0.34632140421217394</v>
      </c>
      <c r="F1312" s="112" t="s">
        <v>2051</v>
      </c>
      <c r="G1312" s="112" t="b">
        <v>0</v>
      </c>
      <c r="H1312" s="112" t="b">
        <v>0</v>
      </c>
      <c r="I1312" s="112" t="b">
        <v>0</v>
      </c>
      <c r="J1312" s="112" t="b">
        <v>0</v>
      </c>
      <c r="K1312" s="112" t="b">
        <v>0</v>
      </c>
      <c r="L1312" s="112" t="b">
        <v>0</v>
      </c>
    </row>
    <row r="1313" spans="1:12" ht="15">
      <c r="A1313" s="112" t="s">
        <v>2151</v>
      </c>
      <c r="B1313" s="112" t="s">
        <v>2078</v>
      </c>
      <c r="C1313" s="112">
        <v>14</v>
      </c>
      <c r="D1313" s="114">
        <v>0.004565780404246325</v>
      </c>
      <c r="E1313" s="114">
        <v>0.8464155107421918</v>
      </c>
      <c r="F1313" s="112" t="s">
        <v>2051</v>
      </c>
      <c r="G1313" s="112" t="b">
        <v>0</v>
      </c>
      <c r="H1313" s="112" t="b">
        <v>0</v>
      </c>
      <c r="I1313" s="112" t="b">
        <v>0</v>
      </c>
      <c r="J1313" s="112" t="b">
        <v>0</v>
      </c>
      <c r="K1313" s="112" t="b">
        <v>0</v>
      </c>
      <c r="L1313" s="112" t="b">
        <v>0</v>
      </c>
    </row>
    <row r="1314" spans="1:12" ht="15">
      <c r="A1314" s="112" t="s">
        <v>2087</v>
      </c>
      <c r="B1314" s="112" t="s">
        <v>2166</v>
      </c>
      <c r="C1314" s="112">
        <v>13</v>
      </c>
      <c r="D1314" s="114">
        <v>0.005364996648344394</v>
      </c>
      <c r="E1314" s="114">
        <v>1.3839715162872162</v>
      </c>
      <c r="F1314" s="112" t="s">
        <v>2051</v>
      </c>
      <c r="G1314" s="112" t="b">
        <v>0</v>
      </c>
      <c r="H1314" s="112" t="b">
        <v>0</v>
      </c>
      <c r="I1314" s="112" t="b">
        <v>0</v>
      </c>
      <c r="J1314" s="112" t="b">
        <v>0</v>
      </c>
      <c r="K1314" s="112" t="b">
        <v>0</v>
      </c>
      <c r="L1314" s="112" t="b">
        <v>0</v>
      </c>
    </row>
    <row r="1315" spans="1:12" ht="15">
      <c r="A1315" s="112" t="s">
        <v>2144</v>
      </c>
      <c r="B1315" s="112" t="s">
        <v>2179</v>
      </c>
      <c r="C1315" s="112">
        <v>12</v>
      </c>
      <c r="D1315" s="114">
        <v>0.004952304598471749</v>
      </c>
      <c r="E1315" s="114">
        <v>2.1085274403758034</v>
      </c>
      <c r="F1315" s="112" t="s">
        <v>2051</v>
      </c>
      <c r="G1315" s="112" t="b">
        <v>0</v>
      </c>
      <c r="H1315" s="112" t="b">
        <v>0</v>
      </c>
      <c r="I1315" s="112" t="b">
        <v>0</v>
      </c>
      <c r="J1315" s="112" t="b">
        <v>0</v>
      </c>
      <c r="K1315" s="112" t="b">
        <v>1</v>
      </c>
      <c r="L1315" s="112" t="b">
        <v>0</v>
      </c>
    </row>
    <row r="1316" spans="1:12" ht="15">
      <c r="A1316" s="112" t="s">
        <v>2205</v>
      </c>
      <c r="B1316" s="112" t="s">
        <v>2135</v>
      </c>
      <c r="C1316" s="112">
        <v>12</v>
      </c>
      <c r="D1316" s="114">
        <v>0.0034203453330061964</v>
      </c>
      <c r="E1316" s="114">
        <v>1.8238878608999916</v>
      </c>
      <c r="F1316" s="112" t="s">
        <v>2051</v>
      </c>
      <c r="G1316" s="112" t="b">
        <v>0</v>
      </c>
      <c r="H1316" s="112" t="b">
        <v>0</v>
      </c>
      <c r="I1316" s="112" t="b">
        <v>0</v>
      </c>
      <c r="J1316" s="112" t="b">
        <v>0</v>
      </c>
      <c r="K1316" s="112" t="b">
        <v>0</v>
      </c>
      <c r="L1316" s="112" t="b">
        <v>0</v>
      </c>
    </row>
    <row r="1317" spans="1:12" ht="15">
      <c r="A1317" s="112" t="s">
        <v>2078</v>
      </c>
      <c r="B1317" s="112" t="s">
        <v>2150</v>
      </c>
      <c r="C1317" s="112">
        <v>12</v>
      </c>
      <c r="D1317" s="114">
        <v>0.004208650472882752</v>
      </c>
      <c r="E1317" s="114">
        <v>0.7280649435331491</v>
      </c>
      <c r="F1317" s="112" t="s">
        <v>2051</v>
      </c>
      <c r="G1317" s="112" t="b">
        <v>0</v>
      </c>
      <c r="H1317" s="112" t="b">
        <v>0</v>
      </c>
      <c r="I1317" s="112" t="b">
        <v>0</v>
      </c>
      <c r="J1317" s="112" t="b">
        <v>0</v>
      </c>
      <c r="K1317" s="112" t="b">
        <v>0</v>
      </c>
      <c r="L1317" s="112" t="b">
        <v>0</v>
      </c>
    </row>
    <row r="1318" spans="1:12" ht="15">
      <c r="A1318" s="112" t="s">
        <v>2211</v>
      </c>
      <c r="B1318" s="112" t="s">
        <v>2167</v>
      </c>
      <c r="C1318" s="112">
        <v>12</v>
      </c>
      <c r="D1318" s="114">
        <v>0.008509403857179224</v>
      </c>
      <c r="E1318" s="114">
        <v>2.2846186994314843</v>
      </c>
      <c r="F1318" s="112" t="s">
        <v>2051</v>
      </c>
      <c r="G1318" s="112" t="b">
        <v>0</v>
      </c>
      <c r="H1318" s="112" t="b">
        <v>0</v>
      </c>
      <c r="I1318" s="112" t="b">
        <v>0</v>
      </c>
      <c r="J1318" s="112" t="b">
        <v>0</v>
      </c>
      <c r="K1318" s="112" t="b">
        <v>0</v>
      </c>
      <c r="L1318" s="112" t="b">
        <v>0</v>
      </c>
    </row>
    <row r="1319" spans="1:12" ht="15">
      <c r="A1319" s="112" t="s">
        <v>2108</v>
      </c>
      <c r="B1319" s="112" t="s">
        <v>2197</v>
      </c>
      <c r="C1319" s="112">
        <v>11</v>
      </c>
      <c r="D1319" s="114">
        <v>0.007800286869080956</v>
      </c>
      <c r="E1319" s="114">
        <v>2.2176719098008713</v>
      </c>
      <c r="F1319" s="112" t="s">
        <v>2051</v>
      </c>
      <c r="G1319" s="112" t="b">
        <v>0</v>
      </c>
      <c r="H1319" s="112" t="b">
        <v>0</v>
      </c>
      <c r="I1319" s="112" t="b">
        <v>0</v>
      </c>
      <c r="J1319" s="112" t="b">
        <v>0</v>
      </c>
      <c r="K1319" s="112" t="b">
        <v>0</v>
      </c>
      <c r="L1319" s="112" t="b">
        <v>0</v>
      </c>
    </row>
    <row r="1320" spans="1:12" ht="15">
      <c r="A1320" s="112" t="s">
        <v>2165</v>
      </c>
      <c r="B1320" s="112" t="s">
        <v>2135</v>
      </c>
      <c r="C1320" s="112">
        <v>10</v>
      </c>
      <c r="D1320" s="114">
        <v>0.0037911221694320344</v>
      </c>
      <c r="E1320" s="114">
        <v>1.7125219314809654</v>
      </c>
      <c r="F1320" s="112" t="s">
        <v>2051</v>
      </c>
      <c r="G1320" s="112" t="b">
        <v>0</v>
      </c>
      <c r="H1320" s="112" t="b">
        <v>0</v>
      </c>
      <c r="I1320" s="112" t="b">
        <v>0</v>
      </c>
      <c r="J1320" s="112" t="b">
        <v>0</v>
      </c>
      <c r="K1320" s="112" t="b">
        <v>0</v>
      </c>
      <c r="L1320" s="112" t="b">
        <v>0</v>
      </c>
    </row>
    <row r="1321" spans="1:12" ht="15">
      <c r="A1321" s="112" t="s">
        <v>2135</v>
      </c>
      <c r="B1321" s="112" t="s">
        <v>2078</v>
      </c>
      <c r="C1321" s="112">
        <v>10</v>
      </c>
      <c r="D1321" s="114">
        <v>0.0037911221694320344</v>
      </c>
      <c r="E1321" s="114">
        <v>0.4504100018473538</v>
      </c>
      <c r="F1321" s="112" t="s">
        <v>2051</v>
      </c>
      <c r="G1321" s="112" t="b">
        <v>0</v>
      </c>
      <c r="H1321" s="112" t="b">
        <v>0</v>
      </c>
      <c r="I1321" s="112" t="b">
        <v>0</v>
      </c>
      <c r="J1321" s="112" t="b">
        <v>0</v>
      </c>
      <c r="K1321" s="112" t="b">
        <v>0</v>
      </c>
      <c r="L1321" s="112" t="b">
        <v>0</v>
      </c>
    </row>
    <row r="1322" spans="1:12" ht="15">
      <c r="A1322" s="112" t="s">
        <v>2157</v>
      </c>
      <c r="B1322" s="112" t="s">
        <v>2152</v>
      </c>
      <c r="C1322" s="112">
        <v>10</v>
      </c>
      <c r="D1322" s="114">
        <v>0.005067754890653329</v>
      </c>
      <c r="E1322" s="114">
        <v>1.9389183088480422</v>
      </c>
      <c r="F1322" s="112" t="s">
        <v>2051</v>
      </c>
      <c r="G1322" s="112" t="b">
        <v>0</v>
      </c>
      <c r="H1322" s="112" t="b">
        <v>0</v>
      </c>
      <c r="I1322" s="112" t="b">
        <v>0</v>
      </c>
      <c r="J1322" s="112" t="b">
        <v>0</v>
      </c>
      <c r="K1322" s="112" t="b">
        <v>0</v>
      </c>
      <c r="L1322" s="112" t="b">
        <v>0</v>
      </c>
    </row>
    <row r="1323" spans="1:12" ht="15">
      <c r="A1323" s="112" t="s">
        <v>2086</v>
      </c>
      <c r="B1323" s="112" t="s">
        <v>2223</v>
      </c>
      <c r="C1323" s="112">
        <v>9</v>
      </c>
      <c r="D1323" s="114">
        <v>0.0027399059102915747</v>
      </c>
      <c r="E1323" s="114">
        <v>1.5486651288422957</v>
      </c>
      <c r="F1323" s="112" t="s">
        <v>2051</v>
      </c>
      <c r="G1323" s="112" t="b">
        <v>0</v>
      </c>
      <c r="H1323" s="112" t="b">
        <v>0</v>
      </c>
      <c r="I1323" s="112" t="b">
        <v>0</v>
      </c>
      <c r="J1323" s="112" t="b">
        <v>0</v>
      </c>
      <c r="K1323" s="112" t="b">
        <v>0</v>
      </c>
      <c r="L1323" s="112" t="b">
        <v>0</v>
      </c>
    </row>
    <row r="1324" spans="1:12" ht="15">
      <c r="A1324" s="112" t="s">
        <v>2087</v>
      </c>
      <c r="B1324" s="112" t="s">
        <v>2154</v>
      </c>
      <c r="C1324" s="112">
        <v>9</v>
      </c>
      <c r="D1324" s="114">
        <v>0.003412009952488831</v>
      </c>
      <c r="E1324" s="114">
        <v>1.199447089694672</v>
      </c>
      <c r="F1324" s="112" t="s">
        <v>2051</v>
      </c>
      <c r="G1324" s="112" t="b">
        <v>0</v>
      </c>
      <c r="H1324" s="112" t="b">
        <v>0</v>
      </c>
      <c r="I1324" s="112" t="b">
        <v>0</v>
      </c>
      <c r="J1324" s="112" t="b">
        <v>0</v>
      </c>
      <c r="K1324" s="112" t="b">
        <v>0</v>
      </c>
      <c r="L1324" s="112" t="b">
        <v>0</v>
      </c>
    </row>
    <row r="1325" spans="1:12" ht="15">
      <c r="A1325" s="112" t="s">
        <v>2087</v>
      </c>
      <c r="B1325" s="112" t="s">
        <v>2097</v>
      </c>
      <c r="C1325" s="112">
        <v>9</v>
      </c>
      <c r="D1325" s="114">
        <v>0.004560979401587996</v>
      </c>
      <c r="E1325" s="114">
        <v>1.199447089694672</v>
      </c>
      <c r="F1325" s="112" t="s">
        <v>2051</v>
      </c>
      <c r="G1325" s="112" t="b">
        <v>0</v>
      </c>
      <c r="H1325" s="112" t="b">
        <v>0</v>
      </c>
      <c r="I1325" s="112" t="b">
        <v>0</v>
      </c>
      <c r="J1325" s="112" t="b">
        <v>0</v>
      </c>
      <c r="K1325" s="112" t="b">
        <v>0</v>
      </c>
      <c r="L1325" s="112" t="b">
        <v>0</v>
      </c>
    </row>
    <row r="1326" spans="1:12" ht="15">
      <c r="A1326" s="112" t="s">
        <v>2172</v>
      </c>
      <c r="B1326" s="112" t="s">
        <v>2284</v>
      </c>
      <c r="C1326" s="112">
        <v>8</v>
      </c>
      <c r="D1326" s="114">
        <v>0.005672935904786149</v>
      </c>
      <c r="E1326" s="114">
        <v>2.4095574360397842</v>
      </c>
      <c r="F1326" s="112" t="s">
        <v>2051</v>
      </c>
      <c r="G1326" s="112" t="b">
        <v>0</v>
      </c>
      <c r="H1326" s="112" t="b">
        <v>0</v>
      </c>
      <c r="I1326" s="112" t="b">
        <v>0</v>
      </c>
      <c r="J1326" s="112" t="b">
        <v>0</v>
      </c>
      <c r="K1326" s="112" t="b">
        <v>0</v>
      </c>
      <c r="L1326" s="112" t="b">
        <v>0</v>
      </c>
    </row>
    <row r="1327" spans="1:12" ht="15">
      <c r="A1327" s="112" t="s">
        <v>2237</v>
      </c>
      <c r="B1327" s="112" t="s">
        <v>2154</v>
      </c>
      <c r="C1327" s="112">
        <v>7</v>
      </c>
      <c r="D1327" s="114">
        <v>0.0035474284234573304</v>
      </c>
      <c r="E1327" s="114">
        <v>1.912232795231835</v>
      </c>
      <c r="F1327" s="112" t="s">
        <v>2051</v>
      </c>
      <c r="G1327" s="112" t="b">
        <v>0</v>
      </c>
      <c r="H1327" s="112" t="b">
        <v>0</v>
      </c>
      <c r="I1327" s="112" t="b">
        <v>0</v>
      </c>
      <c r="J1327" s="112" t="b">
        <v>0</v>
      </c>
      <c r="K1327" s="112" t="b">
        <v>0</v>
      </c>
      <c r="L1327" s="112" t="b">
        <v>0</v>
      </c>
    </row>
    <row r="1328" spans="1:12" ht="15">
      <c r="A1328" s="112" t="s">
        <v>2152</v>
      </c>
      <c r="B1328" s="112" t="s">
        <v>2078</v>
      </c>
      <c r="C1328" s="112">
        <v>7</v>
      </c>
      <c r="D1328" s="114">
        <v>0.002455046109181605</v>
      </c>
      <c r="E1328" s="114">
        <v>0.5219044192286876</v>
      </c>
      <c r="F1328" s="112" t="s">
        <v>2051</v>
      </c>
      <c r="G1328" s="112" t="b">
        <v>0</v>
      </c>
      <c r="H1328" s="112" t="b">
        <v>0</v>
      </c>
      <c r="I1328" s="112" t="b">
        <v>0</v>
      </c>
      <c r="J1328" s="112" t="b">
        <v>0</v>
      </c>
      <c r="K1328" s="112" t="b">
        <v>0</v>
      </c>
      <c r="L1328" s="112" t="b">
        <v>0</v>
      </c>
    </row>
    <row r="1329" spans="1:12" ht="15">
      <c r="A1329" s="112" t="s">
        <v>2095</v>
      </c>
      <c r="B1329" s="112" t="s">
        <v>2081</v>
      </c>
      <c r="C1329" s="112">
        <v>7</v>
      </c>
      <c r="D1329" s="114">
        <v>0.002455046109181605</v>
      </c>
      <c r="E1329" s="114">
        <v>0.4107309257774269</v>
      </c>
      <c r="F1329" s="112" t="s">
        <v>2051</v>
      </c>
      <c r="G1329" s="112" t="b">
        <v>0</v>
      </c>
      <c r="H1329" s="112" t="b">
        <v>0</v>
      </c>
      <c r="I1329" s="112" t="b">
        <v>0</v>
      </c>
      <c r="J1329" s="112" t="b">
        <v>0</v>
      </c>
      <c r="K1329" s="112" t="b">
        <v>0</v>
      </c>
      <c r="L1329" s="112" t="b">
        <v>0</v>
      </c>
    </row>
    <row r="1330" spans="1:12" ht="15">
      <c r="A1330" s="112" t="s">
        <v>2176</v>
      </c>
      <c r="B1330" s="112" t="s">
        <v>2106</v>
      </c>
      <c r="C1330" s="112">
        <v>7</v>
      </c>
      <c r="D1330" s="114">
        <v>0.0026537855186024245</v>
      </c>
      <c r="E1330" s="114">
        <v>1.8908346505306046</v>
      </c>
      <c r="F1330" s="112" t="s">
        <v>2051</v>
      </c>
      <c r="G1330" s="112" t="b">
        <v>0</v>
      </c>
      <c r="H1330" s="112" t="b">
        <v>0</v>
      </c>
      <c r="I1330" s="112" t="b">
        <v>0</v>
      </c>
      <c r="J1330" s="112" t="b">
        <v>0</v>
      </c>
      <c r="K1330" s="112" t="b">
        <v>0</v>
      </c>
      <c r="L1330" s="112" t="b">
        <v>0</v>
      </c>
    </row>
    <row r="1331" spans="1:12" ht="15">
      <c r="A1331" s="112" t="s">
        <v>2132</v>
      </c>
      <c r="B1331" s="112" t="s">
        <v>2319</v>
      </c>
      <c r="C1331" s="112">
        <v>7</v>
      </c>
      <c r="D1331" s="114">
        <v>0.004963818916687881</v>
      </c>
      <c r="E1331" s="114">
        <v>2.1918646461945857</v>
      </c>
      <c r="F1331" s="112" t="s">
        <v>2051</v>
      </c>
      <c r="G1331" s="112" t="b">
        <v>0</v>
      </c>
      <c r="H1331" s="112" t="b">
        <v>0</v>
      </c>
      <c r="I1331" s="112" t="b">
        <v>0</v>
      </c>
      <c r="J1331" s="112" t="b">
        <v>0</v>
      </c>
      <c r="K1331" s="112" t="b">
        <v>0</v>
      </c>
      <c r="L1331" s="112" t="b">
        <v>0</v>
      </c>
    </row>
    <row r="1332" spans="1:12" ht="15">
      <c r="A1332" s="112" t="s">
        <v>2086</v>
      </c>
      <c r="B1332" s="112" t="s">
        <v>2206</v>
      </c>
      <c r="C1332" s="112">
        <v>7</v>
      </c>
      <c r="D1332" s="114">
        <v>0.0031765331069780684</v>
      </c>
      <c r="E1332" s="114">
        <v>1.3725738697866146</v>
      </c>
      <c r="F1332" s="112" t="s">
        <v>2051</v>
      </c>
      <c r="G1332" s="112" t="b">
        <v>0</v>
      </c>
      <c r="H1332" s="112" t="b">
        <v>0</v>
      </c>
      <c r="I1332" s="112" t="b">
        <v>0</v>
      </c>
      <c r="J1332" s="112" t="b">
        <v>1</v>
      </c>
      <c r="K1332" s="112" t="b">
        <v>0</v>
      </c>
      <c r="L1332" s="112" t="b">
        <v>0</v>
      </c>
    </row>
    <row r="1333" spans="1:12" ht="15">
      <c r="A1333" s="112" t="s">
        <v>2260</v>
      </c>
      <c r="B1333" s="112" t="s">
        <v>2283</v>
      </c>
      <c r="C1333" s="112">
        <v>7</v>
      </c>
      <c r="D1333" s="114">
        <v>0.004963818916687881</v>
      </c>
      <c r="E1333" s="114">
        <v>2.254655476054041</v>
      </c>
      <c r="F1333" s="112" t="s">
        <v>2051</v>
      </c>
      <c r="G1333" s="112" t="b">
        <v>0</v>
      </c>
      <c r="H1333" s="112" t="b">
        <v>0</v>
      </c>
      <c r="I1333" s="112" t="b">
        <v>0</v>
      </c>
      <c r="J1333" s="112" t="b">
        <v>0</v>
      </c>
      <c r="K1333" s="112" t="b">
        <v>0</v>
      </c>
      <c r="L1333" s="112" t="b">
        <v>0</v>
      </c>
    </row>
    <row r="1334" spans="1:12" ht="15">
      <c r="A1334" s="112" t="s">
        <v>2149</v>
      </c>
      <c r="B1334" s="112" t="s">
        <v>2078</v>
      </c>
      <c r="C1334" s="112">
        <v>7</v>
      </c>
      <c r="D1334" s="114">
        <v>0.00288884434910852</v>
      </c>
      <c r="E1334" s="114">
        <v>0.47843872544759736</v>
      </c>
      <c r="F1334" s="112" t="s">
        <v>2051</v>
      </c>
      <c r="G1334" s="112" t="b">
        <v>0</v>
      </c>
      <c r="H1334" s="112" t="b">
        <v>0</v>
      </c>
      <c r="I1334" s="112" t="b">
        <v>0</v>
      </c>
      <c r="J1334" s="112" t="b">
        <v>0</v>
      </c>
      <c r="K1334" s="112" t="b">
        <v>0</v>
      </c>
      <c r="L1334" s="112" t="b">
        <v>0</v>
      </c>
    </row>
    <row r="1335" spans="1:12" ht="15">
      <c r="A1335" s="112" t="s">
        <v>2086</v>
      </c>
      <c r="B1335" s="112" t="s">
        <v>2149</v>
      </c>
      <c r="C1335" s="112">
        <v>7</v>
      </c>
      <c r="D1335" s="114">
        <v>0.0031765331069780684</v>
      </c>
      <c r="E1335" s="114">
        <v>1.1964826107309332</v>
      </c>
      <c r="F1335" s="112" t="s">
        <v>2051</v>
      </c>
      <c r="G1335" s="112" t="b">
        <v>0</v>
      </c>
      <c r="H1335" s="112" t="b">
        <v>0</v>
      </c>
      <c r="I1335" s="112" t="b">
        <v>0</v>
      </c>
      <c r="J1335" s="112" t="b">
        <v>0</v>
      </c>
      <c r="K1335" s="112" t="b">
        <v>0</v>
      </c>
      <c r="L1335" s="112" t="b">
        <v>0</v>
      </c>
    </row>
    <row r="1336" spans="1:12" ht="15">
      <c r="A1336" s="112" t="s">
        <v>2078</v>
      </c>
      <c r="B1336" s="112" t="s">
        <v>2162</v>
      </c>
      <c r="C1336" s="112">
        <v>6</v>
      </c>
      <c r="D1336" s="114">
        <v>0.002274673301659221</v>
      </c>
      <c r="E1336" s="114">
        <v>0.4047585531580158</v>
      </c>
      <c r="F1336" s="112" t="s">
        <v>2051</v>
      </c>
      <c r="G1336" s="112" t="b">
        <v>0</v>
      </c>
      <c r="H1336" s="112" t="b">
        <v>0</v>
      </c>
      <c r="I1336" s="112" t="b">
        <v>0</v>
      </c>
      <c r="J1336" s="112" t="b">
        <v>0</v>
      </c>
      <c r="K1336" s="112" t="b">
        <v>0</v>
      </c>
      <c r="L1336" s="112" t="b">
        <v>0</v>
      </c>
    </row>
    <row r="1337" spans="1:12" ht="15">
      <c r="A1337" s="112" t="s">
        <v>2079</v>
      </c>
      <c r="B1337" s="112" t="s">
        <v>2343</v>
      </c>
      <c r="C1337" s="112">
        <v>6</v>
      </c>
      <c r="D1337" s="114">
        <v>0.002274673301659221</v>
      </c>
      <c r="E1337" s="114">
        <v>0.9945840880689664</v>
      </c>
      <c r="F1337" s="112" t="s">
        <v>2051</v>
      </c>
      <c r="G1337" s="112" t="b">
        <v>0</v>
      </c>
      <c r="H1337" s="112" t="b">
        <v>0</v>
      </c>
      <c r="I1337" s="112" t="b">
        <v>0</v>
      </c>
      <c r="J1337" s="112" t="b">
        <v>0</v>
      </c>
      <c r="K1337" s="112" t="b">
        <v>0</v>
      </c>
      <c r="L1337" s="112" t="b">
        <v>0</v>
      </c>
    </row>
    <row r="1338" spans="1:12" ht="15">
      <c r="A1338" s="112" t="s">
        <v>2084</v>
      </c>
      <c r="B1338" s="112" t="s">
        <v>2135</v>
      </c>
      <c r="C1338" s="112">
        <v>6</v>
      </c>
      <c r="D1338" s="114">
        <v>0.002274673301659221</v>
      </c>
      <c r="E1338" s="114">
        <v>1.381528712439541</v>
      </c>
      <c r="F1338" s="112" t="s">
        <v>2051</v>
      </c>
      <c r="G1338" s="112" t="b">
        <v>0</v>
      </c>
      <c r="H1338" s="112" t="b">
        <v>1</v>
      </c>
      <c r="I1338" s="112" t="b">
        <v>0</v>
      </c>
      <c r="J1338" s="112" t="b">
        <v>0</v>
      </c>
      <c r="K1338" s="112" t="b">
        <v>0</v>
      </c>
      <c r="L1338" s="112" t="b">
        <v>0</v>
      </c>
    </row>
    <row r="1339" spans="1:12" ht="15">
      <c r="A1339" s="112" t="s">
        <v>2236</v>
      </c>
      <c r="B1339" s="112" t="s">
        <v>2307</v>
      </c>
      <c r="C1339" s="112">
        <v>6</v>
      </c>
      <c r="D1339" s="114">
        <v>0.002274673301659221</v>
      </c>
      <c r="E1339" s="114">
        <v>2.5187019054648525</v>
      </c>
      <c r="F1339" s="112" t="s">
        <v>2051</v>
      </c>
      <c r="G1339" s="112" t="b">
        <v>0</v>
      </c>
      <c r="H1339" s="112" t="b">
        <v>0</v>
      </c>
      <c r="I1339" s="112" t="b">
        <v>0</v>
      </c>
      <c r="J1339" s="112" t="b">
        <v>0</v>
      </c>
      <c r="K1339" s="112" t="b">
        <v>0</v>
      </c>
      <c r="L1339" s="112" t="b">
        <v>0</v>
      </c>
    </row>
    <row r="1340" spans="1:12" ht="15">
      <c r="A1340" s="112" t="s">
        <v>2095</v>
      </c>
      <c r="B1340" s="112" t="s">
        <v>2162</v>
      </c>
      <c r="C1340" s="112">
        <v>6</v>
      </c>
      <c r="D1340" s="114">
        <v>0.002274673301659221</v>
      </c>
      <c r="E1340" s="114">
        <v>1.055591365188005</v>
      </c>
      <c r="F1340" s="112" t="s">
        <v>2051</v>
      </c>
      <c r="G1340" s="112" t="b">
        <v>0</v>
      </c>
      <c r="H1340" s="112" t="b">
        <v>0</v>
      </c>
      <c r="I1340" s="112" t="b">
        <v>0</v>
      </c>
      <c r="J1340" s="112" t="b">
        <v>0</v>
      </c>
      <c r="K1340" s="112" t="b">
        <v>0</v>
      </c>
      <c r="L1340" s="112" t="b">
        <v>0</v>
      </c>
    </row>
    <row r="1341" spans="1:12" ht="15">
      <c r="A1341" s="112" t="s">
        <v>2106</v>
      </c>
      <c r="B1341" s="112" t="s">
        <v>2078</v>
      </c>
      <c r="C1341" s="112">
        <v>6</v>
      </c>
      <c r="D1341" s="114">
        <v>0.0024761522992358745</v>
      </c>
      <c r="E1341" s="114">
        <v>0.35349998883929734</v>
      </c>
      <c r="F1341" s="112" t="s">
        <v>2051</v>
      </c>
      <c r="G1341" s="112" t="b">
        <v>0</v>
      </c>
      <c r="H1341" s="112" t="b">
        <v>0</v>
      </c>
      <c r="I1341" s="112" t="b">
        <v>0</v>
      </c>
      <c r="J1341" s="112" t="b">
        <v>0</v>
      </c>
      <c r="K1341" s="112" t="b">
        <v>0</v>
      </c>
      <c r="L1341" s="112" t="b">
        <v>0</v>
      </c>
    </row>
    <row r="1342" spans="1:12" ht="15">
      <c r="A1342" s="112" t="s">
        <v>2079</v>
      </c>
      <c r="B1342" s="112" t="s">
        <v>2087</v>
      </c>
      <c r="C1342" s="112">
        <v>6</v>
      </c>
      <c r="D1342" s="114">
        <v>0.0024761522992358745</v>
      </c>
      <c r="E1342" s="114">
        <v>-0.07852301026646515</v>
      </c>
      <c r="F1342" s="112" t="s">
        <v>2051</v>
      </c>
      <c r="G1342" s="112" t="b">
        <v>0</v>
      </c>
      <c r="H1342" s="112" t="b">
        <v>0</v>
      </c>
      <c r="I1342" s="112" t="b">
        <v>0</v>
      </c>
      <c r="J1342" s="112" t="b">
        <v>0</v>
      </c>
      <c r="K1342" s="112" t="b">
        <v>0</v>
      </c>
      <c r="L1342" s="112" t="b">
        <v>0</v>
      </c>
    </row>
    <row r="1343" spans="1:12" ht="15">
      <c r="A1343" s="112" t="s">
        <v>2207</v>
      </c>
      <c r="B1343" s="112" t="s">
        <v>2140</v>
      </c>
      <c r="C1343" s="112">
        <v>6</v>
      </c>
      <c r="D1343" s="114">
        <v>0.0034887222958568356</v>
      </c>
      <c r="E1343" s="114">
        <v>2.0347412262148845</v>
      </c>
      <c r="F1343" s="112" t="s">
        <v>2051</v>
      </c>
      <c r="G1343" s="112" t="b">
        <v>0</v>
      </c>
      <c r="H1343" s="112" t="b">
        <v>0</v>
      </c>
      <c r="I1343" s="112" t="b">
        <v>0</v>
      </c>
      <c r="J1343" s="112" t="b">
        <v>0</v>
      </c>
      <c r="K1343" s="112" t="b">
        <v>0</v>
      </c>
      <c r="L1343" s="112" t="b">
        <v>0</v>
      </c>
    </row>
    <row r="1344" spans="1:12" ht="15">
      <c r="A1344" s="112" t="s">
        <v>2312</v>
      </c>
      <c r="B1344" s="112" t="s">
        <v>2347</v>
      </c>
      <c r="C1344" s="112">
        <v>6</v>
      </c>
      <c r="D1344" s="114">
        <v>0.0030406529343919974</v>
      </c>
      <c r="E1344" s="114">
        <v>2.3937631688565526</v>
      </c>
      <c r="F1344" s="112" t="s">
        <v>2051</v>
      </c>
      <c r="G1344" s="112" t="b">
        <v>0</v>
      </c>
      <c r="H1344" s="112" t="b">
        <v>0</v>
      </c>
      <c r="I1344" s="112" t="b">
        <v>0</v>
      </c>
      <c r="J1344" s="112" t="b">
        <v>0</v>
      </c>
      <c r="K1344" s="112" t="b">
        <v>0</v>
      </c>
      <c r="L1344" s="112" t="b">
        <v>0</v>
      </c>
    </row>
    <row r="1345" spans="1:12" ht="15">
      <c r="A1345" s="112" t="s">
        <v>2078</v>
      </c>
      <c r="B1345" s="112" t="s">
        <v>2189</v>
      </c>
      <c r="C1345" s="112">
        <v>6</v>
      </c>
      <c r="D1345" s="114">
        <v>0.002274673301659221</v>
      </c>
      <c r="E1345" s="114">
        <v>0.8026985618300534</v>
      </c>
      <c r="F1345" s="112" t="s">
        <v>2051</v>
      </c>
      <c r="G1345" s="112" t="b">
        <v>0</v>
      </c>
      <c r="H1345" s="112" t="b">
        <v>0</v>
      </c>
      <c r="I1345" s="112" t="b">
        <v>0</v>
      </c>
      <c r="J1345" s="112" t="b">
        <v>0</v>
      </c>
      <c r="K1345" s="112" t="b">
        <v>0</v>
      </c>
      <c r="L1345" s="112" t="b">
        <v>0</v>
      </c>
    </row>
    <row r="1346" spans="1:12" ht="15">
      <c r="A1346" s="112" t="s">
        <v>2087</v>
      </c>
      <c r="B1346" s="112" t="s">
        <v>2255</v>
      </c>
      <c r="C1346" s="112">
        <v>6</v>
      </c>
      <c r="D1346" s="114">
        <v>0.0034887222958568356</v>
      </c>
      <c r="E1346" s="114">
        <v>1.3243858263029722</v>
      </c>
      <c r="F1346" s="112" t="s">
        <v>2051</v>
      </c>
      <c r="G1346" s="112" t="b">
        <v>0</v>
      </c>
      <c r="H1346" s="112" t="b">
        <v>0</v>
      </c>
      <c r="I1346" s="112" t="b">
        <v>0</v>
      </c>
      <c r="J1346" s="112" t="b">
        <v>0</v>
      </c>
      <c r="K1346" s="112" t="b">
        <v>0</v>
      </c>
      <c r="L1346" s="112" t="b">
        <v>0</v>
      </c>
    </row>
    <row r="1347" spans="1:12" ht="15">
      <c r="A1347" s="112" t="s">
        <v>2078</v>
      </c>
      <c r="B1347" s="112" t="s">
        <v>2081</v>
      </c>
      <c r="C1347" s="112">
        <v>5</v>
      </c>
      <c r="D1347" s="114">
        <v>0.0020634602493632285</v>
      </c>
      <c r="E1347" s="114">
        <v>-0.3862299219308001</v>
      </c>
      <c r="F1347" s="112" t="s">
        <v>2051</v>
      </c>
      <c r="G1347" s="112" t="b">
        <v>0</v>
      </c>
      <c r="H1347" s="112" t="b">
        <v>0</v>
      </c>
      <c r="I1347" s="112" t="b">
        <v>0</v>
      </c>
      <c r="J1347" s="112" t="b">
        <v>0</v>
      </c>
      <c r="K1347" s="112" t="b">
        <v>0</v>
      </c>
      <c r="L1347" s="112" t="b">
        <v>0</v>
      </c>
    </row>
    <row r="1348" spans="1:12" ht="15">
      <c r="A1348" s="112" t="s">
        <v>2401</v>
      </c>
      <c r="B1348" s="112" t="s">
        <v>2130</v>
      </c>
      <c r="C1348" s="112">
        <v>5</v>
      </c>
      <c r="D1348" s="114">
        <v>0.0035455849404913433</v>
      </c>
      <c r="E1348" s="114">
        <v>2.0213772646569033</v>
      </c>
      <c r="F1348" s="112" t="s">
        <v>2051</v>
      </c>
      <c r="G1348" s="112" t="b">
        <v>0</v>
      </c>
      <c r="H1348" s="112" t="b">
        <v>0</v>
      </c>
      <c r="I1348" s="112" t="b">
        <v>0</v>
      </c>
      <c r="J1348" s="112" t="b">
        <v>0</v>
      </c>
      <c r="K1348" s="112" t="b">
        <v>0</v>
      </c>
      <c r="L1348" s="112" t="b">
        <v>0</v>
      </c>
    </row>
    <row r="1349" spans="1:12" ht="15">
      <c r="A1349" s="112" t="s">
        <v>2402</v>
      </c>
      <c r="B1349" s="112" t="s">
        <v>2130</v>
      </c>
      <c r="C1349" s="112">
        <v>5</v>
      </c>
      <c r="D1349" s="114">
        <v>0.0035455849404913433</v>
      </c>
      <c r="E1349" s="114">
        <v>1.9421960186092782</v>
      </c>
      <c r="F1349" s="112" t="s">
        <v>2051</v>
      </c>
      <c r="G1349" s="112" t="b">
        <v>0</v>
      </c>
      <c r="H1349" s="112" t="b">
        <v>0</v>
      </c>
      <c r="I1349" s="112" t="b">
        <v>0</v>
      </c>
      <c r="J1349" s="112" t="b">
        <v>0</v>
      </c>
      <c r="K1349" s="112" t="b">
        <v>0</v>
      </c>
      <c r="L1349" s="112" t="b">
        <v>0</v>
      </c>
    </row>
    <row r="1350" spans="1:12" ht="15">
      <c r="A1350" s="112" t="s">
        <v>2079</v>
      </c>
      <c r="B1350" s="112" t="s">
        <v>2086</v>
      </c>
      <c r="C1350" s="112">
        <v>5</v>
      </c>
      <c r="D1350" s="114">
        <v>0.0020634602493632285</v>
      </c>
      <c r="E1350" s="114">
        <v>0.0033580123764715814</v>
      </c>
      <c r="F1350" s="112" t="s">
        <v>2051</v>
      </c>
      <c r="G1350" s="112" t="b">
        <v>0</v>
      </c>
      <c r="H1350" s="112" t="b">
        <v>0</v>
      </c>
      <c r="I1350" s="112" t="b">
        <v>0</v>
      </c>
      <c r="J1350" s="112" t="b">
        <v>0</v>
      </c>
      <c r="K1350" s="112" t="b">
        <v>0</v>
      </c>
      <c r="L1350" s="112" t="b">
        <v>0</v>
      </c>
    </row>
    <row r="1351" spans="1:12" ht="15">
      <c r="A1351" s="112" t="s">
        <v>2084</v>
      </c>
      <c r="B1351" s="112" t="s">
        <v>2078</v>
      </c>
      <c r="C1351" s="112">
        <v>5</v>
      </c>
      <c r="D1351" s="114">
        <v>0.0020634602493632285</v>
      </c>
      <c r="E1351" s="114">
        <v>0.3992574793999725</v>
      </c>
      <c r="F1351" s="112" t="s">
        <v>2051</v>
      </c>
      <c r="G1351" s="112" t="b">
        <v>0</v>
      </c>
      <c r="H1351" s="112" t="b">
        <v>1</v>
      </c>
      <c r="I1351" s="112" t="b">
        <v>0</v>
      </c>
      <c r="J1351" s="112" t="b">
        <v>0</v>
      </c>
      <c r="K1351" s="112" t="b">
        <v>0</v>
      </c>
      <c r="L1351" s="112" t="b">
        <v>0</v>
      </c>
    </row>
    <row r="1352" spans="1:12" ht="15">
      <c r="A1352" s="112" t="s">
        <v>2078</v>
      </c>
      <c r="B1352" s="112" t="s">
        <v>2086</v>
      </c>
      <c r="C1352" s="112">
        <v>5</v>
      </c>
      <c r="D1352" s="114">
        <v>0.0020634602493632285</v>
      </c>
      <c r="E1352" s="114">
        <v>-0.06358877725414167</v>
      </c>
      <c r="F1352" s="112" t="s">
        <v>2051</v>
      </c>
      <c r="G1352" s="112" t="b">
        <v>0</v>
      </c>
      <c r="H1352" s="112" t="b">
        <v>0</v>
      </c>
      <c r="I1352" s="112" t="b">
        <v>0</v>
      </c>
      <c r="J1352" s="112" t="b">
        <v>0</v>
      </c>
      <c r="K1352" s="112" t="b">
        <v>0</v>
      </c>
      <c r="L1352" s="112" t="b">
        <v>0</v>
      </c>
    </row>
    <row r="1353" spans="1:12" ht="15">
      <c r="A1353" s="112" t="s">
        <v>2152</v>
      </c>
      <c r="B1353" s="112" t="s">
        <v>2087</v>
      </c>
      <c r="C1353" s="112">
        <v>5</v>
      </c>
      <c r="D1353" s="114">
        <v>0.0025338774453266644</v>
      </c>
      <c r="E1353" s="114">
        <v>0.9327580001432239</v>
      </c>
      <c r="F1353" s="112" t="s">
        <v>2051</v>
      </c>
      <c r="G1353" s="112" t="b">
        <v>0</v>
      </c>
      <c r="H1353" s="112" t="b">
        <v>0</v>
      </c>
      <c r="I1353" s="112" t="b">
        <v>0</v>
      </c>
      <c r="J1353" s="112" t="b">
        <v>0</v>
      </c>
      <c r="K1353" s="112" t="b">
        <v>0</v>
      </c>
      <c r="L1353" s="112" t="b">
        <v>0</v>
      </c>
    </row>
    <row r="1354" spans="1:12" ht="15">
      <c r="A1354" s="112" t="s">
        <v>2079</v>
      </c>
      <c r="B1354" s="112" t="s">
        <v>2150</v>
      </c>
      <c r="C1354" s="112">
        <v>5</v>
      </c>
      <c r="D1354" s="114">
        <v>0.0020634602493632285</v>
      </c>
      <c r="E1354" s="114">
        <v>0.41480049145215625</v>
      </c>
      <c r="F1354" s="112" t="s">
        <v>2051</v>
      </c>
      <c r="G1354" s="112" t="b">
        <v>0</v>
      </c>
      <c r="H1354" s="112" t="b">
        <v>0</v>
      </c>
      <c r="I1354" s="112" t="b">
        <v>0</v>
      </c>
      <c r="J1354" s="112" t="b">
        <v>0</v>
      </c>
      <c r="K1354" s="112" t="b">
        <v>0</v>
      </c>
      <c r="L1354" s="112" t="b">
        <v>0</v>
      </c>
    </row>
    <row r="1355" spans="1:12" ht="15">
      <c r="A1355" s="112" t="s">
        <v>2078</v>
      </c>
      <c r="B1355" s="112" t="s">
        <v>2314</v>
      </c>
      <c r="C1355" s="112">
        <v>5</v>
      </c>
      <c r="D1355" s="114">
        <v>0.0022689522192700486</v>
      </c>
      <c r="E1355" s="114">
        <v>0.7815092627601151</v>
      </c>
      <c r="F1355" s="112" t="s">
        <v>2051</v>
      </c>
      <c r="G1355" s="112" t="b">
        <v>0</v>
      </c>
      <c r="H1355" s="112" t="b">
        <v>0</v>
      </c>
      <c r="I1355" s="112" t="b">
        <v>0</v>
      </c>
      <c r="J1355" s="112" t="b">
        <v>0</v>
      </c>
      <c r="K1355" s="112" t="b">
        <v>0</v>
      </c>
      <c r="L1355" s="112" t="b">
        <v>0</v>
      </c>
    </row>
    <row r="1356" spans="1:12" ht="15">
      <c r="A1356" s="112" t="s">
        <v>2097</v>
      </c>
      <c r="B1356" s="112" t="s">
        <v>2078</v>
      </c>
      <c r="C1356" s="112">
        <v>5</v>
      </c>
      <c r="D1356" s="114">
        <v>0.0025338774453266644</v>
      </c>
      <c r="E1356" s="114">
        <v>0.4240810631250046</v>
      </c>
      <c r="F1356" s="112" t="s">
        <v>2051</v>
      </c>
      <c r="G1356" s="112" t="b">
        <v>0</v>
      </c>
      <c r="H1356" s="112" t="b">
        <v>0</v>
      </c>
      <c r="I1356" s="112" t="b">
        <v>0</v>
      </c>
      <c r="J1356" s="112" t="b">
        <v>0</v>
      </c>
      <c r="K1356" s="112" t="b">
        <v>0</v>
      </c>
      <c r="L1356" s="112" t="b">
        <v>0</v>
      </c>
    </row>
    <row r="1357" spans="1:12" ht="15">
      <c r="A1357" s="112" t="s">
        <v>2078</v>
      </c>
      <c r="B1357" s="112" t="s">
        <v>2097</v>
      </c>
      <c r="C1357" s="112">
        <v>5</v>
      </c>
      <c r="D1357" s="114">
        <v>0.0025338774453266644</v>
      </c>
      <c r="E1357" s="114">
        <v>0.3713347976710659</v>
      </c>
      <c r="F1357" s="112" t="s">
        <v>2051</v>
      </c>
      <c r="G1357" s="112" t="b">
        <v>0</v>
      </c>
      <c r="H1357" s="112" t="b">
        <v>0</v>
      </c>
      <c r="I1357" s="112" t="b">
        <v>0</v>
      </c>
      <c r="J1357" s="112" t="b">
        <v>0</v>
      </c>
      <c r="K1357" s="112" t="b">
        <v>0</v>
      </c>
      <c r="L1357" s="112" t="b">
        <v>0</v>
      </c>
    </row>
    <row r="1358" spans="1:12" ht="15">
      <c r="A1358" s="112" t="s">
        <v>2097</v>
      </c>
      <c r="B1358" s="112" t="s">
        <v>2105</v>
      </c>
      <c r="C1358" s="112">
        <v>5</v>
      </c>
      <c r="D1358" s="114">
        <v>0.0025338774453266644</v>
      </c>
      <c r="E1358" s="114">
        <v>2.1333510241008353</v>
      </c>
      <c r="F1358" s="112" t="s">
        <v>2051</v>
      </c>
      <c r="G1358" s="112" t="b">
        <v>0</v>
      </c>
      <c r="H1358" s="112" t="b">
        <v>0</v>
      </c>
      <c r="I1358" s="112" t="b">
        <v>0</v>
      </c>
      <c r="J1358" s="112" t="b">
        <v>0</v>
      </c>
      <c r="K1358" s="112" t="b">
        <v>0</v>
      </c>
      <c r="L1358" s="112" t="b">
        <v>0</v>
      </c>
    </row>
    <row r="1359" spans="1:12" ht="15">
      <c r="A1359" s="112" t="s">
        <v>2213</v>
      </c>
      <c r="B1359" s="112" t="s">
        <v>2089</v>
      </c>
      <c r="C1359" s="112">
        <v>5</v>
      </c>
      <c r="D1359" s="114">
        <v>0.0035455849404913433</v>
      </c>
      <c r="E1359" s="114">
        <v>2.6648299411430907</v>
      </c>
      <c r="F1359" s="112" t="s">
        <v>2051</v>
      </c>
      <c r="G1359" s="112" t="b">
        <v>0</v>
      </c>
      <c r="H1359" s="112" t="b">
        <v>1</v>
      </c>
      <c r="I1359" s="112" t="b">
        <v>0</v>
      </c>
      <c r="J1359" s="112" t="b">
        <v>0</v>
      </c>
      <c r="K1359" s="112" t="b">
        <v>0</v>
      </c>
      <c r="L1359" s="112" t="b">
        <v>0</v>
      </c>
    </row>
    <row r="1360" spans="1:12" ht="15">
      <c r="A1360" s="112" t="s">
        <v>2192</v>
      </c>
      <c r="B1360" s="112" t="s">
        <v>2391</v>
      </c>
      <c r="C1360" s="112">
        <v>5</v>
      </c>
      <c r="D1360" s="114">
        <v>0.0035455849404913433</v>
      </c>
      <c r="E1360" s="114">
        <v>2.6648299411430907</v>
      </c>
      <c r="F1360" s="112" t="s">
        <v>2051</v>
      </c>
      <c r="G1360" s="112" t="b">
        <v>0</v>
      </c>
      <c r="H1360" s="112" t="b">
        <v>0</v>
      </c>
      <c r="I1360" s="112" t="b">
        <v>0</v>
      </c>
      <c r="J1360" s="112" t="b">
        <v>0</v>
      </c>
      <c r="K1360" s="112" t="b">
        <v>0</v>
      </c>
      <c r="L1360" s="112" t="b">
        <v>0</v>
      </c>
    </row>
    <row r="1361" spans="1:12" ht="15">
      <c r="A1361" s="112" t="s">
        <v>2087</v>
      </c>
      <c r="B1361" s="112" t="s">
        <v>2309</v>
      </c>
      <c r="C1361" s="112">
        <v>4</v>
      </c>
      <c r="D1361" s="114">
        <v>0.0020271019562613313</v>
      </c>
      <c r="E1361" s="114">
        <v>1.257439036672359</v>
      </c>
      <c r="F1361" s="112" t="s">
        <v>2051</v>
      </c>
      <c r="G1361" s="112" t="b">
        <v>0</v>
      </c>
      <c r="H1361" s="112" t="b">
        <v>0</v>
      </c>
      <c r="I1361" s="112" t="b">
        <v>0</v>
      </c>
      <c r="J1361" s="112" t="b">
        <v>0</v>
      </c>
      <c r="K1361" s="112" t="b">
        <v>0</v>
      </c>
      <c r="L1361" s="112" t="b">
        <v>0</v>
      </c>
    </row>
    <row r="1362" spans="1:12" ht="15">
      <c r="A1362" s="112" t="s">
        <v>2281</v>
      </c>
      <c r="B1362" s="112" t="s">
        <v>2144</v>
      </c>
      <c r="C1362" s="112">
        <v>4</v>
      </c>
      <c r="D1362" s="114">
        <v>0.0020271019562613313</v>
      </c>
      <c r="E1362" s="114">
        <v>2.0116174273677467</v>
      </c>
      <c r="F1362" s="112" t="s">
        <v>2051</v>
      </c>
      <c r="G1362" s="112" t="b">
        <v>0</v>
      </c>
      <c r="H1362" s="112" t="b">
        <v>1</v>
      </c>
      <c r="I1362" s="112" t="b">
        <v>0</v>
      </c>
      <c r="J1362" s="112" t="b">
        <v>0</v>
      </c>
      <c r="K1362" s="112" t="b">
        <v>0</v>
      </c>
      <c r="L1362" s="112" t="b">
        <v>0</v>
      </c>
    </row>
    <row r="1363" spans="1:12" ht="15">
      <c r="A1363" s="112" t="s">
        <v>2135</v>
      </c>
      <c r="B1363" s="112" t="s">
        <v>2205</v>
      </c>
      <c r="C1363" s="112">
        <v>4</v>
      </c>
      <c r="D1363" s="114">
        <v>0.001815161775416039</v>
      </c>
      <c r="E1363" s="114">
        <v>1.346766606180329</v>
      </c>
      <c r="F1363" s="112" t="s">
        <v>2051</v>
      </c>
      <c r="G1363" s="112" t="b">
        <v>0</v>
      </c>
      <c r="H1363" s="112" t="b">
        <v>0</v>
      </c>
      <c r="I1363" s="112" t="b">
        <v>0</v>
      </c>
      <c r="J1363" s="112" t="b">
        <v>0</v>
      </c>
      <c r="K1363" s="112" t="b">
        <v>0</v>
      </c>
      <c r="L1363" s="112" t="b">
        <v>0</v>
      </c>
    </row>
    <row r="1364" spans="1:12" ht="15">
      <c r="A1364" s="112" t="s">
        <v>2078</v>
      </c>
      <c r="B1364" s="112" t="s">
        <v>2176</v>
      </c>
      <c r="C1364" s="112">
        <v>4</v>
      </c>
      <c r="D1364" s="114">
        <v>0.001815161775416039</v>
      </c>
      <c r="E1364" s="114">
        <v>0.626607302774372</v>
      </c>
      <c r="F1364" s="112" t="s">
        <v>2051</v>
      </c>
      <c r="G1364" s="112" t="b">
        <v>0</v>
      </c>
      <c r="H1364" s="112" t="b">
        <v>0</v>
      </c>
      <c r="I1364" s="112" t="b">
        <v>0</v>
      </c>
      <c r="J1364" s="112" t="b">
        <v>0</v>
      </c>
      <c r="K1364" s="112" t="b">
        <v>0</v>
      </c>
      <c r="L1364" s="112" t="b">
        <v>0</v>
      </c>
    </row>
    <row r="1365" spans="1:12" ht="15">
      <c r="A1365" s="112" t="s">
        <v>2078</v>
      </c>
      <c r="B1365" s="112" t="s">
        <v>2236</v>
      </c>
      <c r="C1365" s="112">
        <v>4</v>
      </c>
      <c r="D1365" s="114">
        <v>0.001815161775416039</v>
      </c>
      <c r="E1365" s="114">
        <v>0.751546039382672</v>
      </c>
      <c r="F1365" s="112" t="s">
        <v>2051</v>
      </c>
      <c r="G1365" s="112" t="b">
        <v>0</v>
      </c>
      <c r="H1365" s="112" t="b">
        <v>0</v>
      </c>
      <c r="I1365" s="112" t="b">
        <v>0</v>
      </c>
      <c r="J1365" s="112" t="b">
        <v>0</v>
      </c>
      <c r="K1365" s="112" t="b">
        <v>0</v>
      </c>
      <c r="L1365" s="112" t="b">
        <v>0</v>
      </c>
    </row>
    <row r="1366" spans="1:12" ht="15">
      <c r="A1366" s="112" t="s">
        <v>2514</v>
      </c>
      <c r="B1366" s="112" t="s">
        <v>2515</v>
      </c>
      <c r="C1366" s="112">
        <v>4</v>
      </c>
      <c r="D1366" s="114">
        <v>0.001815161775416039</v>
      </c>
      <c r="E1366" s="114">
        <v>2.761739954151147</v>
      </c>
      <c r="F1366" s="112" t="s">
        <v>2051</v>
      </c>
      <c r="G1366" s="112" t="b">
        <v>0</v>
      </c>
      <c r="H1366" s="112" t="b">
        <v>0</v>
      </c>
      <c r="I1366" s="112" t="b">
        <v>0</v>
      </c>
      <c r="J1366" s="112" t="b">
        <v>0</v>
      </c>
      <c r="K1366" s="112" t="b">
        <v>0</v>
      </c>
      <c r="L1366" s="112" t="b">
        <v>0</v>
      </c>
    </row>
    <row r="1367" spans="1:12" ht="15">
      <c r="A1367" s="112" t="s">
        <v>2166</v>
      </c>
      <c r="B1367" s="112" t="s">
        <v>2152</v>
      </c>
      <c r="C1367" s="112">
        <v>4</v>
      </c>
      <c r="D1367" s="114">
        <v>0.001815161775416039</v>
      </c>
      <c r="E1367" s="114">
        <v>1.4566574144759687</v>
      </c>
      <c r="F1367" s="112" t="s">
        <v>2051</v>
      </c>
      <c r="G1367" s="112" t="b">
        <v>0</v>
      </c>
      <c r="H1367" s="112" t="b">
        <v>0</v>
      </c>
      <c r="I1367" s="112" t="b">
        <v>0</v>
      </c>
      <c r="J1367" s="112" t="b">
        <v>0</v>
      </c>
      <c r="K1367" s="112" t="b">
        <v>0</v>
      </c>
      <c r="L1367" s="112" t="b">
        <v>0</v>
      </c>
    </row>
    <row r="1368" spans="1:12" ht="15">
      <c r="A1368" s="112" t="s">
        <v>2166</v>
      </c>
      <c r="B1368" s="112" t="s">
        <v>2087</v>
      </c>
      <c r="C1368" s="112">
        <v>4</v>
      </c>
      <c r="D1368" s="114">
        <v>0.0020271019562613313</v>
      </c>
      <c r="E1368" s="114">
        <v>0.8841526667097225</v>
      </c>
      <c r="F1368" s="112" t="s">
        <v>2051</v>
      </c>
      <c r="G1368" s="112" t="b">
        <v>0</v>
      </c>
      <c r="H1368" s="112" t="b">
        <v>0</v>
      </c>
      <c r="I1368" s="112" t="b">
        <v>0</v>
      </c>
      <c r="J1368" s="112" t="b">
        <v>0</v>
      </c>
      <c r="K1368" s="112" t="b">
        <v>0</v>
      </c>
      <c r="L1368" s="112" t="b">
        <v>0</v>
      </c>
    </row>
    <row r="1369" spans="1:12" ht="15">
      <c r="A1369" s="112" t="s">
        <v>2150</v>
      </c>
      <c r="B1369" s="112" t="s">
        <v>2078</v>
      </c>
      <c r="C1369" s="112">
        <v>4</v>
      </c>
      <c r="D1369" s="114">
        <v>0.001815161775416039</v>
      </c>
      <c r="E1369" s="114">
        <v>0.30234746639191606</v>
      </c>
      <c r="F1369" s="112" t="s">
        <v>2051</v>
      </c>
      <c r="G1369" s="112" t="b">
        <v>0</v>
      </c>
      <c r="H1369" s="112" t="b">
        <v>0</v>
      </c>
      <c r="I1369" s="112" t="b">
        <v>0</v>
      </c>
      <c r="J1369" s="112" t="b">
        <v>0</v>
      </c>
      <c r="K1369" s="112" t="b">
        <v>0</v>
      </c>
      <c r="L1369" s="112" t="b">
        <v>0</v>
      </c>
    </row>
    <row r="1370" spans="1:12" ht="15">
      <c r="A1370" s="112" t="s">
        <v>2081</v>
      </c>
      <c r="B1370" s="112" t="s">
        <v>2077</v>
      </c>
      <c r="C1370" s="112">
        <v>4</v>
      </c>
      <c r="D1370" s="114">
        <v>0.0028364679523930746</v>
      </c>
      <c r="E1370" s="114">
        <v>0.8266107192354647</v>
      </c>
      <c r="F1370" s="112" t="s">
        <v>2051</v>
      </c>
      <c r="G1370" s="112" t="b">
        <v>0</v>
      </c>
      <c r="H1370" s="112" t="b">
        <v>0</v>
      </c>
      <c r="I1370" s="112" t="b">
        <v>0</v>
      </c>
      <c r="J1370" s="112" t="b">
        <v>0</v>
      </c>
      <c r="K1370" s="112" t="b">
        <v>0</v>
      </c>
      <c r="L1370" s="112" t="b">
        <v>0</v>
      </c>
    </row>
    <row r="1371" spans="1:12" ht="15">
      <c r="A1371" s="112" t="s">
        <v>2077</v>
      </c>
      <c r="B1371" s="112" t="s">
        <v>2077</v>
      </c>
      <c r="C1371" s="112">
        <v>4</v>
      </c>
      <c r="D1371" s="114">
        <v>0.0028364679523930746</v>
      </c>
      <c r="E1371" s="114">
        <v>1.77273533845261</v>
      </c>
      <c r="F1371" s="112" t="s">
        <v>2051</v>
      </c>
      <c r="G1371" s="112" t="b">
        <v>0</v>
      </c>
      <c r="H1371" s="112" t="b">
        <v>0</v>
      </c>
      <c r="I1371" s="112" t="b">
        <v>0</v>
      </c>
      <c r="J1371" s="112" t="b">
        <v>0</v>
      </c>
      <c r="K1371" s="112" t="b">
        <v>0</v>
      </c>
      <c r="L1371" s="112" t="b">
        <v>0</v>
      </c>
    </row>
    <row r="1372" spans="1:12" ht="15">
      <c r="A1372" s="112" t="s">
        <v>2149</v>
      </c>
      <c r="B1372" s="112" t="s">
        <v>2344</v>
      </c>
      <c r="C1372" s="112">
        <v>4</v>
      </c>
      <c r="D1372" s="114">
        <v>0.0020271019562613313</v>
      </c>
      <c r="E1372" s="114">
        <v>1.8654893916895088</v>
      </c>
      <c r="F1372" s="112" t="s">
        <v>2051</v>
      </c>
      <c r="G1372" s="112" t="b">
        <v>0</v>
      </c>
      <c r="H1372" s="112" t="b">
        <v>0</v>
      </c>
      <c r="I1372" s="112" t="b">
        <v>0</v>
      </c>
      <c r="J1372" s="112" t="b">
        <v>0</v>
      </c>
      <c r="K1372" s="112" t="b">
        <v>0</v>
      </c>
      <c r="L1372" s="112" t="b">
        <v>0</v>
      </c>
    </row>
    <row r="1373" spans="1:12" ht="15">
      <c r="A1373" s="112" t="s">
        <v>2087</v>
      </c>
      <c r="B1373" s="112" t="s">
        <v>2157</v>
      </c>
      <c r="C1373" s="112">
        <v>4</v>
      </c>
      <c r="D1373" s="114">
        <v>0.0020271019562613313</v>
      </c>
      <c r="E1373" s="114">
        <v>0.9564090410083778</v>
      </c>
      <c r="F1373" s="112" t="s">
        <v>2051</v>
      </c>
      <c r="G1373" s="112" t="b">
        <v>0</v>
      </c>
      <c r="H1373" s="112" t="b">
        <v>0</v>
      </c>
      <c r="I1373" s="112" t="b">
        <v>0</v>
      </c>
      <c r="J1373" s="112" t="b">
        <v>0</v>
      </c>
      <c r="K1373" s="112" t="b">
        <v>0</v>
      </c>
      <c r="L1373" s="112" t="b">
        <v>0</v>
      </c>
    </row>
    <row r="1374" spans="1:12" ht="15">
      <c r="A1374" s="112" t="s">
        <v>2150</v>
      </c>
      <c r="B1374" s="112" t="s">
        <v>2087</v>
      </c>
      <c r="C1374" s="112">
        <v>4</v>
      </c>
      <c r="D1374" s="114">
        <v>0.0020271019562613313</v>
      </c>
      <c r="E1374" s="114">
        <v>0.8593290829846904</v>
      </c>
      <c r="F1374" s="112" t="s">
        <v>2051</v>
      </c>
      <c r="G1374" s="112" t="b">
        <v>0</v>
      </c>
      <c r="H1374" s="112" t="b">
        <v>0</v>
      </c>
      <c r="I1374" s="112" t="b">
        <v>0</v>
      </c>
      <c r="J1374" s="112" t="b">
        <v>0</v>
      </c>
      <c r="K1374" s="112" t="b">
        <v>0</v>
      </c>
      <c r="L1374" s="112" t="b">
        <v>0</v>
      </c>
    </row>
    <row r="1375" spans="1:12" ht="15">
      <c r="A1375" s="112" t="s">
        <v>2079</v>
      </c>
      <c r="B1375" s="112" t="s">
        <v>2157</v>
      </c>
      <c r="C1375" s="112">
        <v>4</v>
      </c>
      <c r="D1375" s="114">
        <v>0.0020271019562613313</v>
      </c>
      <c r="E1375" s="114">
        <v>0.4505160437186908</v>
      </c>
      <c r="F1375" s="112" t="s">
        <v>2051</v>
      </c>
      <c r="G1375" s="112" t="b">
        <v>0</v>
      </c>
      <c r="H1375" s="112" t="b">
        <v>0</v>
      </c>
      <c r="I1375" s="112" t="b">
        <v>0</v>
      </c>
      <c r="J1375" s="112" t="b">
        <v>0</v>
      </c>
      <c r="K1375" s="112" t="b">
        <v>0</v>
      </c>
      <c r="L1375" s="112" t="b">
        <v>0</v>
      </c>
    </row>
    <row r="1376" spans="1:12" ht="15">
      <c r="A1376" s="112" t="s">
        <v>2078</v>
      </c>
      <c r="B1376" s="112" t="s">
        <v>2098</v>
      </c>
      <c r="C1376" s="112">
        <v>4</v>
      </c>
      <c r="D1376" s="114">
        <v>0.001815161775416039</v>
      </c>
      <c r="E1376" s="114">
        <v>0.27442478466300957</v>
      </c>
      <c r="F1376" s="112" t="s">
        <v>2051</v>
      </c>
      <c r="G1376" s="112" t="b">
        <v>0</v>
      </c>
      <c r="H1376" s="112" t="b">
        <v>0</v>
      </c>
      <c r="I1376" s="112" t="b">
        <v>0</v>
      </c>
      <c r="J1376" s="112" t="b">
        <v>1</v>
      </c>
      <c r="K1376" s="112" t="b">
        <v>0</v>
      </c>
      <c r="L1376" s="112" t="b">
        <v>0</v>
      </c>
    </row>
    <row r="1377" spans="1:12" ht="15">
      <c r="A1377" s="112" t="s">
        <v>2098</v>
      </c>
      <c r="B1377" s="112" t="s">
        <v>2087</v>
      </c>
      <c r="C1377" s="112">
        <v>4</v>
      </c>
      <c r="D1377" s="114">
        <v>0.0020271019562613313</v>
      </c>
      <c r="E1377" s="114">
        <v>0.8593290829846904</v>
      </c>
      <c r="F1377" s="112" t="s">
        <v>2051</v>
      </c>
      <c r="G1377" s="112" t="b">
        <v>1</v>
      </c>
      <c r="H1377" s="112" t="b">
        <v>0</v>
      </c>
      <c r="I1377" s="112" t="b">
        <v>0</v>
      </c>
      <c r="J1377" s="112" t="b">
        <v>0</v>
      </c>
      <c r="K1377" s="112" t="b">
        <v>0</v>
      </c>
      <c r="L1377" s="112" t="b">
        <v>0</v>
      </c>
    </row>
    <row r="1378" spans="1:12" ht="15">
      <c r="A1378" s="112" t="s">
        <v>2354</v>
      </c>
      <c r="B1378" s="112" t="s">
        <v>2529</v>
      </c>
      <c r="C1378" s="112">
        <v>4</v>
      </c>
      <c r="D1378" s="114">
        <v>0.0028364679523930746</v>
      </c>
      <c r="E1378" s="114">
        <v>2.761739954151147</v>
      </c>
      <c r="F1378" s="112" t="s">
        <v>2051</v>
      </c>
      <c r="G1378" s="112" t="b">
        <v>0</v>
      </c>
      <c r="H1378" s="112" t="b">
        <v>0</v>
      </c>
      <c r="I1378" s="112" t="b">
        <v>0</v>
      </c>
      <c r="J1378" s="112" t="b">
        <v>0</v>
      </c>
      <c r="K1378" s="112" t="b">
        <v>0</v>
      </c>
      <c r="L1378" s="112" t="b">
        <v>0</v>
      </c>
    </row>
    <row r="1379" spans="1:12" ht="15">
      <c r="A1379" s="112" t="s">
        <v>2529</v>
      </c>
      <c r="B1379" s="112" t="s">
        <v>2396</v>
      </c>
      <c r="C1379" s="112">
        <v>4</v>
      </c>
      <c r="D1379" s="114">
        <v>0.0028364679523930746</v>
      </c>
      <c r="E1379" s="114">
        <v>2.761739954151147</v>
      </c>
      <c r="F1379" s="112" t="s">
        <v>2051</v>
      </c>
      <c r="G1379" s="112" t="b">
        <v>0</v>
      </c>
      <c r="H1379" s="112" t="b">
        <v>0</v>
      </c>
      <c r="I1379" s="112" t="b">
        <v>0</v>
      </c>
      <c r="J1379" s="112" t="b">
        <v>0</v>
      </c>
      <c r="K1379" s="112" t="b">
        <v>0</v>
      </c>
      <c r="L1379" s="112" t="b">
        <v>0</v>
      </c>
    </row>
    <row r="1380" spans="1:12" ht="15">
      <c r="A1380" s="112" t="s">
        <v>2166</v>
      </c>
      <c r="B1380" s="112" t="s">
        <v>2078</v>
      </c>
      <c r="C1380" s="112">
        <v>4</v>
      </c>
      <c r="D1380" s="114">
        <v>0.0020271019562613313</v>
      </c>
      <c r="E1380" s="114">
        <v>0.3271710501169482</v>
      </c>
      <c r="F1380" s="112" t="s">
        <v>2051</v>
      </c>
      <c r="G1380" s="112" t="b">
        <v>0</v>
      </c>
      <c r="H1380" s="112" t="b">
        <v>0</v>
      </c>
      <c r="I1380" s="112" t="b">
        <v>0</v>
      </c>
      <c r="J1380" s="112" t="b">
        <v>0</v>
      </c>
      <c r="K1380" s="112" t="b">
        <v>0</v>
      </c>
      <c r="L1380" s="112" t="b">
        <v>0</v>
      </c>
    </row>
    <row r="1381" spans="1:12" ht="15">
      <c r="A1381" s="112" t="s">
        <v>2135</v>
      </c>
      <c r="B1381" s="112" t="s">
        <v>2165</v>
      </c>
      <c r="C1381" s="112">
        <v>4</v>
      </c>
      <c r="D1381" s="114">
        <v>0.0020271019562613313</v>
      </c>
      <c r="E1381" s="114">
        <v>1.3145819228089277</v>
      </c>
      <c r="F1381" s="112" t="s">
        <v>2051</v>
      </c>
      <c r="G1381" s="112" t="b">
        <v>0</v>
      </c>
      <c r="H1381" s="112" t="b">
        <v>0</v>
      </c>
      <c r="I1381" s="112" t="b">
        <v>0</v>
      </c>
      <c r="J1381" s="112" t="b">
        <v>0</v>
      </c>
      <c r="K1381" s="112" t="b">
        <v>0</v>
      </c>
      <c r="L1381" s="112" t="b">
        <v>0</v>
      </c>
    </row>
    <row r="1382" spans="1:12" ht="15">
      <c r="A1382" s="112" t="s">
        <v>2095</v>
      </c>
      <c r="B1382" s="112" t="s">
        <v>2131</v>
      </c>
      <c r="C1382" s="112">
        <v>4</v>
      </c>
      <c r="D1382" s="114">
        <v>0.001815161775416039</v>
      </c>
      <c r="E1382" s="114">
        <v>0.689168407962032</v>
      </c>
      <c r="F1382" s="112" t="s">
        <v>2051</v>
      </c>
      <c r="G1382" s="112" t="b">
        <v>0</v>
      </c>
      <c r="H1382" s="112" t="b">
        <v>0</v>
      </c>
      <c r="I1382" s="112" t="b">
        <v>0</v>
      </c>
      <c r="J1382" s="112" t="b">
        <v>0</v>
      </c>
      <c r="K1382" s="112" t="b">
        <v>0</v>
      </c>
      <c r="L1382" s="112" t="b">
        <v>0</v>
      </c>
    </row>
    <row r="1383" spans="1:12" ht="15">
      <c r="A1383" s="112" t="s">
        <v>2140</v>
      </c>
      <c r="B1383" s="112" t="s">
        <v>2078</v>
      </c>
      <c r="C1383" s="112">
        <v>4</v>
      </c>
      <c r="D1383" s="114">
        <v>0.0020271019562613313</v>
      </c>
      <c r="E1383" s="114">
        <v>0.3815287124395409</v>
      </c>
      <c r="F1383" s="112" t="s">
        <v>2051</v>
      </c>
      <c r="G1383" s="112" t="b">
        <v>0</v>
      </c>
      <c r="H1383" s="112" t="b">
        <v>0</v>
      </c>
      <c r="I1383" s="112" t="b">
        <v>0</v>
      </c>
      <c r="J1383" s="112" t="b">
        <v>0</v>
      </c>
      <c r="K1383" s="112" t="b">
        <v>0</v>
      </c>
      <c r="L1383" s="112" t="b">
        <v>0</v>
      </c>
    </row>
    <row r="1384" spans="1:12" ht="15">
      <c r="A1384" s="112" t="s">
        <v>2506</v>
      </c>
      <c r="B1384" s="112" t="s">
        <v>2078</v>
      </c>
      <c r="C1384" s="112">
        <v>4</v>
      </c>
      <c r="D1384" s="114">
        <v>0.001815161775416039</v>
      </c>
      <c r="E1384" s="114">
        <v>0.9555599801672597</v>
      </c>
      <c r="F1384" s="112" t="s">
        <v>2051</v>
      </c>
      <c r="G1384" s="112" t="b">
        <v>0</v>
      </c>
      <c r="H1384" s="112" t="b">
        <v>0</v>
      </c>
      <c r="I1384" s="112" t="b">
        <v>0</v>
      </c>
      <c r="J1384" s="112" t="b">
        <v>0</v>
      </c>
      <c r="K1384" s="112" t="b">
        <v>0</v>
      </c>
      <c r="L1384" s="112" t="b">
        <v>0</v>
      </c>
    </row>
    <row r="1385" spans="1:12" ht="15">
      <c r="A1385" s="112" t="s">
        <v>2078</v>
      </c>
      <c r="B1385" s="112" t="s">
        <v>2432</v>
      </c>
      <c r="C1385" s="112">
        <v>4</v>
      </c>
      <c r="D1385" s="114">
        <v>0.001815161775416039</v>
      </c>
      <c r="E1385" s="114">
        <v>0.9276372984383533</v>
      </c>
      <c r="F1385" s="112" t="s">
        <v>2051</v>
      </c>
      <c r="G1385" s="112" t="b">
        <v>0</v>
      </c>
      <c r="H1385" s="112" t="b">
        <v>0</v>
      </c>
      <c r="I1385" s="112" t="b">
        <v>0</v>
      </c>
      <c r="J1385" s="112" t="b">
        <v>0</v>
      </c>
      <c r="K1385" s="112" t="b">
        <v>0</v>
      </c>
      <c r="L1385" s="112" t="b">
        <v>0</v>
      </c>
    </row>
    <row r="1386" spans="1:12" ht="15">
      <c r="A1386" s="112" t="s">
        <v>2259</v>
      </c>
      <c r="B1386" s="112" t="s">
        <v>2282</v>
      </c>
      <c r="C1386" s="112">
        <v>4</v>
      </c>
      <c r="D1386" s="114">
        <v>0.0028364679523930746</v>
      </c>
      <c r="E1386" s="114">
        <v>2.6648299411430907</v>
      </c>
      <c r="F1386" s="112" t="s">
        <v>2051</v>
      </c>
      <c r="G1386" s="112" t="b">
        <v>0</v>
      </c>
      <c r="H1386" s="112" t="b">
        <v>0</v>
      </c>
      <c r="I1386" s="112" t="b">
        <v>0</v>
      </c>
      <c r="J1386" s="112" t="b">
        <v>0</v>
      </c>
      <c r="K1386" s="112" t="b">
        <v>0</v>
      </c>
      <c r="L1386" s="112" t="b">
        <v>0</v>
      </c>
    </row>
    <row r="1387" spans="1:12" ht="15">
      <c r="A1387" s="112" t="s">
        <v>2206</v>
      </c>
      <c r="B1387" s="112" t="s">
        <v>2108</v>
      </c>
      <c r="C1387" s="112">
        <v>4</v>
      </c>
      <c r="D1387" s="114">
        <v>0.0028364679523930746</v>
      </c>
      <c r="E1387" s="114">
        <v>1.7783392159706086</v>
      </c>
      <c r="F1387" s="112" t="s">
        <v>2051</v>
      </c>
      <c r="G1387" s="112" t="b">
        <v>1</v>
      </c>
      <c r="H1387" s="112" t="b">
        <v>0</v>
      </c>
      <c r="I1387" s="112" t="b">
        <v>0</v>
      </c>
      <c r="J1387" s="112" t="b">
        <v>0</v>
      </c>
      <c r="K1387" s="112" t="b">
        <v>0</v>
      </c>
      <c r="L1387" s="112" t="b">
        <v>0</v>
      </c>
    </row>
    <row r="1388" spans="1:12" ht="15">
      <c r="A1388" s="112" t="s">
        <v>2383</v>
      </c>
      <c r="B1388" s="112" t="s">
        <v>2512</v>
      </c>
      <c r="C1388" s="112">
        <v>4</v>
      </c>
      <c r="D1388" s="114">
        <v>0.0028364679523930746</v>
      </c>
      <c r="E1388" s="114">
        <v>2.5856486950954656</v>
      </c>
      <c r="F1388" s="112" t="s">
        <v>2051</v>
      </c>
      <c r="G1388" s="112" t="b">
        <v>0</v>
      </c>
      <c r="H1388" s="112" t="b">
        <v>0</v>
      </c>
      <c r="I1388" s="112" t="b">
        <v>0</v>
      </c>
      <c r="J1388" s="112" t="b">
        <v>0</v>
      </c>
      <c r="K1388" s="112" t="b">
        <v>0</v>
      </c>
      <c r="L1388" s="112" t="b">
        <v>0</v>
      </c>
    </row>
    <row r="1389" spans="1:12" ht="15">
      <c r="A1389" s="112" t="s">
        <v>2508</v>
      </c>
      <c r="B1389" s="112" t="s">
        <v>2382</v>
      </c>
      <c r="C1389" s="112">
        <v>4</v>
      </c>
      <c r="D1389" s="114">
        <v>0.0028364679523930746</v>
      </c>
      <c r="E1389" s="114">
        <v>2.761739954151147</v>
      </c>
      <c r="F1389" s="112" t="s">
        <v>2051</v>
      </c>
      <c r="G1389" s="112" t="b">
        <v>0</v>
      </c>
      <c r="H1389" s="112" t="b">
        <v>0</v>
      </c>
      <c r="I1389" s="112" t="b">
        <v>0</v>
      </c>
      <c r="J1389" s="112" t="b">
        <v>0</v>
      </c>
      <c r="K1389" s="112" t="b">
        <v>0</v>
      </c>
      <c r="L1389" s="112" t="b">
        <v>0</v>
      </c>
    </row>
    <row r="1390" spans="1:12" ht="15">
      <c r="A1390" s="112" t="s">
        <v>2503</v>
      </c>
      <c r="B1390" s="112" t="s">
        <v>2251</v>
      </c>
      <c r="C1390" s="112">
        <v>4</v>
      </c>
      <c r="D1390" s="114">
        <v>0.0028364679523930746</v>
      </c>
      <c r="E1390" s="114">
        <v>2.3637999454791094</v>
      </c>
      <c r="F1390" s="112" t="s">
        <v>2051</v>
      </c>
      <c r="G1390" s="112" t="b">
        <v>0</v>
      </c>
      <c r="H1390" s="112" t="b">
        <v>0</v>
      </c>
      <c r="I1390" s="112" t="b">
        <v>0</v>
      </c>
      <c r="J1390" s="112" t="b">
        <v>0</v>
      </c>
      <c r="K1390" s="112" t="b">
        <v>0</v>
      </c>
      <c r="L1390" s="112" t="b">
        <v>0</v>
      </c>
    </row>
    <row r="1391" spans="1:12" ht="15">
      <c r="A1391" s="112" t="s">
        <v>2080</v>
      </c>
      <c r="B1391" s="112" t="s">
        <v>2083</v>
      </c>
      <c r="C1391" s="112">
        <v>3</v>
      </c>
      <c r="D1391" s="114">
        <v>0.002127350964294806</v>
      </c>
      <c r="E1391" s="114">
        <v>2.5187019054648525</v>
      </c>
      <c r="F1391" s="112" t="s">
        <v>2051</v>
      </c>
      <c r="G1391" s="112" t="b">
        <v>0</v>
      </c>
      <c r="H1391" s="112" t="b">
        <v>0</v>
      </c>
      <c r="I1391" s="112" t="b">
        <v>0</v>
      </c>
      <c r="J1391" s="112" t="b">
        <v>0</v>
      </c>
      <c r="K1391" s="112" t="b">
        <v>0</v>
      </c>
      <c r="L1391" s="112" t="b">
        <v>0</v>
      </c>
    </row>
    <row r="1392" spans="1:12" ht="15">
      <c r="A1392" s="112" t="s">
        <v>2095</v>
      </c>
      <c r="B1392" s="112" t="s">
        <v>2086</v>
      </c>
      <c r="C1392" s="112">
        <v>3</v>
      </c>
      <c r="D1392" s="114">
        <v>0.0015203264671959987</v>
      </c>
      <c r="E1392" s="114">
        <v>0.365395285159491</v>
      </c>
      <c r="F1392" s="112" t="s">
        <v>2051</v>
      </c>
      <c r="G1392" s="112" t="b">
        <v>0</v>
      </c>
      <c r="H1392" s="112" t="b">
        <v>0</v>
      </c>
      <c r="I1392" s="112" t="b">
        <v>0</v>
      </c>
      <c r="J1392" s="112" t="b">
        <v>0</v>
      </c>
      <c r="K1392" s="112" t="b">
        <v>0</v>
      </c>
      <c r="L1392" s="112" t="b">
        <v>0</v>
      </c>
    </row>
    <row r="1393" spans="1:12" ht="15">
      <c r="A1393" s="112" t="s">
        <v>2320</v>
      </c>
      <c r="B1393" s="112" t="s">
        <v>2662</v>
      </c>
      <c r="C1393" s="112">
        <v>3</v>
      </c>
      <c r="D1393" s="114">
        <v>0.002127350964294806</v>
      </c>
      <c r="E1393" s="114">
        <v>2.4607099584871657</v>
      </c>
      <c r="F1393" s="112" t="s">
        <v>2051</v>
      </c>
      <c r="G1393" s="112" t="b">
        <v>0</v>
      </c>
      <c r="H1393" s="112" t="b">
        <v>0</v>
      </c>
      <c r="I1393" s="112" t="b">
        <v>0</v>
      </c>
      <c r="J1393" s="112" t="b">
        <v>0</v>
      </c>
      <c r="K1393" s="112" t="b">
        <v>0</v>
      </c>
      <c r="L1393" s="112" t="b">
        <v>0</v>
      </c>
    </row>
    <row r="1394" spans="1:12" ht="15">
      <c r="A1394" s="112" t="s">
        <v>2154</v>
      </c>
      <c r="B1394" s="112" t="s">
        <v>2087</v>
      </c>
      <c r="C1394" s="112">
        <v>3</v>
      </c>
      <c r="D1394" s="114">
        <v>0.0017443611479284178</v>
      </c>
      <c r="E1394" s="114">
        <v>0.7343903463763903</v>
      </c>
      <c r="F1394" s="112" t="s">
        <v>2051</v>
      </c>
      <c r="G1394" s="112" t="b">
        <v>0</v>
      </c>
      <c r="H1394" s="112" t="b">
        <v>0</v>
      </c>
      <c r="I1394" s="112" t="b">
        <v>0</v>
      </c>
      <c r="J1394" s="112" t="b">
        <v>0</v>
      </c>
      <c r="K1394" s="112" t="b">
        <v>0</v>
      </c>
      <c r="L1394" s="112" t="b">
        <v>0</v>
      </c>
    </row>
    <row r="1395" spans="1:12" ht="15">
      <c r="A1395" s="112" t="s">
        <v>2130</v>
      </c>
      <c r="B1395" s="112" t="s">
        <v>2402</v>
      </c>
      <c r="C1395" s="112">
        <v>3</v>
      </c>
      <c r="D1395" s="114">
        <v>0.002127350964294806</v>
      </c>
      <c r="E1395" s="114">
        <v>1.7203472689929218</v>
      </c>
      <c r="F1395" s="112" t="s">
        <v>2051</v>
      </c>
      <c r="G1395" s="112" t="b">
        <v>0</v>
      </c>
      <c r="H1395" s="112" t="b">
        <v>0</v>
      </c>
      <c r="I1395" s="112" t="b">
        <v>0</v>
      </c>
      <c r="J1395" s="112" t="b">
        <v>0</v>
      </c>
      <c r="K1395" s="112" t="b">
        <v>0</v>
      </c>
      <c r="L1395" s="112" t="b">
        <v>0</v>
      </c>
    </row>
    <row r="1396" spans="1:12" ht="15">
      <c r="A1396" s="112" t="s">
        <v>2144</v>
      </c>
      <c r="B1396" s="112" t="s">
        <v>2144</v>
      </c>
      <c r="C1396" s="112">
        <v>3</v>
      </c>
      <c r="D1396" s="114">
        <v>0.0015203264671959987</v>
      </c>
      <c r="E1396" s="114">
        <v>1.3303761899921596</v>
      </c>
      <c r="F1396" s="112" t="s">
        <v>2051</v>
      </c>
      <c r="G1396" s="112" t="b">
        <v>0</v>
      </c>
      <c r="H1396" s="112" t="b">
        <v>0</v>
      </c>
      <c r="I1396" s="112" t="b">
        <v>0</v>
      </c>
      <c r="J1396" s="112" t="b">
        <v>0</v>
      </c>
      <c r="K1396" s="112" t="b">
        <v>0</v>
      </c>
      <c r="L1396" s="112" t="b">
        <v>0</v>
      </c>
    </row>
    <row r="1397" spans="1:12" ht="15">
      <c r="A1397" s="112" t="s">
        <v>2343</v>
      </c>
      <c r="B1397" s="112" t="s">
        <v>2081</v>
      </c>
      <c r="C1397" s="112">
        <v>3</v>
      </c>
      <c r="D1397" s="114">
        <v>0.0015203264671959987</v>
      </c>
      <c r="E1397" s="114">
        <v>1.1291139711575808</v>
      </c>
      <c r="F1397" s="112" t="s">
        <v>2051</v>
      </c>
      <c r="G1397" s="112" t="b">
        <v>0</v>
      </c>
      <c r="H1397" s="112" t="b">
        <v>0</v>
      </c>
      <c r="I1397" s="112" t="b">
        <v>0</v>
      </c>
      <c r="J1397" s="112" t="b">
        <v>0</v>
      </c>
      <c r="K1397" s="112" t="b">
        <v>0</v>
      </c>
      <c r="L1397" s="112" t="b">
        <v>0</v>
      </c>
    </row>
    <row r="1398" spans="1:12" ht="15">
      <c r="A1398" s="112" t="s">
        <v>2223</v>
      </c>
      <c r="B1398" s="112" t="s">
        <v>2165</v>
      </c>
      <c r="C1398" s="112">
        <v>3</v>
      </c>
      <c r="D1398" s="114">
        <v>0.0015203264671959987</v>
      </c>
      <c r="E1398" s="114">
        <v>1.6534004793623087</v>
      </c>
      <c r="F1398" s="112" t="s">
        <v>2051</v>
      </c>
      <c r="G1398" s="112" t="b">
        <v>0</v>
      </c>
      <c r="H1398" s="112" t="b">
        <v>0</v>
      </c>
      <c r="I1398" s="112" t="b">
        <v>0</v>
      </c>
      <c r="J1398" s="112" t="b">
        <v>0</v>
      </c>
      <c r="K1398" s="112" t="b">
        <v>0</v>
      </c>
      <c r="L1398" s="112" t="b">
        <v>0</v>
      </c>
    </row>
    <row r="1399" spans="1:12" ht="15">
      <c r="A1399" s="112" t="s">
        <v>2135</v>
      </c>
      <c r="B1399" s="112" t="s">
        <v>2350</v>
      </c>
      <c r="C1399" s="112">
        <v>3</v>
      </c>
      <c r="D1399" s="114">
        <v>0.0015203264671959987</v>
      </c>
      <c r="E1399" s="114">
        <v>1.7337112305509035</v>
      </c>
      <c r="F1399" s="112" t="s">
        <v>2051</v>
      </c>
      <c r="G1399" s="112" t="b">
        <v>0</v>
      </c>
      <c r="H1399" s="112" t="b">
        <v>0</v>
      </c>
      <c r="I1399" s="112" t="b">
        <v>0</v>
      </c>
      <c r="J1399" s="112" t="b">
        <v>0</v>
      </c>
      <c r="K1399" s="112" t="b">
        <v>0</v>
      </c>
      <c r="L1399" s="112" t="b">
        <v>0</v>
      </c>
    </row>
    <row r="1400" spans="1:12" ht="15">
      <c r="A1400" s="112" t="s">
        <v>2350</v>
      </c>
      <c r="B1400" s="112" t="s">
        <v>2153</v>
      </c>
      <c r="C1400" s="112">
        <v>3</v>
      </c>
      <c r="D1400" s="114">
        <v>0.0015203264671959987</v>
      </c>
      <c r="E1400" s="114">
        <v>2.761739954151147</v>
      </c>
      <c r="F1400" s="112" t="s">
        <v>2051</v>
      </c>
      <c r="G1400" s="112" t="b">
        <v>0</v>
      </c>
      <c r="H1400" s="112" t="b">
        <v>0</v>
      </c>
      <c r="I1400" s="112" t="b">
        <v>0</v>
      </c>
      <c r="J1400" s="112" t="b">
        <v>0</v>
      </c>
      <c r="K1400" s="112" t="b">
        <v>0</v>
      </c>
      <c r="L1400" s="112" t="b">
        <v>0</v>
      </c>
    </row>
    <row r="1401" spans="1:12" ht="15">
      <c r="A1401" s="112" t="s">
        <v>2153</v>
      </c>
      <c r="B1401" s="112" t="s">
        <v>2165</v>
      </c>
      <c r="C1401" s="112">
        <v>3</v>
      </c>
      <c r="D1401" s="114">
        <v>0.0015203264671959987</v>
      </c>
      <c r="E1401" s="114">
        <v>2.2176719098008713</v>
      </c>
      <c r="F1401" s="112" t="s">
        <v>2051</v>
      </c>
      <c r="G1401" s="112" t="b">
        <v>0</v>
      </c>
      <c r="H1401" s="112" t="b">
        <v>0</v>
      </c>
      <c r="I1401" s="112" t="b">
        <v>0</v>
      </c>
      <c r="J1401" s="112" t="b">
        <v>0</v>
      </c>
      <c r="K1401" s="112" t="b">
        <v>0</v>
      </c>
      <c r="L1401" s="112" t="b">
        <v>0</v>
      </c>
    </row>
    <row r="1402" spans="1:12" ht="15">
      <c r="A1402" s="112" t="s">
        <v>2135</v>
      </c>
      <c r="B1402" s="112" t="s">
        <v>2135</v>
      </c>
      <c r="C1402" s="112">
        <v>3</v>
      </c>
      <c r="D1402" s="114">
        <v>0.0015203264671959987</v>
      </c>
      <c r="E1402" s="114">
        <v>0.8306212435589598</v>
      </c>
      <c r="F1402" s="112" t="s">
        <v>2051</v>
      </c>
      <c r="G1402" s="112" t="b">
        <v>0</v>
      </c>
      <c r="H1402" s="112" t="b">
        <v>0</v>
      </c>
      <c r="I1402" s="112" t="b">
        <v>0</v>
      </c>
      <c r="J1402" s="112" t="b">
        <v>0</v>
      </c>
      <c r="K1402" s="112" t="b">
        <v>0</v>
      </c>
      <c r="L1402" s="112" t="b">
        <v>0</v>
      </c>
    </row>
    <row r="1403" spans="1:12" ht="15">
      <c r="A1403" s="112" t="s">
        <v>2078</v>
      </c>
      <c r="B1403" s="112" t="s">
        <v>2084</v>
      </c>
      <c r="C1403" s="112">
        <v>3</v>
      </c>
      <c r="D1403" s="114">
        <v>0.0015203264671959987</v>
      </c>
      <c r="E1403" s="114">
        <v>0.14948604805470966</v>
      </c>
      <c r="F1403" s="112" t="s">
        <v>2051</v>
      </c>
      <c r="G1403" s="112" t="b">
        <v>0</v>
      </c>
      <c r="H1403" s="112" t="b">
        <v>0</v>
      </c>
      <c r="I1403" s="112" t="b">
        <v>0</v>
      </c>
      <c r="J1403" s="112" t="b">
        <v>0</v>
      </c>
      <c r="K1403" s="112" t="b">
        <v>1</v>
      </c>
      <c r="L1403" s="112" t="b">
        <v>0</v>
      </c>
    </row>
    <row r="1404" spans="1:12" ht="15">
      <c r="A1404" s="112" t="s">
        <v>2106</v>
      </c>
      <c r="B1404" s="112" t="s">
        <v>2084</v>
      </c>
      <c r="C1404" s="112">
        <v>3</v>
      </c>
      <c r="D1404" s="114">
        <v>0.0015203264671959987</v>
      </c>
      <c r="E1404" s="114">
        <v>1.2054374533838597</v>
      </c>
      <c r="F1404" s="112" t="s">
        <v>2051</v>
      </c>
      <c r="G1404" s="112" t="b">
        <v>0</v>
      </c>
      <c r="H1404" s="112" t="b">
        <v>0</v>
      </c>
      <c r="I1404" s="112" t="b">
        <v>0</v>
      </c>
      <c r="J1404" s="112" t="b">
        <v>0</v>
      </c>
      <c r="K1404" s="112" t="b">
        <v>1</v>
      </c>
      <c r="L1404" s="112" t="b">
        <v>0</v>
      </c>
    </row>
    <row r="1405" spans="1:12" ht="15">
      <c r="A1405" s="112" t="s">
        <v>2660</v>
      </c>
      <c r="B1405" s="112" t="s">
        <v>2132</v>
      </c>
      <c r="C1405" s="112">
        <v>3</v>
      </c>
      <c r="D1405" s="114">
        <v>0.002127350964294806</v>
      </c>
      <c r="E1405" s="114">
        <v>2.2498565931722725</v>
      </c>
      <c r="F1405" s="112" t="s">
        <v>2051</v>
      </c>
      <c r="G1405" s="112" t="b">
        <v>0</v>
      </c>
      <c r="H1405" s="112" t="b">
        <v>1</v>
      </c>
      <c r="I1405" s="112" t="b">
        <v>0</v>
      </c>
      <c r="J1405" s="112" t="b">
        <v>0</v>
      </c>
      <c r="K1405" s="112" t="b">
        <v>0</v>
      </c>
      <c r="L1405" s="112" t="b">
        <v>0</v>
      </c>
    </row>
    <row r="1406" spans="1:12" ht="15">
      <c r="A1406" s="112" t="s">
        <v>2515</v>
      </c>
      <c r="B1406" s="112" t="s">
        <v>2078</v>
      </c>
      <c r="C1406" s="112">
        <v>3</v>
      </c>
      <c r="D1406" s="114">
        <v>0.0015203264671959987</v>
      </c>
      <c r="E1406" s="114">
        <v>0.8306212435589598</v>
      </c>
      <c r="F1406" s="112" t="s">
        <v>2051</v>
      </c>
      <c r="G1406" s="112" t="b">
        <v>0</v>
      </c>
      <c r="H1406" s="112" t="b">
        <v>0</v>
      </c>
      <c r="I1406" s="112" t="b">
        <v>0</v>
      </c>
      <c r="J1406" s="112" t="b">
        <v>0</v>
      </c>
      <c r="K1406" s="112" t="b">
        <v>0</v>
      </c>
      <c r="L1406" s="112" t="b">
        <v>0</v>
      </c>
    </row>
    <row r="1407" spans="1:12" ht="15">
      <c r="A1407" s="112" t="s">
        <v>2628</v>
      </c>
      <c r="B1407" s="112" t="s">
        <v>2087</v>
      </c>
      <c r="C1407" s="112">
        <v>3</v>
      </c>
      <c r="D1407" s="114">
        <v>0.0015203264671959987</v>
      </c>
      <c r="E1407" s="114">
        <v>1.512541596760034</v>
      </c>
      <c r="F1407" s="112" t="s">
        <v>2051</v>
      </c>
      <c r="G1407" s="112" t="b">
        <v>0</v>
      </c>
      <c r="H1407" s="112" t="b">
        <v>0</v>
      </c>
      <c r="I1407" s="112" t="b">
        <v>0</v>
      </c>
      <c r="J1407" s="112" t="b">
        <v>0</v>
      </c>
      <c r="K1407" s="112" t="b">
        <v>0</v>
      </c>
      <c r="L1407" s="112" t="b">
        <v>0</v>
      </c>
    </row>
    <row r="1408" spans="1:12" ht="15">
      <c r="A1408" s="112" t="s">
        <v>2143</v>
      </c>
      <c r="B1408" s="112" t="s">
        <v>2078</v>
      </c>
      <c r="C1408" s="112">
        <v>3</v>
      </c>
      <c r="D1408" s="114">
        <v>0.0015203264671959987</v>
      </c>
      <c r="E1408" s="114">
        <v>0.22856125223099746</v>
      </c>
      <c r="F1408" s="112" t="s">
        <v>2051</v>
      </c>
      <c r="G1408" s="112" t="b">
        <v>0</v>
      </c>
      <c r="H1408" s="112" t="b">
        <v>0</v>
      </c>
      <c r="I1408" s="112" t="b">
        <v>0</v>
      </c>
      <c r="J1408" s="112" t="b">
        <v>0</v>
      </c>
      <c r="K1408" s="112" t="b">
        <v>0</v>
      </c>
      <c r="L1408" s="112" t="b">
        <v>0</v>
      </c>
    </row>
    <row r="1409" spans="1:12" ht="15">
      <c r="A1409" s="112" t="s">
        <v>2140</v>
      </c>
      <c r="B1409" s="112" t="s">
        <v>2287</v>
      </c>
      <c r="C1409" s="112">
        <v>3</v>
      </c>
      <c r="D1409" s="114">
        <v>0.002127350964294806</v>
      </c>
      <c r="E1409" s="114">
        <v>1.7105874317037657</v>
      </c>
      <c r="F1409" s="112" t="s">
        <v>2051</v>
      </c>
      <c r="G1409" s="112" t="b">
        <v>0</v>
      </c>
      <c r="H1409" s="112" t="b">
        <v>0</v>
      </c>
      <c r="I1409" s="112" t="b">
        <v>0</v>
      </c>
      <c r="J1409" s="112" t="b">
        <v>0</v>
      </c>
      <c r="K1409" s="112" t="b">
        <v>0</v>
      </c>
      <c r="L1409" s="112" t="b">
        <v>0</v>
      </c>
    </row>
    <row r="1410" spans="1:12" ht="15">
      <c r="A1410" s="112" t="s">
        <v>2084</v>
      </c>
      <c r="B1410" s="112" t="s">
        <v>2087</v>
      </c>
      <c r="C1410" s="112">
        <v>3</v>
      </c>
      <c r="D1410" s="114">
        <v>0.0015203264671959987</v>
      </c>
      <c r="E1410" s="114">
        <v>0.7343903463763903</v>
      </c>
      <c r="F1410" s="112" t="s">
        <v>2051</v>
      </c>
      <c r="G1410" s="112" t="b">
        <v>0</v>
      </c>
      <c r="H1410" s="112" t="b">
        <v>1</v>
      </c>
      <c r="I1410" s="112" t="b">
        <v>0</v>
      </c>
      <c r="J1410" s="112" t="b">
        <v>0</v>
      </c>
      <c r="K1410" s="112" t="b">
        <v>0</v>
      </c>
      <c r="L1410" s="112" t="b">
        <v>0</v>
      </c>
    </row>
    <row r="1411" spans="1:12" ht="15">
      <c r="A1411" s="112" t="s">
        <v>2105</v>
      </c>
      <c r="B1411" s="112" t="s">
        <v>2087</v>
      </c>
      <c r="C1411" s="112">
        <v>3</v>
      </c>
      <c r="D1411" s="114">
        <v>0.0015203264671959987</v>
      </c>
      <c r="E1411" s="114">
        <v>1.2906928471436776</v>
      </c>
      <c r="F1411" s="112" t="s">
        <v>2051</v>
      </c>
      <c r="G1411" s="112" t="b">
        <v>0</v>
      </c>
      <c r="H1411" s="112" t="b">
        <v>0</v>
      </c>
      <c r="I1411" s="112" t="b">
        <v>0</v>
      </c>
      <c r="J1411" s="112" t="b">
        <v>0</v>
      </c>
      <c r="K1411" s="112" t="b">
        <v>0</v>
      </c>
      <c r="L1411" s="112" t="b">
        <v>0</v>
      </c>
    </row>
    <row r="1412" spans="1:12" ht="15">
      <c r="A1412" s="112" t="s">
        <v>2086</v>
      </c>
      <c r="B1412" s="112" t="s">
        <v>2097</v>
      </c>
      <c r="C1412" s="112">
        <v>3</v>
      </c>
      <c r="D1412" s="114">
        <v>0.0015203264671959987</v>
      </c>
      <c r="E1412" s="114">
        <v>0.8954526150669521</v>
      </c>
      <c r="F1412" s="112" t="s">
        <v>2051</v>
      </c>
      <c r="G1412" s="112" t="b">
        <v>0</v>
      </c>
      <c r="H1412" s="112" t="b">
        <v>0</v>
      </c>
      <c r="I1412" s="112" t="b">
        <v>0</v>
      </c>
      <c r="J1412" s="112" t="b">
        <v>0</v>
      </c>
      <c r="K1412" s="112" t="b">
        <v>0</v>
      </c>
      <c r="L1412" s="112" t="b">
        <v>0</v>
      </c>
    </row>
    <row r="1413" spans="1:12" ht="15">
      <c r="A1413" s="112" t="s">
        <v>2078</v>
      </c>
      <c r="B1413" s="112" t="s">
        <v>2157</v>
      </c>
      <c r="C1413" s="112">
        <v>3</v>
      </c>
      <c r="D1413" s="114">
        <v>0.0015203264671959987</v>
      </c>
      <c r="E1413" s="114">
        <v>0.25863051747977767</v>
      </c>
      <c r="F1413" s="112" t="s">
        <v>2051</v>
      </c>
      <c r="G1413" s="112" t="b">
        <v>0</v>
      </c>
      <c r="H1413" s="112" t="b">
        <v>0</v>
      </c>
      <c r="I1413" s="112" t="b">
        <v>0</v>
      </c>
      <c r="J1413" s="112" t="b">
        <v>0</v>
      </c>
      <c r="K1413" s="112" t="b">
        <v>0</v>
      </c>
      <c r="L1413" s="112" t="b">
        <v>0</v>
      </c>
    </row>
    <row r="1414" spans="1:12" ht="15">
      <c r="A1414" s="112" t="s">
        <v>2087</v>
      </c>
      <c r="B1414" s="112" t="s">
        <v>2098</v>
      </c>
      <c r="C1414" s="112">
        <v>3</v>
      </c>
      <c r="D1414" s="114">
        <v>0.0015203264671959987</v>
      </c>
      <c r="E1414" s="114">
        <v>0.7223258349750097</v>
      </c>
      <c r="F1414" s="112" t="s">
        <v>2051</v>
      </c>
      <c r="G1414" s="112" t="b">
        <v>0</v>
      </c>
      <c r="H1414" s="112" t="b">
        <v>0</v>
      </c>
      <c r="I1414" s="112" t="b">
        <v>0</v>
      </c>
      <c r="J1414" s="112" t="b">
        <v>1</v>
      </c>
      <c r="K1414" s="112" t="b">
        <v>0</v>
      </c>
      <c r="L1414" s="112" t="b">
        <v>0</v>
      </c>
    </row>
    <row r="1415" spans="1:12" ht="15">
      <c r="A1415" s="112" t="s">
        <v>2098</v>
      </c>
      <c r="B1415" s="112" t="s">
        <v>2078</v>
      </c>
      <c r="C1415" s="112">
        <v>3</v>
      </c>
      <c r="D1415" s="114">
        <v>0.0015203264671959987</v>
      </c>
      <c r="E1415" s="114">
        <v>0.17740872978361613</v>
      </c>
      <c r="F1415" s="112" t="s">
        <v>2051</v>
      </c>
      <c r="G1415" s="112" t="b">
        <v>1</v>
      </c>
      <c r="H1415" s="112" t="b">
        <v>0</v>
      </c>
      <c r="I1415" s="112" t="b">
        <v>0</v>
      </c>
      <c r="J1415" s="112" t="b">
        <v>0</v>
      </c>
      <c r="K1415" s="112" t="b">
        <v>0</v>
      </c>
      <c r="L1415" s="112" t="b">
        <v>0</v>
      </c>
    </row>
    <row r="1416" spans="1:12" ht="15">
      <c r="A1416" s="112" t="s">
        <v>2078</v>
      </c>
      <c r="B1416" s="112" t="s">
        <v>2313</v>
      </c>
      <c r="C1416" s="112">
        <v>3</v>
      </c>
      <c r="D1416" s="114">
        <v>0.0015203264671959987</v>
      </c>
      <c r="E1416" s="114">
        <v>0.9276372984383533</v>
      </c>
      <c r="F1416" s="112" t="s">
        <v>2051</v>
      </c>
      <c r="G1416" s="112" t="b">
        <v>0</v>
      </c>
      <c r="H1416" s="112" t="b">
        <v>0</v>
      </c>
      <c r="I1416" s="112" t="b">
        <v>0</v>
      </c>
      <c r="J1416" s="112" t="b">
        <v>0</v>
      </c>
      <c r="K1416" s="112" t="b">
        <v>0</v>
      </c>
      <c r="L1416" s="112" t="b">
        <v>0</v>
      </c>
    </row>
    <row r="1417" spans="1:12" ht="15">
      <c r="A1417" s="112" t="s">
        <v>2087</v>
      </c>
      <c r="B1417" s="112" t="s">
        <v>2092</v>
      </c>
      <c r="C1417" s="112">
        <v>3</v>
      </c>
      <c r="D1417" s="114">
        <v>0.0015203264671959987</v>
      </c>
      <c r="E1417" s="114">
        <v>1.5004770853586533</v>
      </c>
      <c r="F1417" s="112" t="s">
        <v>2051</v>
      </c>
      <c r="G1417" s="112" t="b">
        <v>0</v>
      </c>
      <c r="H1417" s="112" t="b">
        <v>0</v>
      </c>
      <c r="I1417" s="112" t="b">
        <v>0</v>
      </c>
      <c r="J1417" s="112" t="b">
        <v>0</v>
      </c>
      <c r="K1417" s="112" t="b">
        <v>0</v>
      </c>
      <c r="L1417" s="112" t="b">
        <v>0</v>
      </c>
    </row>
    <row r="1418" spans="1:12" ht="15">
      <c r="A1418" s="112" t="s">
        <v>2087</v>
      </c>
      <c r="B1418" s="112" t="s">
        <v>2258</v>
      </c>
      <c r="C1418" s="112">
        <v>3</v>
      </c>
      <c r="D1418" s="114">
        <v>0.0015203264671959987</v>
      </c>
      <c r="E1418" s="114">
        <v>1.3755383487503534</v>
      </c>
      <c r="F1418" s="112" t="s">
        <v>2051</v>
      </c>
      <c r="G1418" s="112" t="b">
        <v>0</v>
      </c>
      <c r="H1418" s="112" t="b">
        <v>0</v>
      </c>
      <c r="I1418" s="112" t="b">
        <v>0</v>
      </c>
      <c r="J1418" s="112" t="b">
        <v>0</v>
      </c>
      <c r="K1418" s="112" t="b">
        <v>0</v>
      </c>
      <c r="L1418" s="112" t="b">
        <v>0</v>
      </c>
    </row>
    <row r="1419" spans="1:12" ht="15">
      <c r="A1419" s="112" t="s">
        <v>2177</v>
      </c>
      <c r="B1419" s="112" t="s">
        <v>2098</v>
      </c>
      <c r="C1419" s="112">
        <v>3</v>
      </c>
      <c r="D1419" s="114">
        <v>0.0015203264671959987</v>
      </c>
      <c r="E1419" s="114">
        <v>1.4395206594172276</v>
      </c>
      <c r="F1419" s="112" t="s">
        <v>2051</v>
      </c>
      <c r="G1419" s="112" t="b">
        <v>0</v>
      </c>
      <c r="H1419" s="112" t="b">
        <v>0</v>
      </c>
      <c r="I1419" s="112" t="b">
        <v>0</v>
      </c>
      <c r="J1419" s="112" t="b">
        <v>1</v>
      </c>
      <c r="K1419" s="112" t="b">
        <v>0</v>
      </c>
      <c r="L1419" s="112" t="b">
        <v>0</v>
      </c>
    </row>
    <row r="1420" spans="1:12" ht="15">
      <c r="A1420" s="112" t="s">
        <v>2098</v>
      </c>
      <c r="B1420" s="112" t="s">
        <v>2086</v>
      </c>
      <c r="C1420" s="112">
        <v>3</v>
      </c>
      <c r="D1420" s="114">
        <v>0.0015203264671959987</v>
      </c>
      <c r="E1420" s="114">
        <v>0.8954526150669521</v>
      </c>
      <c r="F1420" s="112" t="s">
        <v>2051</v>
      </c>
      <c r="G1420" s="112" t="b">
        <v>1</v>
      </c>
      <c r="H1420" s="112" t="b">
        <v>0</v>
      </c>
      <c r="I1420" s="112" t="b">
        <v>0</v>
      </c>
      <c r="J1420" s="112" t="b">
        <v>0</v>
      </c>
      <c r="K1420" s="112" t="b">
        <v>0</v>
      </c>
      <c r="L1420" s="112" t="b">
        <v>0</v>
      </c>
    </row>
    <row r="1421" spans="1:12" ht="15">
      <c r="A1421" s="112" t="s">
        <v>2098</v>
      </c>
      <c r="B1421" s="112" t="s">
        <v>2256</v>
      </c>
      <c r="C1421" s="112">
        <v>3</v>
      </c>
      <c r="D1421" s="114">
        <v>0.0015203264671959987</v>
      </c>
      <c r="E1421" s="114">
        <v>1.6314061856561408</v>
      </c>
      <c r="F1421" s="112" t="s">
        <v>2051</v>
      </c>
      <c r="G1421" s="112" t="b">
        <v>1</v>
      </c>
      <c r="H1421" s="112" t="b">
        <v>0</v>
      </c>
      <c r="I1421" s="112" t="b">
        <v>0</v>
      </c>
      <c r="J1421" s="112" t="b">
        <v>0</v>
      </c>
      <c r="K1421" s="112" t="b">
        <v>0</v>
      </c>
      <c r="L1421" s="112" t="b">
        <v>0</v>
      </c>
    </row>
    <row r="1422" spans="1:12" ht="15">
      <c r="A1422" s="112" t="s">
        <v>2256</v>
      </c>
      <c r="B1422" s="112" t="s">
        <v>2098</v>
      </c>
      <c r="C1422" s="112">
        <v>3</v>
      </c>
      <c r="D1422" s="114">
        <v>0.0015203264671959987</v>
      </c>
      <c r="E1422" s="114">
        <v>1.6314061856561408</v>
      </c>
      <c r="F1422" s="112" t="s">
        <v>2051</v>
      </c>
      <c r="G1422" s="112" t="b">
        <v>0</v>
      </c>
      <c r="H1422" s="112" t="b">
        <v>0</v>
      </c>
      <c r="I1422" s="112" t="b">
        <v>0</v>
      </c>
      <c r="J1422" s="112" t="b">
        <v>1</v>
      </c>
      <c r="K1422" s="112" t="b">
        <v>0</v>
      </c>
      <c r="L1422" s="112" t="b">
        <v>0</v>
      </c>
    </row>
    <row r="1423" spans="1:12" ht="15">
      <c r="A1423" s="112" t="s">
        <v>2154</v>
      </c>
      <c r="B1423" s="112" t="s">
        <v>2098</v>
      </c>
      <c r="C1423" s="112">
        <v>3</v>
      </c>
      <c r="D1423" s="114">
        <v>0.0015203264671959987</v>
      </c>
      <c r="E1423" s="114">
        <v>1.3303761899921596</v>
      </c>
      <c r="F1423" s="112" t="s">
        <v>2051</v>
      </c>
      <c r="G1423" s="112" t="b">
        <v>0</v>
      </c>
      <c r="H1423" s="112" t="b">
        <v>0</v>
      </c>
      <c r="I1423" s="112" t="b">
        <v>0</v>
      </c>
      <c r="J1423" s="112" t="b">
        <v>1</v>
      </c>
      <c r="K1423" s="112" t="b">
        <v>0</v>
      </c>
      <c r="L1423" s="112" t="b">
        <v>0</v>
      </c>
    </row>
    <row r="1424" spans="1:12" ht="15">
      <c r="A1424" s="112" t="s">
        <v>2525</v>
      </c>
      <c r="B1424" s="112" t="s">
        <v>2213</v>
      </c>
      <c r="C1424" s="112">
        <v>3</v>
      </c>
      <c r="D1424" s="114">
        <v>0.002127350964294806</v>
      </c>
      <c r="E1424" s="114">
        <v>2.539891204534791</v>
      </c>
      <c r="F1424" s="112" t="s">
        <v>2051</v>
      </c>
      <c r="G1424" s="112" t="b">
        <v>0</v>
      </c>
      <c r="H1424" s="112" t="b">
        <v>0</v>
      </c>
      <c r="I1424" s="112" t="b">
        <v>0</v>
      </c>
      <c r="J1424" s="112" t="b">
        <v>0</v>
      </c>
      <c r="K1424" s="112" t="b">
        <v>1</v>
      </c>
      <c r="L1424" s="112" t="b">
        <v>0</v>
      </c>
    </row>
    <row r="1425" spans="1:12" ht="15">
      <c r="A1425" s="112" t="s">
        <v>2435</v>
      </c>
      <c r="B1425" s="112" t="s">
        <v>2078</v>
      </c>
      <c r="C1425" s="112">
        <v>3</v>
      </c>
      <c r="D1425" s="114">
        <v>0.0015203264671959987</v>
      </c>
      <c r="E1425" s="114">
        <v>0.7337112305509035</v>
      </c>
      <c r="F1425" s="112" t="s">
        <v>2051</v>
      </c>
      <c r="G1425" s="112" t="b">
        <v>0</v>
      </c>
      <c r="H1425" s="112" t="b">
        <v>0</v>
      </c>
      <c r="I1425" s="112" t="b">
        <v>0</v>
      </c>
      <c r="J1425" s="112" t="b">
        <v>0</v>
      </c>
      <c r="K1425" s="112" t="b">
        <v>0</v>
      </c>
      <c r="L1425" s="112" t="b">
        <v>0</v>
      </c>
    </row>
    <row r="1426" spans="1:12" ht="15">
      <c r="A1426" s="112" t="s">
        <v>2519</v>
      </c>
      <c r="B1426" s="112" t="s">
        <v>2078</v>
      </c>
      <c r="C1426" s="112">
        <v>3</v>
      </c>
      <c r="D1426" s="114">
        <v>0.0015203264671959987</v>
      </c>
      <c r="E1426" s="114">
        <v>0.9555599801672597</v>
      </c>
      <c r="F1426" s="112" t="s">
        <v>2051</v>
      </c>
      <c r="G1426" s="112" t="b">
        <v>1</v>
      </c>
      <c r="H1426" s="112" t="b">
        <v>0</v>
      </c>
      <c r="I1426" s="112" t="b">
        <v>0</v>
      </c>
      <c r="J1426" s="112" t="b">
        <v>0</v>
      </c>
      <c r="K1426" s="112" t="b">
        <v>0</v>
      </c>
      <c r="L1426" s="112" t="b">
        <v>0</v>
      </c>
    </row>
    <row r="1427" spans="1:12" ht="15">
      <c r="A1427" s="112" t="s">
        <v>2091</v>
      </c>
      <c r="B1427" s="112" t="s">
        <v>2261</v>
      </c>
      <c r="C1427" s="112">
        <v>3</v>
      </c>
      <c r="D1427" s="114">
        <v>0.0017443611479284178</v>
      </c>
      <c r="E1427" s="114">
        <v>2.2498565931722725</v>
      </c>
      <c r="F1427" s="112" t="s">
        <v>2051</v>
      </c>
      <c r="G1427" s="112" t="b">
        <v>0</v>
      </c>
      <c r="H1427" s="112" t="b">
        <v>0</v>
      </c>
      <c r="I1427" s="112" t="b">
        <v>0</v>
      </c>
      <c r="J1427" s="112" t="b">
        <v>0</v>
      </c>
      <c r="K1427" s="112" t="b">
        <v>0</v>
      </c>
      <c r="L1427" s="112" t="b">
        <v>0</v>
      </c>
    </row>
    <row r="1428" spans="1:12" ht="15">
      <c r="A1428" s="112" t="s">
        <v>2522</v>
      </c>
      <c r="B1428" s="112" t="s">
        <v>2353</v>
      </c>
      <c r="C1428" s="112">
        <v>3</v>
      </c>
      <c r="D1428" s="114">
        <v>0.002127350964294806</v>
      </c>
      <c r="E1428" s="114">
        <v>2.5856486950954656</v>
      </c>
      <c r="F1428" s="112" t="s">
        <v>2051</v>
      </c>
      <c r="G1428" s="112" t="b">
        <v>0</v>
      </c>
      <c r="H1428" s="112" t="b">
        <v>1</v>
      </c>
      <c r="I1428" s="112" t="b">
        <v>0</v>
      </c>
      <c r="J1428" s="112" t="b">
        <v>0</v>
      </c>
      <c r="K1428" s="112" t="b">
        <v>0</v>
      </c>
      <c r="L1428" s="112" t="b">
        <v>0</v>
      </c>
    </row>
    <row r="1429" spans="1:12" ht="15">
      <c r="A1429" s="112" t="s">
        <v>2078</v>
      </c>
      <c r="B1429" s="112" t="s">
        <v>2087</v>
      </c>
      <c r="C1429" s="112">
        <v>3</v>
      </c>
      <c r="D1429" s="114">
        <v>0.0015203264671959987</v>
      </c>
      <c r="E1429" s="114">
        <v>-0.44649979556105956</v>
      </c>
      <c r="F1429" s="112" t="s">
        <v>2051</v>
      </c>
      <c r="G1429" s="112" t="b">
        <v>0</v>
      </c>
      <c r="H1429" s="112" t="b">
        <v>0</v>
      </c>
      <c r="I1429" s="112" t="b">
        <v>0</v>
      </c>
      <c r="J1429" s="112" t="b">
        <v>0</v>
      </c>
      <c r="K1429" s="112" t="b">
        <v>0</v>
      </c>
      <c r="L1429" s="112" t="b">
        <v>0</v>
      </c>
    </row>
    <row r="1430" spans="1:12" ht="15">
      <c r="A1430" s="112" t="s">
        <v>2177</v>
      </c>
      <c r="B1430" s="112" t="s">
        <v>2140</v>
      </c>
      <c r="C1430" s="112">
        <v>3</v>
      </c>
      <c r="D1430" s="114">
        <v>0.0015203264671959987</v>
      </c>
      <c r="E1430" s="114">
        <v>1.490673181864609</v>
      </c>
      <c r="F1430" s="112" t="s">
        <v>2051</v>
      </c>
      <c r="G1430" s="112" t="b">
        <v>0</v>
      </c>
      <c r="H1430" s="112" t="b">
        <v>0</v>
      </c>
      <c r="I1430" s="112" t="b">
        <v>0</v>
      </c>
      <c r="J1430" s="112" t="b">
        <v>0</v>
      </c>
      <c r="K1430" s="112" t="b">
        <v>0</v>
      </c>
      <c r="L1430" s="112" t="b">
        <v>0</v>
      </c>
    </row>
    <row r="1431" spans="1:12" ht="15">
      <c r="A1431" s="112" t="s">
        <v>2310</v>
      </c>
      <c r="B1431" s="112" t="s">
        <v>2315</v>
      </c>
      <c r="C1431" s="112">
        <v>3</v>
      </c>
      <c r="D1431" s="114">
        <v>0.002127350964294806</v>
      </c>
      <c r="E1431" s="114">
        <v>2.6648299411430907</v>
      </c>
      <c r="F1431" s="112" t="s">
        <v>2051</v>
      </c>
      <c r="G1431" s="112" t="b">
        <v>0</v>
      </c>
      <c r="H1431" s="112" t="b">
        <v>0</v>
      </c>
      <c r="I1431" s="112" t="b">
        <v>0</v>
      </c>
      <c r="J1431" s="112" t="b">
        <v>0</v>
      </c>
      <c r="K1431" s="112" t="b">
        <v>0</v>
      </c>
      <c r="L1431" s="112" t="b">
        <v>0</v>
      </c>
    </row>
    <row r="1432" spans="1:12" ht="15">
      <c r="A1432" s="112" t="s">
        <v>2228</v>
      </c>
      <c r="B1432" s="112" t="s">
        <v>2106</v>
      </c>
      <c r="C1432" s="112">
        <v>3</v>
      </c>
      <c r="D1432" s="114">
        <v>0.002127350964294806</v>
      </c>
      <c r="E1432" s="114">
        <v>1.726977847891935</v>
      </c>
      <c r="F1432" s="112" t="s">
        <v>2051</v>
      </c>
      <c r="G1432" s="112" t="b">
        <v>0</v>
      </c>
      <c r="H1432" s="112" t="b">
        <v>1</v>
      </c>
      <c r="I1432" s="112" t="b">
        <v>0</v>
      </c>
      <c r="J1432" s="112" t="b">
        <v>0</v>
      </c>
      <c r="K1432" s="112" t="b">
        <v>0</v>
      </c>
      <c r="L1432" s="112" t="b">
        <v>0</v>
      </c>
    </row>
    <row r="1433" spans="1:12" ht="15">
      <c r="A1433" s="112" t="s">
        <v>2255</v>
      </c>
      <c r="B1433" s="112" t="s">
        <v>2502</v>
      </c>
      <c r="C1433" s="112">
        <v>3</v>
      </c>
      <c r="D1433" s="114">
        <v>0.0017443611479284178</v>
      </c>
      <c r="E1433" s="114">
        <v>2.2846186994314843</v>
      </c>
      <c r="F1433" s="112" t="s">
        <v>2051</v>
      </c>
      <c r="G1433" s="112" t="b">
        <v>0</v>
      </c>
      <c r="H1433" s="112" t="b">
        <v>0</v>
      </c>
      <c r="I1433" s="112" t="b">
        <v>0</v>
      </c>
      <c r="J1433" s="112" t="b">
        <v>0</v>
      </c>
      <c r="K1433" s="112" t="b">
        <v>0</v>
      </c>
      <c r="L1433" s="112" t="b">
        <v>0</v>
      </c>
    </row>
    <row r="1434" spans="1:12" ht="15">
      <c r="A1434" s="112" t="s">
        <v>2079</v>
      </c>
      <c r="B1434" s="112" t="s">
        <v>2191</v>
      </c>
      <c r="C1434" s="112">
        <v>3</v>
      </c>
      <c r="D1434" s="114">
        <v>0.002127350964294806</v>
      </c>
      <c r="E1434" s="114">
        <v>0.2675853601327042</v>
      </c>
      <c r="F1434" s="112" t="s">
        <v>2051</v>
      </c>
      <c r="G1434" s="112" t="b">
        <v>0</v>
      </c>
      <c r="H1434" s="112" t="b">
        <v>0</v>
      </c>
      <c r="I1434" s="112" t="b">
        <v>0</v>
      </c>
      <c r="J1434" s="112" t="b">
        <v>0</v>
      </c>
      <c r="K1434" s="112" t="b">
        <v>0</v>
      </c>
      <c r="L1434" s="112" t="b">
        <v>0</v>
      </c>
    </row>
    <row r="1435" spans="1:12" ht="15">
      <c r="A1435" s="112" t="s">
        <v>2191</v>
      </c>
      <c r="B1435" s="112" t="s">
        <v>2212</v>
      </c>
      <c r="C1435" s="112">
        <v>3</v>
      </c>
      <c r="D1435" s="114">
        <v>0.002127350964294806</v>
      </c>
      <c r="E1435" s="114">
        <v>1.5954085323846219</v>
      </c>
      <c r="F1435" s="112" t="s">
        <v>2051</v>
      </c>
      <c r="G1435" s="112" t="b">
        <v>0</v>
      </c>
      <c r="H1435" s="112" t="b">
        <v>0</v>
      </c>
      <c r="I1435" s="112" t="b">
        <v>0</v>
      </c>
      <c r="J1435" s="112" t="b">
        <v>0</v>
      </c>
      <c r="K1435" s="112" t="b">
        <v>0</v>
      </c>
      <c r="L1435" s="112" t="b">
        <v>0</v>
      </c>
    </row>
    <row r="1436" spans="1:12" ht="15">
      <c r="A1436" s="112" t="s">
        <v>2191</v>
      </c>
      <c r="B1436" s="112" t="s">
        <v>2191</v>
      </c>
      <c r="C1436" s="112">
        <v>3</v>
      </c>
      <c r="D1436" s="114">
        <v>0.002127350964294806</v>
      </c>
      <c r="E1436" s="114">
        <v>1.4326812348869222</v>
      </c>
      <c r="F1436" s="112" t="s">
        <v>2051</v>
      </c>
      <c r="G1436" s="112" t="b">
        <v>0</v>
      </c>
      <c r="H1436" s="112" t="b">
        <v>0</v>
      </c>
      <c r="I1436" s="112" t="b">
        <v>0</v>
      </c>
      <c r="J1436" s="112" t="b">
        <v>0</v>
      </c>
      <c r="K1436" s="112" t="b">
        <v>0</v>
      </c>
      <c r="L1436" s="112" t="b">
        <v>0</v>
      </c>
    </row>
    <row r="1437" spans="1:12" ht="15">
      <c r="A1437" s="112" t="s">
        <v>2282</v>
      </c>
      <c r="B1437" s="112" t="s">
        <v>2259</v>
      </c>
      <c r="C1437" s="112">
        <v>3</v>
      </c>
      <c r="D1437" s="114">
        <v>0.002127350964294806</v>
      </c>
      <c r="E1437" s="114">
        <v>2.539891204534791</v>
      </c>
      <c r="F1437" s="112" t="s">
        <v>2051</v>
      </c>
      <c r="G1437" s="112" t="b">
        <v>0</v>
      </c>
      <c r="H1437" s="112" t="b">
        <v>0</v>
      </c>
      <c r="I1437" s="112" t="b">
        <v>0</v>
      </c>
      <c r="J1437" s="112" t="b">
        <v>0</v>
      </c>
      <c r="K1437" s="112" t="b">
        <v>0</v>
      </c>
      <c r="L1437" s="112" t="b">
        <v>0</v>
      </c>
    </row>
    <row r="1438" spans="1:12" ht="15">
      <c r="A1438" s="112" t="s">
        <v>2167</v>
      </c>
      <c r="B1438" s="112" t="s">
        <v>2211</v>
      </c>
      <c r="C1438" s="112">
        <v>3</v>
      </c>
      <c r="D1438" s="114">
        <v>0.002127350964294806</v>
      </c>
      <c r="E1438" s="114">
        <v>1.682558708103522</v>
      </c>
      <c r="F1438" s="112" t="s">
        <v>2051</v>
      </c>
      <c r="G1438" s="112" t="b">
        <v>0</v>
      </c>
      <c r="H1438" s="112" t="b">
        <v>0</v>
      </c>
      <c r="I1438" s="112" t="b">
        <v>0</v>
      </c>
      <c r="J1438" s="112" t="b">
        <v>0</v>
      </c>
      <c r="K1438" s="112" t="b">
        <v>0</v>
      </c>
      <c r="L1438" s="112" t="b">
        <v>0</v>
      </c>
    </row>
    <row r="1439" spans="1:12" ht="15">
      <c r="A1439" s="112" t="s">
        <v>2197</v>
      </c>
      <c r="B1439" s="112" t="s">
        <v>2206</v>
      </c>
      <c r="C1439" s="112">
        <v>3</v>
      </c>
      <c r="D1439" s="114">
        <v>0.002127350964294806</v>
      </c>
      <c r="E1439" s="114">
        <v>1.580849812213697</v>
      </c>
      <c r="F1439" s="112" t="s">
        <v>2051</v>
      </c>
      <c r="G1439" s="112" t="b">
        <v>0</v>
      </c>
      <c r="H1439" s="112" t="b">
        <v>0</v>
      </c>
      <c r="I1439" s="112" t="b">
        <v>0</v>
      </c>
      <c r="J1439" s="112" t="b">
        <v>1</v>
      </c>
      <c r="K1439" s="112" t="b">
        <v>0</v>
      </c>
      <c r="L1439" s="112" t="b">
        <v>0</v>
      </c>
    </row>
    <row r="1440" spans="1:12" ht="15">
      <c r="A1440" s="112" t="s">
        <v>2079</v>
      </c>
      <c r="B1440" s="112" t="s">
        <v>2384</v>
      </c>
      <c r="C1440" s="112">
        <v>3</v>
      </c>
      <c r="D1440" s="114">
        <v>0.0017443611479284178</v>
      </c>
      <c r="E1440" s="114">
        <v>0.6935540924049852</v>
      </c>
      <c r="F1440" s="112" t="s">
        <v>2051</v>
      </c>
      <c r="G1440" s="112" t="b">
        <v>0</v>
      </c>
      <c r="H1440" s="112" t="b">
        <v>0</v>
      </c>
      <c r="I1440" s="112" t="b">
        <v>0</v>
      </c>
      <c r="J1440" s="112" t="b">
        <v>0</v>
      </c>
      <c r="K1440" s="112" t="b">
        <v>0</v>
      </c>
      <c r="L1440" s="112" t="b">
        <v>0</v>
      </c>
    </row>
    <row r="1441" spans="1:12" ht="15">
      <c r="A1441" s="112" t="s">
        <v>2627</v>
      </c>
      <c r="B1441" s="112" t="s">
        <v>2177</v>
      </c>
      <c r="C1441" s="112">
        <v>3</v>
      </c>
      <c r="D1441" s="114">
        <v>0.0017443611479284178</v>
      </c>
      <c r="E1441" s="114">
        <v>2.2176719098008713</v>
      </c>
      <c r="F1441" s="112" t="s">
        <v>2051</v>
      </c>
      <c r="G1441" s="112" t="b">
        <v>0</v>
      </c>
      <c r="H1441" s="112" t="b">
        <v>0</v>
      </c>
      <c r="I1441" s="112" t="b">
        <v>0</v>
      </c>
      <c r="J1441" s="112" t="b">
        <v>0</v>
      </c>
      <c r="K1441" s="112" t="b">
        <v>0</v>
      </c>
      <c r="L1441" s="112" t="b">
        <v>0</v>
      </c>
    </row>
    <row r="1442" spans="1:12" ht="15">
      <c r="A1442" s="112" t="s">
        <v>2433</v>
      </c>
      <c r="B1442" s="112" t="s">
        <v>2345</v>
      </c>
      <c r="C1442" s="112">
        <v>3</v>
      </c>
      <c r="D1442" s="114">
        <v>0.002127350964294806</v>
      </c>
      <c r="E1442" s="114">
        <v>2.2968531558484964</v>
      </c>
      <c r="F1442" s="112" t="s">
        <v>2051</v>
      </c>
      <c r="G1442" s="112" t="b">
        <v>0</v>
      </c>
      <c r="H1442" s="112" t="b">
        <v>0</v>
      </c>
      <c r="I1442" s="112" t="b">
        <v>0</v>
      </c>
      <c r="J1442" s="112" t="b">
        <v>0</v>
      </c>
      <c r="K1442" s="112" t="b">
        <v>1</v>
      </c>
      <c r="L1442" s="112" t="b">
        <v>0</v>
      </c>
    </row>
    <row r="1443" spans="1:12" ht="15">
      <c r="A1443" s="112" t="s">
        <v>2434</v>
      </c>
      <c r="B1443" s="112" t="s">
        <v>2626</v>
      </c>
      <c r="C1443" s="112">
        <v>3</v>
      </c>
      <c r="D1443" s="114">
        <v>0.002127350964294806</v>
      </c>
      <c r="E1443" s="114">
        <v>2.886678690759447</v>
      </c>
      <c r="F1443" s="112" t="s">
        <v>2051</v>
      </c>
      <c r="G1443" s="112" t="b">
        <v>0</v>
      </c>
      <c r="H1443" s="112" t="b">
        <v>0</v>
      </c>
      <c r="I1443" s="112" t="b">
        <v>0</v>
      </c>
      <c r="J1443" s="112" t="b">
        <v>0</v>
      </c>
      <c r="K1443" s="112" t="b">
        <v>0</v>
      </c>
      <c r="L1443" s="112" t="b">
        <v>0</v>
      </c>
    </row>
    <row r="1444" spans="1:12" ht="15">
      <c r="A1444" s="112" t="s">
        <v>2251</v>
      </c>
      <c r="B1444" s="112" t="s">
        <v>2188</v>
      </c>
      <c r="C1444" s="112">
        <v>3</v>
      </c>
      <c r="D1444" s="114">
        <v>0.002127350964294806</v>
      </c>
      <c r="E1444" s="114">
        <v>2.2388612088708095</v>
      </c>
      <c r="F1444" s="112" t="s">
        <v>2051</v>
      </c>
      <c r="G1444" s="112" t="b">
        <v>0</v>
      </c>
      <c r="H1444" s="112" t="b">
        <v>0</v>
      </c>
      <c r="I1444" s="112" t="b">
        <v>0</v>
      </c>
      <c r="J1444" s="112" t="b">
        <v>0</v>
      </c>
      <c r="K1444" s="112" t="b">
        <v>0</v>
      </c>
      <c r="L1444" s="112" t="b">
        <v>0</v>
      </c>
    </row>
    <row r="1445" spans="1:12" ht="15">
      <c r="A1445" s="112" t="s">
        <v>2276</v>
      </c>
      <c r="B1445" s="112" t="s">
        <v>2090</v>
      </c>
      <c r="C1445" s="112">
        <v>2</v>
      </c>
      <c r="D1445" s="114">
        <v>0.0014182339761965373</v>
      </c>
      <c r="E1445" s="114">
        <v>2.021377264656903</v>
      </c>
      <c r="F1445" s="112" t="s">
        <v>2051</v>
      </c>
      <c r="G1445" s="112" t="b">
        <v>0</v>
      </c>
      <c r="H1445" s="112" t="b">
        <v>0</v>
      </c>
      <c r="I1445" s="112" t="b">
        <v>0</v>
      </c>
      <c r="J1445" s="112" t="b">
        <v>0</v>
      </c>
      <c r="K1445" s="112" t="b">
        <v>0</v>
      </c>
      <c r="L1445" s="112" t="b">
        <v>0</v>
      </c>
    </row>
    <row r="1446" spans="1:12" ht="15">
      <c r="A1446" s="112" t="s">
        <v>2320</v>
      </c>
      <c r="B1446" s="112" t="s">
        <v>2320</v>
      </c>
      <c r="C1446" s="112">
        <v>2</v>
      </c>
      <c r="D1446" s="114">
        <v>0.0014182339761965373</v>
      </c>
      <c r="E1446" s="114">
        <v>1.8586499671592034</v>
      </c>
      <c r="F1446" s="112" t="s">
        <v>2051</v>
      </c>
      <c r="G1446" s="112" t="b">
        <v>0</v>
      </c>
      <c r="H1446" s="112" t="b">
        <v>0</v>
      </c>
      <c r="I1446" s="112" t="b">
        <v>0</v>
      </c>
      <c r="J1446" s="112" t="b">
        <v>0</v>
      </c>
      <c r="K1446" s="112" t="b">
        <v>0</v>
      </c>
      <c r="L1446" s="112" t="b">
        <v>0</v>
      </c>
    </row>
    <row r="1447" spans="1:12" ht="15">
      <c r="A1447" s="112" t="s">
        <v>2662</v>
      </c>
      <c r="B1447" s="112" t="s">
        <v>2534</v>
      </c>
      <c r="C1447" s="112">
        <v>2</v>
      </c>
      <c r="D1447" s="114">
        <v>0.0014182339761965373</v>
      </c>
      <c r="E1447" s="114">
        <v>2.5856486950954656</v>
      </c>
      <c r="F1447" s="112" t="s">
        <v>2051</v>
      </c>
      <c r="G1447" s="112" t="b">
        <v>0</v>
      </c>
      <c r="H1447" s="112" t="b">
        <v>0</v>
      </c>
      <c r="I1447" s="112" t="b">
        <v>0</v>
      </c>
      <c r="J1447" s="112" t="b">
        <v>0</v>
      </c>
      <c r="K1447" s="112" t="b">
        <v>0</v>
      </c>
      <c r="L1447" s="112" t="b">
        <v>0</v>
      </c>
    </row>
    <row r="1448" spans="1:12" ht="15">
      <c r="A1448" s="112" t="s">
        <v>2130</v>
      </c>
      <c r="B1448" s="112" t="s">
        <v>2152</v>
      </c>
      <c r="C1448" s="112">
        <v>2</v>
      </c>
      <c r="D1448" s="114">
        <v>0.0011629074319522783</v>
      </c>
      <c r="E1448" s="114">
        <v>1.0436536593680552</v>
      </c>
      <c r="F1448" s="112" t="s">
        <v>2051</v>
      </c>
      <c r="G1448" s="112" t="b">
        <v>0</v>
      </c>
      <c r="H1448" s="112" t="b">
        <v>0</v>
      </c>
      <c r="I1448" s="112" t="b">
        <v>0</v>
      </c>
      <c r="J1448" s="112" t="b">
        <v>0</v>
      </c>
      <c r="K1448" s="112" t="b">
        <v>0</v>
      </c>
      <c r="L1448" s="112" t="b">
        <v>0</v>
      </c>
    </row>
    <row r="1449" spans="1:12" ht="15">
      <c r="A1449" s="112" t="s">
        <v>2533</v>
      </c>
      <c r="B1449" s="112" t="s">
        <v>2130</v>
      </c>
      <c r="C1449" s="112">
        <v>2</v>
      </c>
      <c r="D1449" s="114">
        <v>0.0014182339761965373</v>
      </c>
      <c r="E1449" s="114">
        <v>1.8452860056012217</v>
      </c>
      <c r="F1449" s="112" t="s">
        <v>2051</v>
      </c>
      <c r="G1449" s="112" t="b">
        <v>0</v>
      </c>
      <c r="H1449" s="112" t="b">
        <v>0</v>
      </c>
      <c r="I1449" s="112" t="b">
        <v>0</v>
      </c>
      <c r="J1449" s="112" t="b">
        <v>0</v>
      </c>
      <c r="K1449" s="112" t="b">
        <v>0</v>
      </c>
      <c r="L1449" s="112" t="b">
        <v>0</v>
      </c>
    </row>
    <row r="1450" spans="1:12" ht="15">
      <c r="A1450" s="112" t="s">
        <v>2400</v>
      </c>
      <c r="B1450" s="112" t="s">
        <v>2400</v>
      </c>
      <c r="C1450" s="112">
        <v>2</v>
      </c>
      <c r="D1450" s="114">
        <v>0.0014182339761965373</v>
      </c>
      <c r="E1450" s="114">
        <v>2.1085274403758034</v>
      </c>
      <c r="F1450" s="112" t="s">
        <v>2051</v>
      </c>
      <c r="G1450" s="112" t="b">
        <v>0</v>
      </c>
      <c r="H1450" s="112" t="b">
        <v>0</v>
      </c>
      <c r="I1450" s="112" t="b">
        <v>0</v>
      </c>
      <c r="J1450" s="112" t="b">
        <v>0</v>
      </c>
      <c r="K1450" s="112" t="b">
        <v>0</v>
      </c>
      <c r="L1450" s="112" t="b">
        <v>0</v>
      </c>
    </row>
    <row r="1451" spans="1:12" ht="15">
      <c r="A1451" s="112" t="s">
        <v>2132</v>
      </c>
      <c r="B1451" s="112" t="s">
        <v>2883</v>
      </c>
      <c r="C1451" s="112">
        <v>2</v>
      </c>
      <c r="D1451" s="114">
        <v>0.0014182339761965373</v>
      </c>
      <c r="E1451" s="114">
        <v>2.2498565931722725</v>
      </c>
      <c r="F1451" s="112" t="s">
        <v>2051</v>
      </c>
      <c r="G1451" s="112" t="b">
        <v>0</v>
      </c>
      <c r="H1451" s="112" t="b">
        <v>0</v>
      </c>
      <c r="I1451" s="112" t="b">
        <v>0</v>
      </c>
      <c r="J1451" s="112" t="b">
        <v>0</v>
      </c>
      <c r="K1451" s="112" t="b">
        <v>0</v>
      </c>
      <c r="L1451" s="112" t="b">
        <v>0</v>
      </c>
    </row>
    <row r="1452" spans="1:12" ht="15">
      <c r="A1452" s="112" t="s">
        <v>2319</v>
      </c>
      <c r="B1452" s="112" t="s">
        <v>2262</v>
      </c>
      <c r="C1452" s="112">
        <v>2</v>
      </c>
      <c r="D1452" s="114">
        <v>0.0014182339761965373</v>
      </c>
      <c r="E1452" s="114">
        <v>1.807497444711822</v>
      </c>
      <c r="F1452" s="112" t="s">
        <v>2051</v>
      </c>
      <c r="G1452" s="112" t="b">
        <v>0</v>
      </c>
      <c r="H1452" s="112" t="b">
        <v>0</v>
      </c>
      <c r="I1452" s="112" t="b">
        <v>0</v>
      </c>
      <c r="J1452" s="112" t="b">
        <v>0</v>
      </c>
      <c r="K1452" s="112" t="b">
        <v>0</v>
      </c>
      <c r="L1452" s="112" t="b">
        <v>0</v>
      </c>
    </row>
    <row r="1453" spans="1:12" ht="15">
      <c r="A1453" s="112" t="s">
        <v>2262</v>
      </c>
      <c r="B1453" s="112" t="s">
        <v>2255</v>
      </c>
      <c r="C1453" s="112">
        <v>2</v>
      </c>
      <c r="D1453" s="114">
        <v>0.0014182339761965373</v>
      </c>
      <c r="E1453" s="114">
        <v>1.807497444711822</v>
      </c>
      <c r="F1453" s="112" t="s">
        <v>2051</v>
      </c>
      <c r="G1453" s="112" t="b">
        <v>0</v>
      </c>
      <c r="H1453" s="112" t="b">
        <v>0</v>
      </c>
      <c r="I1453" s="112" t="b">
        <v>0</v>
      </c>
      <c r="J1453" s="112" t="b">
        <v>0</v>
      </c>
      <c r="K1453" s="112" t="b">
        <v>0</v>
      </c>
      <c r="L1453" s="112" t="b">
        <v>0</v>
      </c>
    </row>
    <row r="1454" spans="1:12" ht="15">
      <c r="A1454" s="112" t="s">
        <v>2086</v>
      </c>
      <c r="B1454" s="112" t="s">
        <v>2530</v>
      </c>
      <c r="C1454" s="112">
        <v>2</v>
      </c>
      <c r="D1454" s="114">
        <v>0.0011629074319522783</v>
      </c>
      <c r="E1454" s="114">
        <v>1.3725738697866146</v>
      </c>
      <c r="F1454" s="112" t="s">
        <v>2051</v>
      </c>
      <c r="G1454" s="112" t="b">
        <v>0</v>
      </c>
      <c r="H1454" s="112" t="b">
        <v>0</v>
      </c>
      <c r="I1454" s="112" t="b">
        <v>0</v>
      </c>
      <c r="J1454" s="112" t="b">
        <v>0</v>
      </c>
      <c r="K1454" s="112" t="b">
        <v>0</v>
      </c>
      <c r="L1454" s="112" t="b">
        <v>0</v>
      </c>
    </row>
    <row r="1455" spans="1:12" ht="15">
      <c r="A1455" s="112" t="s">
        <v>2659</v>
      </c>
      <c r="B1455" s="112" t="s">
        <v>2278</v>
      </c>
      <c r="C1455" s="112">
        <v>2</v>
      </c>
      <c r="D1455" s="114">
        <v>0.0014182339761965373</v>
      </c>
      <c r="E1455" s="114">
        <v>2.4095574360397842</v>
      </c>
      <c r="F1455" s="112" t="s">
        <v>2051</v>
      </c>
      <c r="G1455" s="112" t="b">
        <v>0</v>
      </c>
      <c r="H1455" s="112" t="b">
        <v>1</v>
      </c>
      <c r="I1455" s="112" t="b">
        <v>0</v>
      </c>
      <c r="J1455" s="112" t="b">
        <v>1</v>
      </c>
      <c r="K1455" s="112" t="b">
        <v>0</v>
      </c>
      <c r="L1455" s="112" t="b">
        <v>0</v>
      </c>
    </row>
    <row r="1456" spans="1:12" ht="15">
      <c r="A1456" s="112" t="s">
        <v>2278</v>
      </c>
      <c r="B1456" s="112" t="s">
        <v>2659</v>
      </c>
      <c r="C1456" s="112">
        <v>2</v>
      </c>
      <c r="D1456" s="114">
        <v>0.0014182339761965373</v>
      </c>
      <c r="E1456" s="114">
        <v>2.4095574360397842</v>
      </c>
      <c r="F1456" s="112" t="s">
        <v>2051</v>
      </c>
      <c r="G1456" s="112" t="b">
        <v>1</v>
      </c>
      <c r="H1456" s="112" t="b">
        <v>0</v>
      </c>
      <c r="I1456" s="112" t="b">
        <v>0</v>
      </c>
      <c r="J1456" s="112" t="b">
        <v>0</v>
      </c>
      <c r="K1456" s="112" t="b">
        <v>1</v>
      </c>
      <c r="L1456" s="112" t="b">
        <v>0</v>
      </c>
    </row>
    <row r="1457" spans="1:12" ht="15">
      <c r="A1457" s="112" t="s">
        <v>2087</v>
      </c>
      <c r="B1457" s="112" t="s">
        <v>2087</v>
      </c>
      <c r="C1457" s="112">
        <v>2</v>
      </c>
      <c r="D1457" s="114">
        <v>0.0011629074319522783</v>
      </c>
      <c r="E1457" s="114">
        <v>-0.04975126769644075</v>
      </c>
      <c r="F1457" s="112" t="s">
        <v>2051</v>
      </c>
      <c r="G1457" s="112" t="b">
        <v>0</v>
      </c>
      <c r="H1457" s="112" t="b">
        <v>0</v>
      </c>
      <c r="I1457" s="112" t="b">
        <v>0</v>
      </c>
      <c r="J1457" s="112" t="b">
        <v>0</v>
      </c>
      <c r="K1457" s="112" t="b">
        <v>0</v>
      </c>
      <c r="L1457" s="112" t="b">
        <v>0</v>
      </c>
    </row>
    <row r="1458" spans="1:12" ht="15">
      <c r="A1458" s="112" t="s">
        <v>2166</v>
      </c>
      <c r="B1458" s="112" t="s">
        <v>2143</v>
      </c>
      <c r="C1458" s="112">
        <v>2</v>
      </c>
      <c r="D1458" s="114">
        <v>0.0011629074319522783</v>
      </c>
      <c r="E1458" s="114">
        <v>1.2302610371088918</v>
      </c>
      <c r="F1458" s="112" t="s">
        <v>2051</v>
      </c>
      <c r="G1458" s="112" t="b">
        <v>0</v>
      </c>
      <c r="H1458" s="112" t="b">
        <v>0</v>
      </c>
      <c r="I1458" s="112" t="b">
        <v>0</v>
      </c>
      <c r="J1458" s="112" t="b">
        <v>0</v>
      </c>
      <c r="K1458" s="112" t="b">
        <v>0</v>
      </c>
      <c r="L1458" s="112" t="b">
        <v>0</v>
      </c>
    </row>
    <row r="1459" spans="1:12" ht="15">
      <c r="A1459" s="112" t="s">
        <v>2078</v>
      </c>
      <c r="B1459" s="112" t="s">
        <v>2654</v>
      </c>
      <c r="C1459" s="112">
        <v>2</v>
      </c>
      <c r="D1459" s="114">
        <v>0.0011629074319522783</v>
      </c>
      <c r="E1459" s="114">
        <v>0.9276372984383533</v>
      </c>
      <c r="F1459" s="112" t="s">
        <v>2051</v>
      </c>
      <c r="G1459" s="112" t="b">
        <v>0</v>
      </c>
      <c r="H1459" s="112" t="b">
        <v>0</v>
      </c>
      <c r="I1459" s="112" t="b">
        <v>0</v>
      </c>
      <c r="J1459" s="112" t="b">
        <v>0</v>
      </c>
      <c r="K1459" s="112" t="b">
        <v>0</v>
      </c>
      <c r="L1459" s="112" t="b">
        <v>0</v>
      </c>
    </row>
    <row r="1460" spans="1:12" ht="15">
      <c r="A1460" s="112" t="s">
        <v>2654</v>
      </c>
      <c r="B1460" s="112" t="s">
        <v>2087</v>
      </c>
      <c r="C1460" s="112">
        <v>2</v>
      </c>
      <c r="D1460" s="114">
        <v>0.0011629074319522783</v>
      </c>
      <c r="E1460" s="114">
        <v>1.512541596760034</v>
      </c>
      <c r="F1460" s="112" t="s">
        <v>2051</v>
      </c>
      <c r="G1460" s="112" t="b">
        <v>0</v>
      </c>
      <c r="H1460" s="112" t="b">
        <v>0</v>
      </c>
      <c r="I1460" s="112" t="b">
        <v>0</v>
      </c>
      <c r="J1460" s="112" t="b">
        <v>0</v>
      </c>
      <c r="K1460" s="112" t="b">
        <v>0</v>
      </c>
      <c r="L1460" s="112" t="b">
        <v>0</v>
      </c>
    </row>
    <row r="1461" spans="1:12" ht="15">
      <c r="A1461" s="112" t="s">
        <v>2087</v>
      </c>
      <c r="B1461" s="112" t="s">
        <v>2078</v>
      </c>
      <c r="C1461" s="112">
        <v>2</v>
      </c>
      <c r="D1461" s="114">
        <v>0.0011629074319522783</v>
      </c>
      <c r="E1461" s="114">
        <v>-0.606732884289215</v>
      </c>
      <c r="F1461" s="112" t="s">
        <v>2051</v>
      </c>
      <c r="G1461" s="112" t="b">
        <v>0</v>
      </c>
      <c r="H1461" s="112" t="b">
        <v>0</v>
      </c>
      <c r="I1461" s="112" t="b">
        <v>0</v>
      </c>
      <c r="J1461" s="112" t="b">
        <v>0</v>
      </c>
      <c r="K1461" s="112" t="b">
        <v>0</v>
      </c>
      <c r="L1461" s="112" t="b">
        <v>0</v>
      </c>
    </row>
    <row r="1462" spans="1:12" ht="15">
      <c r="A1462" s="112" t="s">
        <v>2079</v>
      </c>
      <c r="B1462" s="112" t="s">
        <v>2314</v>
      </c>
      <c r="C1462" s="112">
        <v>2</v>
      </c>
      <c r="D1462" s="114">
        <v>0.0014182339761965373</v>
      </c>
      <c r="E1462" s="114">
        <v>0.4505160437186908</v>
      </c>
      <c r="F1462" s="112" t="s">
        <v>2051</v>
      </c>
      <c r="G1462" s="112" t="b">
        <v>0</v>
      </c>
      <c r="H1462" s="112" t="b">
        <v>0</v>
      </c>
      <c r="I1462" s="112" t="b">
        <v>0</v>
      </c>
      <c r="J1462" s="112" t="b">
        <v>0</v>
      </c>
      <c r="K1462" s="112" t="b">
        <v>0</v>
      </c>
      <c r="L1462" s="112" t="b">
        <v>0</v>
      </c>
    </row>
    <row r="1463" spans="1:12" ht="15">
      <c r="A1463" s="112" t="s">
        <v>2314</v>
      </c>
      <c r="B1463" s="112" t="s">
        <v>2077</v>
      </c>
      <c r="C1463" s="112">
        <v>2</v>
      </c>
      <c r="D1463" s="114">
        <v>0.0014182339761965373</v>
      </c>
      <c r="E1463" s="114">
        <v>1.7057885488219968</v>
      </c>
      <c r="F1463" s="112" t="s">
        <v>2051</v>
      </c>
      <c r="G1463" s="112" t="b">
        <v>0</v>
      </c>
      <c r="H1463" s="112" t="b">
        <v>0</v>
      </c>
      <c r="I1463" s="112" t="b">
        <v>0</v>
      </c>
      <c r="J1463" s="112" t="b">
        <v>0</v>
      </c>
      <c r="K1463" s="112" t="b">
        <v>0</v>
      </c>
      <c r="L1463" s="112" t="b">
        <v>0</v>
      </c>
    </row>
    <row r="1464" spans="1:12" ht="15">
      <c r="A1464" s="112" t="s">
        <v>2152</v>
      </c>
      <c r="B1464" s="112" t="s">
        <v>2081</v>
      </c>
      <c r="C1464" s="112">
        <v>2</v>
      </c>
      <c r="D1464" s="114">
        <v>0.0011629074319522783</v>
      </c>
      <c r="E1464" s="114">
        <v>0.3732391154850893</v>
      </c>
      <c r="F1464" s="112" t="s">
        <v>2051</v>
      </c>
      <c r="G1464" s="112" t="b">
        <v>0</v>
      </c>
      <c r="H1464" s="112" t="b">
        <v>0</v>
      </c>
      <c r="I1464" s="112" t="b">
        <v>0</v>
      </c>
      <c r="J1464" s="112" t="b">
        <v>0</v>
      </c>
      <c r="K1464" s="112" t="b">
        <v>0</v>
      </c>
      <c r="L1464" s="112" t="b">
        <v>0</v>
      </c>
    </row>
    <row r="1465" spans="1:12" ht="15">
      <c r="A1465" s="112" t="s">
        <v>2287</v>
      </c>
      <c r="B1465" s="112" t="s">
        <v>2878</v>
      </c>
      <c r="C1465" s="112">
        <v>2</v>
      </c>
      <c r="D1465" s="114">
        <v>0.0014182339761965373</v>
      </c>
      <c r="E1465" s="114">
        <v>2.4095574360397842</v>
      </c>
      <c r="F1465" s="112" t="s">
        <v>2051</v>
      </c>
      <c r="G1465" s="112" t="b">
        <v>0</v>
      </c>
      <c r="H1465" s="112" t="b">
        <v>0</v>
      </c>
      <c r="I1465" s="112" t="b">
        <v>0</v>
      </c>
      <c r="J1465" s="112" t="b">
        <v>0</v>
      </c>
      <c r="K1465" s="112" t="b">
        <v>0</v>
      </c>
      <c r="L1465" s="112" t="b">
        <v>0</v>
      </c>
    </row>
    <row r="1466" spans="1:12" ht="15">
      <c r="A1466" s="112" t="s">
        <v>2306</v>
      </c>
      <c r="B1466" s="112" t="s">
        <v>2207</v>
      </c>
      <c r="C1466" s="112">
        <v>2</v>
      </c>
      <c r="D1466" s="114">
        <v>0.0011629074319522783</v>
      </c>
      <c r="E1466" s="114">
        <v>1.9166419141368902</v>
      </c>
      <c r="F1466" s="112" t="s">
        <v>2051</v>
      </c>
      <c r="G1466" s="112" t="b">
        <v>0</v>
      </c>
      <c r="H1466" s="112" t="b">
        <v>0</v>
      </c>
      <c r="I1466" s="112" t="b">
        <v>0</v>
      </c>
      <c r="J1466" s="112" t="b">
        <v>0</v>
      </c>
      <c r="K1466" s="112" t="b">
        <v>0</v>
      </c>
      <c r="L1466" s="112" t="b">
        <v>0</v>
      </c>
    </row>
    <row r="1467" spans="1:12" ht="15">
      <c r="A1467" s="112" t="s">
        <v>2241</v>
      </c>
      <c r="B1467" s="112" t="s">
        <v>2876</v>
      </c>
      <c r="C1467" s="112">
        <v>2</v>
      </c>
      <c r="D1467" s="114">
        <v>0.0011629074319522783</v>
      </c>
      <c r="E1467" s="114">
        <v>2.5856486950954656</v>
      </c>
      <c r="F1467" s="112" t="s">
        <v>2051</v>
      </c>
      <c r="G1467" s="112" t="b">
        <v>0</v>
      </c>
      <c r="H1467" s="112" t="b">
        <v>0</v>
      </c>
      <c r="I1467" s="112" t="b">
        <v>0</v>
      </c>
      <c r="J1467" s="112" t="b">
        <v>0</v>
      </c>
      <c r="K1467" s="112" t="b">
        <v>0</v>
      </c>
      <c r="L1467" s="112" t="b">
        <v>0</v>
      </c>
    </row>
    <row r="1468" spans="1:12" ht="15">
      <c r="A1468" s="112" t="s">
        <v>2079</v>
      </c>
      <c r="B1468" s="112" t="s">
        <v>2658</v>
      </c>
      <c r="C1468" s="112">
        <v>2</v>
      </c>
      <c r="D1468" s="114">
        <v>0.0014182339761965373</v>
      </c>
      <c r="E1468" s="114">
        <v>0.8184928290132851</v>
      </c>
      <c r="F1468" s="112" t="s">
        <v>2051</v>
      </c>
      <c r="G1468" s="112" t="b">
        <v>0</v>
      </c>
      <c r="H1468" s="112" t="b">
        <v>0</v>
      </c>
      <c r="I1468" s="112" t="b">
        <v>0</v>
      </c>
      <c r="J1468" s="112" t="b">
        <v>0</v>
      </c>
      <c r="K1468" s="112" t="b">
        <v>0</v>
      </c>
      <c r="L1468" s="112" t="b">
        <v>0</v>
      </c>
    </row>
    <row r="1469" spans="1:12" ht="15">
      <c r="A1469" s="112" t="s">
        <v>2079</v>
      </c>
      <c r="B1469" s="112" t="s">
        <v>2287</v>
      </c>
      <c r="C1469" s="112">
        <v>2</v>
      </c>
      <c r="D1469" s="114">
        <v>0.0014182339761965373</v>
      </c>
      <c r="E1469" s="114">
        <v>0.34137157429362275</v>
      </c>
      <c r="F1469" s="112" t="s">
        <v>2051</v>
      </c>
      <c r="G1469" s="112" t="b">
        <v>0</v>
      </c>
      <c r="H1469" s="112" t="b">
        <v>0</v>
      </c>
      <c r="I1469" s="112" t="b">
        <v>0</v>
      </c>
      <c r="J1469" s="112" t="b">
        <v>0</v>
      </c>
      <c r="K1469" s="112" t="b">
        <v>0</v>
      </c>
      <c r="L1469" s="112" t="b">
        <v>0</v>
      </c>
    </row>
    <row r="1470" spans="1:12" ht="15">
      <c r="A1470" s="112" t="s">
        <v>2206</v>
      </c>
      <c r="B1470" s="112" t="s">
        <v>2398</v>
      </c>
      <c r="C1470" s="112">
        <v>2</v>
      </c>
      <c r="D1470" s="114">
        <v>0.0014182339761965373</v>
      </c>
      <c r="E1470" s="114">
        <v>1.7405506550812089</v>
      </c>
      <c r="F1470" s="112" t="s">
        <v>2051</v>
      </c>
      <c r="G1470" s="112" t="b">
        <v>1</v>
      </c>
      <c r="H1470" s="112" t="b">
        <v>0</v>
      </c>
      <c r="I1470" s="112" t="b">
        <v>0</v>
      </c>
      <c r="J1470" s="112" t="b">
        <v>0</v>
      </c>
      <c r="K1470" s="112" t="b">
        <v>0</v>
      </c>
      <c r="L1470" s="112" t="b">
        <v>0</v>
      </c>
    </row>
    <row r="1471" spans="1:12" ht="15">
      <c r="A1471" s="112" t="s">
        <v>2656</v>
      </c>
      <c r="B1471" s="112" t="s">
        <v>2245</v>
      </c>
      <c r="C1471" s="112">
        <v>2</v>
      </c>
      <c r="D1471" s="114">
        <v>0.0014182339761965373</v>
      </c>
      <c r="E1471" s="114">
        <v>2.4095574360397842</v>
      </c>
      <c r="F1471" s="112" t="s">
        <v>2051</v>
      </c>
      <c r="G1471" s="112" t="b">
        <v>1</v>
      </c>
      <c r="H1471" s="112" t="b">
        <v>0</v>
      </c>
      <c r="I1471" s="112" t="b">
        <v>0</v>
      </c>
      <c r="J1471" s="112" t="b">
        <v>0</v>
      </c>
      <c r="K1471" s="112" t="b">
        <v>0</v>
      </c>
      <c r="L1471" s="112" t="b">
        <v>0</v>
      </c>
    </row>
    <row r="1472" spans="1:12" ht="15">
      <c r="A1472" s="112" t="s">
        <v>2095</v>
      </c>
      <c r="B1472" s="112" t="s">
        <v>2312</v>
      </c>
      <c r="C1472" s="112">
        <v>2</v>
      </c>
      <c r="D1472" s="114">
        <v>0.0011629074319522783</v>
      </c>
      <c r="E1472" s="114">
        <v>0.9764101191403799</v>
      </c>
      <c r="F1472" s="112" t="s">
        <v>2051</v>
      </c>
      <c r="G1472" s="112" t="b">
        <v>0</v>
      </c>
      <c r="H1472" s="112" t="b">
        <v>0</v>
      </c>
      <c r="I1472" s="112" t="b">
        <v>0</v>
      </c>
      <c r="J1472" s="112" t="b">
        <v>0</v>
      </c>
      <c r="K1472" s="112" t="b">
        <v>0</v>
      </c>
      <c r="L1472" s="112" t="b">
        <v>0</v>
      </c>
    </row>
    <row r="1473" spans="1:12" ht="15">
      <c r="A1473" s="112" t="s">
        <v>2307</v>
      </c>
      <c r="B1473" s="112" t="s">
        <v>2149</v>
      </c>
      <c r="C1473" s="112">
        <v>2</v>
      </c>
      <c r="D1473" s="114">
        <v>0.0011629074319522783</v>
      </c>
      <c r="E1473" s="114">
        <v>1.4975126063949145</v>
      </c>
      <c r="F1473" s="112" t="s">
        <v>2051</v>
      </c>
      <c r="G1473" s="112" t="b">
        <v>0</v>
      </c>
      <c r="H1473" s="112" t="b">
        <v>0</v>
      </c>
      <c r="I1473" s="112" t="b">
        <v>0</v>
      </c>
      <c r="J1473" s="112" t="b">
        <v>0</v>
      </c>
      <c r="K1473" s="112" t="b">
        <v>0</v>
      </c>
      <c r="L1473" s="112" t="b">
        <v>0</v>
      </c>
    </row>
    <row r="1474" spans="1:12" ht="15">
      <c r="A1474" s="112" t="s">
        <v>2095</v>
      </c>
      <c r="B1474" s="112" t="s">
        <v>2157</v>
      </c>
      <c r="C1474" s="112">
        <v>2</v>
      </c>
      <c r="D1474" s="114">
        <v>0.0011629074319522783</v>
      </c>
      <c r="E1474" s="114">
        <v>0.7333720704540854</v>
      </c>
      <c r="F1474" s="112" t="s">
        <v>2051</v>
      </c>
      <c r="G1474" s="112" t="b">
        <v>0</v>
      </c>
      <c r="H1474" s="112" t="b">
        <v>0</v>
      </c>
      <c r="I1474" s="112" t="b">
        <v>0</v>
      </c>
      <c r="J1474" s="112" t="b">
        <v>0</v>
      </c>
      <c r="K1474" s="112" t="b">
        <v>0</v>
      </c>
      <c r="L1474" s="112" t="b">
        <v>0</v>
      </c>
    </row>
    <row r="1475" spans="1:12" ht="15">
      <c r="A1475" s="112" t="s">
        <v>2097</v>
      </c>
      <c r="B1475" s="112" t="s">
        <v>2084</v>
      </c>
      <c r="C1475" s="112">
        <v>2</v>
      </c>
      <c r="D1475" s="114">
        <v>0.0011629074319522783</v>
      </c>
      <c r="E1475" s="114">
        <v>1.1791085146615106</v>
      </c>
      <c r="F1475" s="112" t="s">
        <v>2051</v>
      </c>
      <c r="G1475" s="112" t="b">
        <v>0</v>
      </c>
      <c r="H1475" s="112" t="b">
        <v>0</v>
      </c>
      <c r="I1475" s="112" t="b">
        <v>0</v>
      </c>
      <c r="J1475" s="112" t="b">
        <v>0</v>
      </c>
      <c r="K1475" s="112" t="b">
        <v>1</v>
      </c>
      <c r="L1475" s="112" t="b">
        <v>0</v>
      </c>
    </row>
    <row r="1476" spans="1:12" ht="15">
      <c r="A1476" s="112" t="s">
        <v>2105</v>
      </c>
      <c r="B1476" s="112" t="s">
        <v>2078</v>
      </c>
      <c r="C1476" s="112">
        <v>2</v>
      </c>
      <c r="D1476" s="114">
        <v>0.0011629074319522783</v>
      </c>
      <c r="E1476" s="114">
        <v>0.5576199714952221</v>
      </c>
      <c r="F1476" s="112" t="s">
        <v>2051</v>
      </c>
      <c r="G1476" s="112" t="b">
        <v>0</v>
      </c>
      <c r="H1476" s="112" t="b">
        <v>0</v>
      </c>
      <c r="I1476" s="112" t="b">
        <v>0</v>
      </c>
      <c r="J1476" s="112" t="b">
        <v>0</v>
      </c>
      <c r="K1476" s="112" t="b">
        <v>0</v>
      </c>
      <c r="L1476" s="112" t="b">
        <v>0</v>
      </c>
    </row>
    <row r="1477" spans="1:12" ht="15">
      <c r="A1477" s="112" t="s">
        <v>2097</v>
      </c>
      <c r="B1477" s="112" t="s">
        <v>2086</v>
      </c>
      <c r="C1477" s="112">
        <v>2</v>
      </c>
      <c r="D1477" s="114">
        <v>0.0011629074319522783</v>
      </c>
      <c r="E1477" s="114">
        <v>0.7441849397363028</v>
      </c>
      <c r="F1477" s="112" t="s">
        <v>2051</v>
      </c>
      <c r="G1477" s="112" t="b">
        <v>0</v>
      </c>
      <c r="H1477" s="112" t="b">
        <v>0</v>
      </c>
      <c r="I1477" s="112" t="b">
        <v>0</v>
      </c>
      <c r="J1477" s="112" t="b">
        <v>0</v>
      </c>
      <c r="K1477" s="112" t="b">
        <v>0</v>
      </c>
      <c r="L1477" s="112" t="b">
        <v>0</v>
      </c>
    </row>
    <row r="1478" spans="1:12" ht="15">
      <c r="A1478" s="112" t="s">
        <v>2157</v>
      </c>
      <c r="B1478" s="112" t="s">
        <v>2078</v>
      </c>
      <c r="C1478" s="112">
        <v>2</v>
      </c>
      <c r="D1478" s="114">
        <v>0.0011629074319522783</v>
      </c>
      <c r="E1478" s="114">
        <v>0.11046194015300295</v>
      </c>
      <c r="F1478" s="112" t="s">
        <v>2051</v>
      </c>
      <c r="G1478" s="112" t="b">
        <v>0</v>
      </c>
      <c r="H1478" s="112" t="b">
        <v>0</v>
      </c>
      <c r="I1478" s="112" t="b">
        <v>0</v>
      </c>
      <c r="J1478" s="112" t="b">
        <v>0</v>
      </c>
      <c r="K1478" s="112" t="b">
        <v>0</v>
      </c>
      <c r="L1478" s="112" t="b">
        <v>0</v>
      </c>
    </row>
    <row r="1479" spans="1:12" ht="15">
      <c r="A1479" s="112" t="s">
        <v>2098</v>
      </c>
      <c r="B1479" s="112" t="s">
        <v>2648</v>
      </c>
      <c r="C1479" s="112">
        <v>2</v>
      </c>
      <c r="D1479" s="114">
        <v>0.0011629074319522783</v>
      </c>
      <c r="E1479" s="114">
        <v>2.1085274403758034</v>
      </c>
      <c r="F1479" s="112" t="s">
        <v>2051</v>
      </c>
      <c r="G1479" s="112" t="b">
        <v>1</v>
      </c>
      <c r="H1479" s="112" t="b">
        <v>0</v>
      </c>
      <c r="I1479" s="112" t="b">
        <v>0</v>
      </c>
      <c r="J1479" s="112" t="b">
        <v>0</v>
      </c>
      <c r="K1479" s="112" t="b">
        <v>0</v>
      </c>
      <c r="L1479" s="112" t="b">
        <v>0</v>
      </c>
    </row>
    <row r="1480" spans="1:12" ht="15">
      <c r="A1480" s="112" t="s">
        <v>2648</v>
      </c>
      <c r="B1480" s="112" t="s">
        <v>2106</v>
      </c>
      <c r="C1480" s="112">
        <v>2</v>
      </c>
      <c r="D1480" s="114">
        <v>0.0011629074319522783</v>
      </c>
      <c r="E1480" s="114">
        <v>1.9488265975082915</v>
      </c>
      <c r="F1480" s="112" t="s">
        <v>2051</v>
      </c>
      <c r="G1480" s="112" t="b">
        <v>0</v>
      </c>
      <c r="H1480" s="112" t="b">
        <v>0</v>
      </c>
      <c r="I1480" s="112" t="b">
        <v>0</v>
      </c>
      <c r="J1480" s="112" t="b">
        <v>0</v>
      </c>
      <c r="K1480" s="112" t="b">
        <v>0</v>
      </c>
      <c r="L1480" s="112" t="b">
        <v>0</v>
      </c>
    </row>
    <row r="1481" spans="1:12" ht="15">
      <c r="A1481" s="112" t="s">
        <v>2313</v>
      </c>
      <c r="B1481" s="112" t="s">
        <v>2087</v>
      </c>
      <c r="C1481" s="112">
        <v>2</v>
      </c>
      <c r="D1481" s="114">
        <v>0.0011629074319522783</v>
      </c>
      <c r="E1481" s="114">
        <v>1.3364503377043526</v>
      </c>
      <c r="F1481" s="112" t="s">
        <v>2051</v>
      </c>
      <c r="G1481" s="112" t="b">
        <v>0</v>
      </c>
      <c r="H1481" s="112" t="b">
        <v>0</v>
      </c>
      <c r="I1481" s="112" t="b">
        <v>0</v>
      </c>
      <c r="J1481" s="112" t="b">
        <v>0</v>
      </c>
      <c r="K1481" s="112" t="b">
        <v>0</v>
      </c>
      <c r="L1481" s="112" t="b">
        <v>0</v>
      </c>
    </row>
    <row r="1482" spans="1:12" ht="15">
      <c r="A1482" s="112" t="s">
        <v>2092</v>
      </c>
      <c r="B1482" s="112" t="s">
        <v>2087</v>
      </c>
      <c r="C1482" s="112">
        <v>2</v>
      </c>
      <c r="D1482" s="114">
        <v>0.0011629074319522783</v>
      </c>
      <c r="E1482" s="114">
        <v>1.3364503377043526</v>
      </c>
      <c r="F1482" s="112" t="s">
        <v>2051</v>
      </c>
      <c r="G1482" s="112" t="b">
        <v>0</v>
      </c>
      <c r="H1482" s="112" t="b">
        <v>0</v>
      </c>
      <c r="I1482" s="112" t="b">
        <v>0</v>
      </c>
      <c r="J1482" s="112" t="b">
        <v>0</v>
      </c>
      <c r="K1482" s="112" t="b">
        <v>0</v>
      </c>
      <c r="L1482" s="112" t="b">
        <v>0</v>
      </c>
    </row>
    <row r="1483" spans="1:12" ht="15">
      <c r="A1483" s="112" t="s">
        <v>2258</v>
      </c>
      <c r="B1483" s="112" t="s">
        <v>2177</v>
      </c>
      <c r="C1483" s="112">
        <v>2</v>
      </c>
      <c r="D1483" s="114">
        <v>0.0011629074319522783</v>
      </c>
      <c r="E1483" s="114">
        <v>1.9166419141368902</v>
      </c>
      <c r="F1483" s="112" t="s">
        <v>2051</v>
      </c>
      <c r="G1483" s="112" t="b">
        <v>0</v>
      </c>
      <c r="H1483" s="112" t="b">
        <v>0</v>
      </c>
      <c r="I1483" s="112" t="b">
        <v>0</v>
      </c>
      <c r="J1483" s="112" t="b">
        <v>0</v>
      </c>
      <c r="K1483" s="112" t="b">
        <v>0</v>
      </c>
      <c r="L1483" s="112" t="b">
        <v>0</v>
      </c>
    </row>
    <row r="1484" spans="1:12" ht="15">
      <c r="A1484" s="112" t="s">
        <v>2086</v>
      </c>
      <c r="B1484" s="112" t="s">
        <v>2098</v>
      </c>
      <c r="C1484" s="112">
        <v>2</v>
      </c>
      <c r="D1484" s="114">
        <v>0.0011629074319522783</v>
      </c>
      <c r="E1484" s="114">
        <v>0.7193613560112707</v>
      </c>
      <c r="F1484" s="112" t="s">
        <v>2051</v>
      </c>
      <c r="G1484" s="112" t="b">
        <v>0</v>
      </c>
      <c r="H1484" s="112" t="b">
        <v>0</v>
      </c>
      <c r="I1484" s="112" t="b">
        <v>0</v>
      </c>
      <c r="J1484" s="112" t="b">
        <v>1</v>
      </c>
      <c r="K1484" s="112" t="b">
        <v>0</v>
      </c>
      <c r="L1484" s="112" t="b">
        <v>0</v>
      </c>
    </row>
    <row r="1485" spans="1:12" ht="15">
      <c r="A1485" s="112" t="s">
        <v>2098</v>
      </c>
      <c r="B1485" s="112" t="s">
        <v>2151</v>
      </c>
      <c r="C1485" s="112">
        <v>2</v>
      </c>
      <c r="D1485" s="114">
        <v>0.0011629074319522783</v>
      </c>
      <c r="E1485" s="114">
        <v>1.1791085146615106</v>
      </c>
      <c r="F1485" s="112" t="s">
        <v>2051</v>
      </c>
      <c r="G1485" s="112" t="b">
        <v>1</v>
      </c>
      <c r="H1485" s="112" t="b">
        <v>0</v>
      </c>
      <c r="I1485" s="112" t="b">
        <v>0</v>
      </c>
      <c r="J1485" s="112" t="b">
        <v>0</v>
      </c>
      <c r="K1485" s="112" t="b">
        <v>0</v>
      </c>
      <c r="L1485" s="112" t="b">
        <v>0</v>
      </c>
    </row>
    <row r="1486" spans="1:12" ht="15">
      <c r="A1486" s="112" t="s">
        <v>2150</v>
      </c>
      <c r="B1486" s="112" t="s">
        <v>2151</v>
      </c>
      <c r="C1486" s="112">
        <v>2</v>
      </c>
      <c r="D1486" s="114">
        <v>0.0011629074319522783</v>
      </c>
      <c r="E1486" s="114">
        <v>1.1791085146615106</v>
      </c>
      <c r="F1486" s="112" t="s">
        <v>2051</v>
      </c>
      <c r="G1486" s="112" t="b">
        <v>0</v>
      </c>
      <c r="H1486" s="112" t="b">
        <v>0</v>
      </c>
      <c r="I1486" s="112" t="b">
        <v>0</v>
      </c>
      <c r="J1486" s="112" t="b">
        <v>0</v>
      </c>
      <c r="K1486" s="112" t="b">
        <v>0</v>
      </c>
      <c r="L1486" s="112" t="b">
        <v>0</v>
      </c>
    </row>
    <row r="1487" spans="1:12" ht="15">
      <c r="A1487" s="112" t="s">
        <v>2206</v>
      </c>
      <c r="B1487" s="112" t="s">
        <v>2086</v>
      </c>
      <c r="C1487" s="112">
        <v>2</v>
      </c>
      <c r="D1487" s="114">
        <v>0.0011629074319522783</v>
      </c>
      <c r="E1487" s="114">
        <v>0.8285058254363388</v>
      </c>
      <c r="F1487" s="112" t="s">
        <v>2051</v>
      </c>
      <c r="G1487" s="112" t="b">
        <v>1</v>
      </c>
      <c r="H1487" s="112" t="b">
        <v>0</v>
      </c>
      <c r="I1487" s="112" t="b">
        <v>0</v>
      </c>
      <c r="J1487" s="112" t="b">
        <v>0</v>
      </c>
      <c r="K1487" s="112" t="b">
        <v>0</v>
      </c>
      <c r="L1487" s="112" t="b">
        <v>0</v>
      </c>
    </row>
    <row r="1488" spans="1:12" ht="15">
      <c r="A1488" s="112" t="s">
        <v>2189</v>
      </c>
      <c r="B1488" s="112" t="s">
        <v>2078</v>
      </c>
      <c r="C1488" s="112">
        <v>2</v>
      </c>
      <c r="D1488" s="114">
        <v>0.0011629074319522783</v>
      </c>
      <c r="E1488" s="114">
        <v>0.5576199714952221</v>
      </c>
      <c r="F1488" s="112" t="s">
        <v>2051</v>
      </c>
      <c r="G1488" s="112" t="b">
        <v>0</v>
      </c>
      <c r="H1488" s="112" t="b">
        <v>0</v>
      </c>
      <c r="I1488" s="112" t="b">
        <v>0</v>
      </c>
      <c r="J1488" s="112" t="b">
        <v>0</v>
      </c>
      <c r="K1488" s="112" t="b">
        <v>0</v>
      </c>
      <c r="L1488" s="112" t="b">
        <v>0</v>
      </c>
    </row>
    <row r="1489" spans="1:12" ht="15">
      <c r="A1489" s="112" t="s">
        <v>2152</v>
      </c>
      <c r="B1489" s="112" t="s">
        <v>2151</v>
      </c>
      <c r="C1489" s="112">
        <v>2</v>
      </c>
      <c r="D1489" s="114">
        <v>0.0011629074319522783</v>
      </c>
      <c r="E1489" s="114">
        <v>1.1556274188119877</v>
      </c>
      <c r="F1489" s="112" t="s">
        <v>2051</v>
      </c>
      <c r="G1489" s="112" t="b">
        <v>0</v>
      </c>
      <c r="H1489" s="112" t="b">
        <v>0</v>
      </c>
      <c r="I1489" s="112" t="b">
        <v>0</v>
      </c>
      <c r="J1489" s="112" t="b">
        <v>0</v>
      </c>
      <c r="K1489" s="112" t="b">
        <v>0</v>
      </c>
      <c r="L1489" s="112" t="b">
        <v>0</v>
      </c>
    </row>
    <row r="1490" spans="1:12" ht="15">
      <c r="A1490" s="112" t="s">
        <v>2314</v>
      </c>
      <c r="B1490" s="112" t="s">
        <v>2646</v>
      </c>
      <c r="C1490" s="112">
        <v>2</v>
      </c>
      <c r="D1490" s="114">
        <v>0.0011629074319522783</v>
      </c>
      <c r="E1490" s="114">
        <v>2.342610646409171</v>
      </c>
      <c r="F1490" s="112" t="s">
        <v>2051</v>
      </c>
      <c r="G1490" s="112" t="b">
        <v>0</v>
      </c>
      <c r="H1490" s="112" t="b">
        <v>0</v>
      </c>
      <c r="I1490" s="112" t="b">
        <v>0</v>
      </c>
      <c r="J1490" s="112" t="b">
        <v>0</v>
      </c>
      <c r="K1490" s="112" t="b">
        <v>0</v>
      </c>
      <c r="L1490" s="112" t="b">
        <v>0</v>
      </c>
    </row>
    <row r="1491" spans="1:12" ht="15">
      <c r="A1491" s="112" t="s">
        <v>2646</v>
      </c>
      <c r="B1491" s="112" t="s">
        <v>2443</v>
      </c>
      <c r="C1491" s="112">
        <v>2</v>
      </c>
      <c r="D1491" s="114">
        <v>0.0011629074319522783</v>
      </c>
      <c r="E1491" s="114">
        <v>2.5856486950954656</v>
      </c>
      <c r="F1491" s="112" t="s">
        <v>2051</v>
      </c>
      <c r="G1491" s="112" t="b">
        <v>0</v>
      </c>
      <c r="H1491" s="112" t="b">
        <v>0</v>
      </c>
      <c r="I1491" s="112" t="b">
        <v>0</v>
      </c>
      <c r="J1491" s="112" t="b">
        <v>0</v>
      </c>
      <c r="K1491" s="112" t="b">
        <v>0</v>
      </c>
      <c r="L1491" s="112" t="b">
        <v>0</v>
      </c>
    </row>
    <row r="1492" spans="1:12" ht="15">
      <c r="A1492" s="112" t="s">
        <v>2089</v>
      </c>
      <c r="B1492" s="112" t="s">
        <v>2213</v>
      </c>
      <c r="C1492" s="112">
        <v>2</v>
      </c>
      <c r="D1492" s="114">
        <v>0.0014182339761965373</v>
      </c>
      <c r="E1492" s="114">
        <v>2.2668899324710527</v>
      </c>
      <c r="F1492" s="112" t="s">
        <v>2051</v>
      </c>
      <c r="G1492" s="112" t="b">
        <v>0</v>
      </c>
      <c r="H1492" s="112" t="b">
        <v>0</v>
      </c>
      <c r="I1492" s="112" t="b">
        <v>0</v>
      </c>
      <c r="J1492" s="112" t="b">
        <v>0</v>
      </c>
      <c r="K1492" s="112" t="b">
        <v>1</v>
      </c>
      <c r="L1492" s="112" t="b">
        <v>0</v>
      </c>
    </row>
    <row r="1493" spans="1:12" ht="15">
      <c r="A1493" s="112" t="s">
        <v>2223</v>
      </c>
      <c r="B1493" s="112" t="s">
        <v>2079</v>
      </c>
      <c r="C1493" s="112">
        <v>2</v>
      </c>
      <c r="D1493" s="114">
        <v>0.0011629074319522783</v>
      </c>
      <c r="E1493" s="114">
        <v>0.25052525301475886</v>
      </c>
      <c r="F1493" s="112" t="s">
        <v>2051</v>
      </c>
      <c r="G1493" s="112" t="b">
        <v>0</v>
      </c>
      <c r="H1493" s="112" t="b">
        <v>0</v>
      </c>
      <c r="I1493" s="112" t="b">
        <v>0</v>
      </c>
      <c r="J1493" s="112" t="b">
        <v>0</v>
      </c>
      <c r="K1493" s="112" t="b">
        <v>0</v>
      </c>
      <c r="L1493" s="112" t="b">
        <v>0</v>
      </c>
    </row>
    <row r="1494" spans="1:12" ht="15">
      <c r="A1494" s="112" t="s">
        <v>2078</v>
      </c>
      <c r="B1494" s="112" t="s">
        <v>2144</v>
      </c>
      <c r="C1494" s="112">
        <v>2</v>
      </c>
      <c r="D1494" s="114">
        <v>0.0011629074319522783</v>
      </c>
      <c r="E1494" s="114">
        <v>-0.02660521100097162</v>
      </c>
      <c r="F1494" s="112" t="s">
        <v>2051</v>
      </c>
      <c r="G1494" s="112" t="b">
        <v>0</v>
      </c>
      <c r="H1494" s="112" t="b">
        <v>0</v>
      </c>
      <c r="I1494" s="112" t="b">
        <v>0</v>
      </c>
      <c r="J1494" s="112" t="b">
        <v>0</v>
      </c>
      <c r="K1494" s="112" t="b">
        <v>0</v>
      </c>
      <c r="L1494" s="112" t="b">
        <v>0</v>
      </c>
    </row>
    <row r="1495" spans="1:12" ht="15">
      <c r="A1495" s="112" t="s">
        <v>2244</v>
      </c>
      <c r="B1495" s="112" t="s">
        <v>2244</v>
      </c>
      <c r="C1495" s="112">
        <v>2</v>
      </c>
      <c r="D1495" s="114">
        <v>0.0014182339761965373</v>
      </c>
      <c r="E1495" s="114">
        <v>1.7563449222644407</v>
      </c>
      <c r="F1495" s="112" t="s">
        <v>2051</v>
      </c>
      <c r="G1495" s="112" t="b">
        <v>0</v>
      </c>
      <c r="H1495" s="112" t="b">
        <v>0</v>
      </c>
      <c r="I1495" s="112" t="b">
        <v>0</v>
      </c>
      <c r="J1495" s="112" t="b">
        <v>0</v>
      </c>
      <c r="K1495" s="112" t="b">
        <v>0</v>
      </c>
      <c r="L1495" s="112" t="b">
        <v>0</v>
      </c>
    </row>
    <row r="1496" spans="1:12" ht="15">
      <c r="A1496" s="112" t="s">
        <v>2165</v>
      </c>
      <c r="B1496" s="112" t="s">
        <v>2084</v>
      </c>
      <c r="C1496" s="112">
        <v>2</v>
      </c>
      <c r="D1496" s="114">
        <v>0.0011629074319522783</v>
      </c>
      <c r="E1496" s="114">
        <v>1.2634294003615465</v>
      </c>
      <c r="F1496" s="112" t="s">
        <v>2051</v>
      </c>
      <c r="G1496" s="112" t="b">
        <v>0</v>
      </c>
      <c r="H1496" s="112" t="b">
        <v>0</v>
      </c>
      <c r="I1496" s="112" t="b">
        <v>0</v>
      </c>
      <c r="J1496" s="112" t="b">
        <v>0</v>
      </c>
      <c r="K1496" s="112" t="b">
        <v>1</v>
      </c>
      <c r="L1496" s="112" t="b">
        <v>0</v>
      </c>
    </row>
    <row r="1497" spans="1:12" ht="15">
      <c r="A1497" s="112" t="s">
        <v>2154</v>
      </c>
      <c r="B1497" s="112" t="s">
        <v>2237</v>
      </c>
      <c r="C1497" s="112">
        <v>2</v>
      </c>
      <c r="D1497" s="114">
        <v>0.0011629074319522783</v>
      </c>
      <c r="E1497" s="114">
        <v>1.3681647508815593</v>
      </c>
      <c r="F1497" s="112" t="s">
        <v>2051</v>
      </c>
      <c r="G1497" s="112" t="b">
        <v>0</v>
      </c>
      <c r="H1497" s="112" t="b">
        <v>0</v>
      </c>
      <c r="I1497" s="112" t="b">
        <v>0</v>
      </c>
      <c r="J1497" s="112" t="b">
        <v>0</v>
      </c>
      <c r="K1497" s="112" t="b">
        <v>0</v>
      </c>
      <c r="L1497" s="112" t="b">
        <v>0</v>
      </c>
    </row>
    <row r="1498" spans="1:12" ht="15">
      <c r="A1498" s="112" t="s">
        <v>2154</v>
      </c>
      <c r="B1498" s="112" t="s">
        <v>2523</v>
      </c>
      <c r="C1498" s="112">
        <v>2</v>
      </c>
      <c r="D1498" s="114">
        <v>0.0014182339761965373</v>
      </c>
      <c r="E1498" s="114">
        <v>1.807497444711822</v>
      </c>
      <c r="F1498" s="112" t="s">
        <v>2051</v>
      </c>
      <c r="G1498" s="112" t="b">
        <v>0</v>
      </c>
      <c r="H1498" s="112" t="b">
        <v>0</v>
      </c>
      <c r="I1498" s="112" t="b">
        <v>0</v>
      </c>
      <c r="J1498" s="112" t="b">
        <v>0</v>
      </c>
      <c r="K1498" s="112" t="b">
        <v>0</v>
      </c>
      <c r="L1498" s="112" t="b">
        <v>0</v>
      </c>
    </row>
    <row r="1499" spans="1:12" ht="15">
      <c r="A1499" s="112" t="s">
        <v>2523</v>
      </c>
      <c r="B1499" s="112" t="s">
        <v>2652</v>
      </c>
      <c r="C1499" s="112">
        <v>2</v>
      </c>
      <c r="D1499" s="114">
        <v>0.0014182339761965373</v>
      </c>
      <c r="E1499" s="114">
        <v>2.5856486950954656</v>
      </c>
      <c r="F1499" s="112" t="s">
        <v>2051</v>
      </c>
      <c r="G1499" s="112" t="b">
        <v>0</v>
      </c>
      <c r="H1499" s="112" t="b">
        <v>0</v>
      </c>
      <c r="I1499" s="112" t="b">
        <v>0</v>
      </c>
      <c r="J1499" s="112" t="b">
        <v>0</v>
      </c>
      <c r="K1499" s="112" t="b">
        <v>0</v>
      </c>
      <c r="L1499" s="112" t="b">
        <v>0</v>
      </c>
    </row>
    <row r="1500" spans="1:12" ht="15">
      <c r="A1500" s="112" t="s">
        <v>2652</v>
      </c>
      <c r="B1500" s="112" t="s">
        <v>2237</v>
      </c>
      <c r="C1500" s="112">
        <v>2</v>
      </c>
      <c r="D1500" s="114">
        <v>0.0014182339761965373</v>
      </c>
      <c r="E1500" s="114">
        <v>2.146316001265203</v>
      </c>
      <c r="F1500" s="112" t="s">
        <v>2051</v>
      </c>
      <c r="G1500" s="112" t="b">
        <v>0</v>
      </c>
      <c r="H1500" s="112" t="b">
        <v>0</v>
      </c>
      <c r="I1500" s="112" t="b">
        <v>0</v>
      </c>
      <c r="J1500" s="112" t="b">
        <v>0</v>
      </c>
      <c r="K1500" s="112" t="b">
        <v>0</v>
      </c>
      <c r="L1500" s="112" t="b">
        <v>0</v>
      </c>
    </row>
    <row r="1501" spans="1:12" ht="15">
      <c r="A1501" s="112" t="s">
        <v>2869</v>
      </c>
      <c r="B1501" s="112" t="s">
        <v>2237</v>
      </c>
      <c r="C1501" s="112">
        <v>2</v>
      </c>
      <c r="D1501" s="114">
        <v>0.0014182339761965373</v>
      </c>
      <c r="E1501" s="114">
        <v>2.322407260320884</v>
      </c>
      <c r="F1501" s="112" t="s">
        <v>2051</v>
      </c>
      <c r="G1501" s="112" t="b">
        <v>0</v>
      </c>
      <c r="H1501" s="112" t="b">
        <v>0</v>
      </c>
      <c r="I1501" s="112" t="b">
        <v>0</v>
      </c>
      <c r="J1501" s="112" t="b">
        <v>0</v>
      </c>
      <c r="K1501" s="112" t="b">
        <v>0</v>
      </c>
      <c r="L1501" s="112" t="b">
        <v>0</v>
      </c>
    </row>
    <row r="1502" spans="1:12" ht="15">
      <c r="A1502" s="112" t="s">
        <v>2309</v>
      </c>
      <c r="B1502" s="112" t="s">
        <v>2239</v>
      </c>
      <c r="C1502" s="112">
        <v>2</v>
      </c>
      <c r="D1502" s="114">
        <v>0.0014182339761965373</v>
      </c>
      <c r="E1502" s="114">
        <v>2.342610646409171</v>
      </c>
      <c r="F1502" s="112" t="s">
        <v>2051</v>
      </c>
      <c r="G1502" s="112" t="b">
        <v>0</v>
      </c>
      <c r="H1502" s="112" t="b">
        <v>0</v>
      </c>
      <c r="I1502" s="112" t="b">
        <v>0</v>
      </c>
      <c r="J1502" s="112" t="b">
        <v>0</v>
      </c>
      <c r="K1502" s="112" t="b">
        <v>0</v>
      </c>
      <c r="L1502" s="112" t="b">
        <v>0</v>
      </c>
    </row>
    <row r="1503" spans="1:12" ht="15">
      <c r="A1503" s="112" t="s">
        <v>2237</v>
      </c>
      <c r="B1503" s="112" t="s">
        <v>2309</v>
      </c>
      <c r="C1503" s="112">
        <v>2</v>
      </c>
      <c r="D1503" s="114">
        <v>0.0011629074319522783</v>
      </c>
      <c r="E1503" s="114">
        <v>1.7783392159706086</v>
      </c>
      <c r="F1503" s="112" t="s">
        <v>2051</v>
      </c>
      <c r="G1503" s="112" t="b">
        <v>0</v>
      </c>
      <c r="H1503" s="112" t="b">
        <v>0</v>
      </c>
      <c r="I1503" s="112" t="b">
        <v>0</v>
      </c>
      <c r="J1503" s="112" t="b">
        <v>0</v>
      </c>
      <c r="K1503" s="112" t="b">
        <v>0</v>
      </c>
      <c r="L1503" s="112" t="b">
        <v>0</v>
      </c>
    </row>
    <row r="1504" spans="1:12" ht="15">
      <c r="A1504" s="112" t="s">
        <v>2091</v>
      </c>
      <c r="B1504" s="112" t="s">
        <v>2091</v>
      </c>
      <c r="C1504" s="112">
        <v>2</v>
      </c>
      <c r="D1504" s="114">
        <v>0.0011629074319522783</v>
      </c>
      <c r="E1504" s="114">
        <v>1.436943236529417</v>
      </c>
      <c r="F1504" s="112" t="s">
        <v>2051</v>
      </c>
      <c r="G1504" s="112" t="b">
        <v>0</v>
      </c>
      <c r="H1504" s="112" t="b">
        <v>0</v>
      </c>
      <c r="I1504" s="112" t="b">
        <v>0</v>
      </c>
      <c r="J1504" s="112" t="b">
        <v>0</v>
      </c>
      <c r="K1504" s="112" t="b">
        <v>0</v>
      </c>
      <c r="L1504" s="112" t="b">
        <v>0</v>
      </c>
    </row>
    <row r="1505" spans="1:12" ht="15">
      <c r="A1505" s="112" t="s">
        <v>2143</v>
      </c>
      <c r="B1505" s="112" t="s">
        <v>2091</v>
      </c>
      <c r="C1505" s="112">
        <v>2</v>
      </c>
      <c r="D1505" s="114">
        <v>0.0011629074319522783</v>
      </c>
      <c r="E1505" s="114">
        <v>1.346766606180329</v>
      </c>
      <c r="F1505" s="112" t="s">
        <v>2051</v>
      </c>
      <c r="G1505" s="112" t="b">
        <v>0</v>
      </c>
      <c r="H1505" s="112" t="b">
        <v>0</v>
      </c>
      <c r="I1505" s="112" t="b">
        <v>0</v>
      </c>
      <c r="J1505" s="112" t="b">
        <v>0</v>
      </c>
      <c r="K1505" s="112" t="b">
        <v>0</v>
      </c>
      <c r="L1505" s="112" t="b">
        <v>0</v>
      </c>
    </row>
    <row r="1506" spans="1:12" ht="15">
      <c r="A1506" s="112" t="s">
        <v>2079</v>
      </c>
      <c r="B1506" s="112" t="s">
        <v>2130</v>
      </c>
      <c r="C1506" s="112">
        <v>2</v>
      </c>
      <c r="D1506" s="114">
        <v>0.0014182339761965373</v>
      </c>
      <c r="E1506" s="114">
        <v>-0.046808597089258615</v>
      </c>
      <c r="F1506" s="112" t="s">
        <v>2051</v>
      </c>
      <c r="G1506" s="112" t="b">
        <v>0</v>
      </c>
      <c r="H1506" s="112" t="b">
        <v>0</v>
      </c>
      <c r="I1506" s="112" t="b">
        <v>0</v>
      </c>
      <c r="J1506" s="112" t="b">
        <v>0</v>
      </c>
      <c r="K1506" s="112" t="b">
        <v>0</v>
      </c>
      <c r="L1506" s="112" t="b">
        <v>0</v>
      </c>
    </row>
    <row r="1507" spans="1:12" ht="15">
      <c r="A1507" s="112" t="s">
        <v>2353</v>
      </c>
      <c r="B1507" s="112" t="s">
        <v>2078</v>
      </c>
      <c r="C1507" s="112">
        <v>2</v>
      </c>
      <c r="D1507" s="114">
        <v>0.0014182339761965373</v>
      </c>
      <c r="E1507" s="114">
        <v>0.4784387254475973</v>
      </c>
      <c r="F1507" s="112" t="s">
        <v>2051</v>
      </c>
      <c r="G1507" s="112" t="b">
        <v>0</v>
      </c>
      <c r="H1507" s="112" t="b">
        <v>0</v>
      </c>
      <c r="I1507" s="112" t="b">
        <v>0</v>
      </c>
      <c r="J1507" s="112" t="b">
        <v>0</v>
      </c>
      <c r="K1507" s="112" t="b">
        <v>0</v>
      </c>
      <c r="L1507" s="112" t="b">
        <v>0</v>
      </c>
    </row>
    <row r="1508" spans="1:12" ht="15">
      <c r="A1508" s="112" t="s">
        <v>2284</v>
      </c>
      <c r="B1508" s="112" t="s">
        <v>2444</v>
      </c>
      <c r="C1508" s="112">
        <v>2</v>
      </c>
      <c r="D1508" s="114">
        <v>0.0014182339761965373</v>
      </c>
      <c r="E1508" s="114">
        <v>2.2176719098008713</v>
      </c>
      <c r="F1508" s="112" t="s">
        <v>2051</v>
      </c>
      <c r="G1508" s="112" t="b">
        <v>0</v>
      </c>
      <c r="H1508" s="112" t="b">
        <v>0</v>
      </c>
      <c r="I1508" s="112" t="b">
        <v>0</v>
      </c>
      <c r="J1508" s="112" t="b">
        <v>0</v>
      </c>
      <c r="K1508" s="112" t="b">
        <v>0</v>
      </c>
      <c r="L1508" s="112" t="b">
        <v>0</v>
      </c>
    </row>
    <row r="1509" spans="1:12" ht="15">
      <c r="A1509" s="112" t="s">
        <v>2254</v>
      </c>
      <c r="B1509" s="112" t="s">
        <v>2172</v>
      </c>
      <c r="C1509" s="112">
        <v>2</v>
      </c>
      <c r="D1509" s="114">
        <v>0.0014182339761965373</v>
      </c>
      <c r="E1509" s="114">
        <v>1.9324361813201218</v>
      </c>
      <c r="F1509" s="112" t="s">
        <v>2051</v>
      </c>
      <c r="G1509" s="112" t="b">
        <v>0</v>
      </c>
      <c r="H1509" s="112" t="b">
        <v>0</v>
      </c>
      <c r="I1509" s="112" t="b">
        <v>0</v>
      </c>
      <c r="J1509" s="112" t="b">
        <v>0</v>
      </c>
      <c r="K1509" s="112" t="b">
        <v>0</v>
      </c>
      <c r="L1509" s="112" t="b">
        <v>0</v>
      </c>
    </row>
    <row r="1510" spans="1:12" ht="15">
      <c r="A1510" s="112" t="s">
        <v>2150</v>
      </c>
      <c r="B1510" s="112" t="s">
        <v>2081</v>
      </c>
      <c r="C1510" s="112">
        <v>2</v>
      </c>
      <c r="D1510" s="114">
        <v>0.0011629074319522783</v>
      </c>
      <c r="E1510" s="114">
        <v>0.3967202113346122</v>
      </c>
      <c r="F1510" s="112" t="s">
        <v>2051</v>
      </c>
      <c r="G1510" s="112" t="b">
        <v>0</v>
      </c>
      <c r="H1510" s="112" t="b">
        <v>0</v>
      </c>
      <c r="I1510" s="112" t="b">
        <v>0</v>
      </c>
      <c r="J1510" s="112" t="b">
        <v>0</v>
      </c>
      <c r="K1510" s="112" t="b">
        <v>0</v>
      </c>
      <c r="L1510" s="112" t="b">
        <v>0</v>
      </c>
    </row>
    <row r="1511" spans="1:12" ht="15">
      <c r="A1511" s="112" t="s">
        <v>2081</v>
      </c>
      <c r="B1511" s="112" t="s">
        <v>2150</v>
      </c>
      <c r="C1511" s="112">
        <v>2</v>
      </c>
      <c r="D1511" s="114">
        <v>0.0011629074319522783</v>
      </c>
      <c r="E1511" s="114">
        <v>0.3607704749254912</v>
      </c>
      <c r="F1511" s="112" t="s">
        <v>2051</v>
      </c>
      <c r="G1511" s="112" t="b">
        <v>0</v>
      </c>
      <c r="H1511" s="112" t="b">
        <v>0</v>
      </c>
      <c r="I1511" s="112" t="b">
        <v>0</v>
      </c>
      <c r="J1511" s="112" t="b">
        <v>0</v>
      </c>
      <c r="K1511" s="112" t="b">
        <v>0</v>
      </c>
      <c r="L1511" s="112" t="b">
        <v>0</v>
      </c>
    </row>
    <row r="1512" spans="1:12" ht="15">
      <c r="A1512" s="112" t="s">
        <v>2150</v>
      </c>
      <c r="B1512" s="112" t="s">
        <v>2091</v>
      </c>
      <c r="C1512" s="112">
        <v>2</v>
      </c>
      <c r="D1512" s="114">
        <v>0.0014182339761965373</v>
      </c>
      <c r="E1512" s="114">
        <v>1.2956140837329477</v>
      </c>
      <c r="F1512" s="112" t="s">
        <v>2051</v>
      </c>
      <c r="G1512" s="112" t="b">
        <v>0</v>
      </c>
      <c r="H1512" s="112" t="b">
        <v>0</v>
      </c>
      <c r="I1512" s="112" t="b">
        <v>0</v>
      </c>
      <c r="J1512" s="112" t="b">
        <v>0</v>
      </c>
      <c r="K1512" s="112" t="b">
        <v>0</v>
      </c>
      <c r="L1512" s="112" t="b">
        <v>0</v>
      </c>
    </row>
    <row r="1513" spans="1:12" ht="15">
      <c r="A1513" s="112" t="s">
        <v>2086</v>
      </c>
      <c r="B1513" s="112" t="s">
        <v>2162</v>
      </c>
      <c r="C1513" s="112">
        <v>2</v>
      </c>
      <c r="D1513" s="114">
        <v>0.0011629074319522783</v>
      </c>
      <c r="E1513" s="114">
        <v>0.6736038654505957</v>
      </c>
      <c r="F1513" s="112" t="s">
        <v>2051</v>
      </c>
      <c r="G1513" s="112" t="b">
        <v>0</v>
      </c>
      <c r="H1513" s="112" t="b">
        <v>0</v>
      </c>
      <c r="I1513" s="112" t="b">
        <v>0</v>
      </c>
      <c r="J1513" s="112" t="b">
        <v>0</v>
      </c>
      <c r="K1513" s="112" t="b">
        <v>0</v>
      </c>
      <c r="L1513" s="112" t="b">
        <v>0</v>
      </c>
    </row>
    <row r="1514" spans="1:12" ht="15">
      <c r="A1514" s="112" t="s">
        <v>2283</v>
      </c>
      <c r="B1514" s="112" t="s">
        <v>2647</v>
      </c>
      <c r="C1514" s="112">
        <v>2</v>
      </c>
      <c r="D1514" s="114">
        <v>0.0014182339761965373</v>
      </c>
      <c r="E1514" s="114">
        <v>2.2846186994314843</v>
      </c>
      <c r="F1514" s="112" t="s">
        <v>2051</v>
      </c>
      <c r="G1514" s="112" t="b">
        <v>0</v>
      </c>
      <c r="H1514" s="112" t="b">
        <v>0</v>
      </c>
      <c r="I1514" s="112" t="b">
        <v>0</v>
      </c>
      <c r="J1514" s="112" t="b">
        <v>0</v>
      </c>
      <c r="K1514" s="112" t="b">
        <v>0</v>
      </c>
      <c r="L1514" s="112" t="b">
        <v>0</v>
      </c>
    </row>
    <row r="1515" spans="1:12" ht="15">
      <c r="A1515" s="112" t="s">
        <v>2647</v>
      </c>
      <c r="B1515" s="112" t="s">
        <v>2260</v>
      </c>
      <c r="C1515" s="112">
        <v>2</v>
      </c>
      <c r="D1515" s="114">
        <v>0.0014182339761965373</v>
      </c>
      <c r="E1515" s="114">
        <v>2.2334661769841033</v>
      </c>
      <c r="F1515" s="112" t="s">
        <v>2051</v>
      </c>
      <c r="G1515" s="112" t="b">
        <v>0</v>
      </c>
      <c r="H1515" s="112" t="b">
        <v>0</v>
      </c>
      <c r="I1515" s="112" t="b">
        <v>0</v>
      </c>
      <c r="J1515" s="112" t="b">
        <v>0</v>
      </c>
      <c r="K1515" s="112" t="b">
        <v>0</v>
      </c>
      <c r="L1515" s="112" t="b">
        <v>0</v>
      </c>
    </row>
    <row r="1516" spans="1:12" ht="15">
      <c r="A1516" s="112" t="s">
        <v>2283</v>
      </c>
      <c r="B1516" s="112" t="s">
        <v>2242</v>
      </c>
      <c r="C1516" s="112">
        <v>2</v>
      </c>
      <c r="D1516" s="114">
        <v>0.0014182339761965373</v>
      </c>
      <c r="E1516" s="114">
        <v>2.062769949815128</v>
      </c>
      <c r="F1516" s="112" t="s">
        <v>2051</v>
      </c>
      <c r="G1516" s="112" t="b">
        <v>0</v>
      </c>
      <c r="H1516" s="112" t="b">
        <v>0</v>
      </c>
      <c r="I1516" s="112" t="b">
        <v>0</v>
      </c>
      <c r="J1516" s="112" t="b">
        <v>0</v>
      </c>
      <c r="K1516" s="112" t="b">
        <v>1</v>
      </c>
      <c r="L1516" s="112" t="b">
        <v>0</v>
      </c>
    </row>
    <row r="1517" spans="1:12" ht="15">
      <c r="A1517" s="112" t="s">
        <v>2242</v>
      </c>
      <c r="B1517" s="112" t="s">
        <v>2260</v>
      </c>
      <c r="C1517" s="112">
        <v>2</v>
      </c>
      <c r="D1517" s="114">
        <v>0.0014182339761965373</v>
      </c>
      <c r="E1517" s="114">
        <v>2.0116174273677467</v>
      </c>
      <c r="F1517" s="112" t="s">
        <v>2051</v>
      </c>
      <c r="G1517" s="112" t="b">
        <v>0</v>
      </c>
      <c r="H1517" s="112" t="b">
        <v>1</v>
      </c>
      <c r="I1517" s="112" t="b">
        <v>0</v>
      </c>
      <c r="J1517" s="112" t="b">
        <v>0</v>
      </c>
      <c r="K1517" s="112" t="b">
        <v>0</v>
      </c>
      <c r="L1517" s="112" t="b">
        <v>0</v>
      </c>
    </row>
    <row r="1518" spans="1:12" ht="15">
      <c r="A1518" s="112" t="s">
        <v>2283</v>
      </c>
      <c r="B1518" s="112" t="s">
        <v>2858</v>
      </c>
      <c r="C1518" s="112">
        <v>2</v>
      </c>
      <c r="D1518" s="114">
        <v>0.0014182339761965373</v>
      </c>
      <c r="E1518" s="114">
        <v>2.4607099584871657</v>
      </c>
      <c r="F1518" s="112" t="s">
        <v>2051</v>
      </c>
      <c r="G1518" s="112" t="b">
        <v>0</v>
      </c>
      <c r="H1518" s="112" t="b">
        <v>0</v>
      </c>
      <c r="I1518" s="112" t="b">
        <v>0</v>
      </c>
      <c r="J1518" s="112" t="b">
        <v>0</v>
      </c>
      <c r="K1518" s="112" t="b">
        <v>0</v>
      </c>
      <c r="L1518" s="112" t="b">
        <v>0</v>
      </c>
    </row>
    <row r="1519" spans="1:12" ht="15">
      <c r="A1519" s="112" t="s">
        <v>2078</v>
      </c>
      <c r="B1519" s="112" t="s">
        <v>2205</v>
      </c>
      <c r="C1519" s="112">
        <v>2</v>
      </c>
      <c r="D1519" s="114">
        <v>0.0011629074319522783</v>
      </c>
      <c r="E1519" s="114">
        <v>0.11472394179549772</v>
      </c>
      <c r="F1519" s="112" t="s">
        <v>2051</v>
      </c>
      <c r="G1519" s="112" t="b">
        <v>0</v>
      </c>
      <c r="H1519" s="112" t="b">
        <v>0</v>
      </c>
      <c r="I1519" s="112" t="b">
        <v>0</v>
      </c>
      <c r="J1519" s="112" t="b">
        <v>0</v>
      </c>
      <c r="K1519" s="112" t="b">
        <v>0</v>
      </c>
      <c r="L1519" s="112" t="b">
        <v>0</v>
      </c>
    </row>
    <row r="1520" spans="1:12" ht="15">
      <c r="A1520" s="112" t="s">
        <v>2135</v>
      </c>
      <c r="B1520" s="112" t="s">
        <v>2081</v>
      </c>
      <c r="C1520" s="112">
        <v>2</v>
      </c>
      <c r="D1520" s="114">
        <v>0.0011629074319522783</v>
      </c>
      <c r="E1520" s="114">
        <v>0.14684273811801235</v>
      </c>
      <c r="F1520" s="112" t="s">
        <v>2051</v>
      </c>
      <c r="G1520" s="112" t="b">
        <v>0</v>
      </c>
      <c r="H1520" s="112" t="b">
        <v>0</v>
      </c>
      <c r="I1520" s="112" t="b">
        <v>0</v>
      </c>
      <c r="J1520" s="112" t="b">
        <v>0</v>
      </c>
      <c r="K1520" s="112" t="b">
        <v>0</v>
      </c>
      <c r="L1520" s="112" t="b">
        <v>0</v>
      </c>
    </row>
    <row r="1521" spans="1:12" ht="15">
      <c r="A1521" s="112" t="s">
        <v>2151</v>
      </c>
      <c r="B1521" s="112" t="s">
        <v>2143</v>
      </c>
      <c r="C1521" s="112">
        <v>2</v>
      </c>
      <c r="D1521" s="114">
        <v>0.0014182339761965373</v>
      </c>
      <c r="E1521" s="114">
        <v>1.2054374533838597</v>
      </c>
      <c r="F1521" s="112" t="s">
        <v>2051</v>
      </c>
      <c r="G1521" s="112" t="b">
        <v>0</v>
      </c>
      <c r="H1521" s="112" t="b">
        <v>0</v>
      </c>
      <c r="I1521" s="112" t="b">
        <v>0</v>
      </c>
      <c r="J1521" s="112" t="b">
        <v>0</v>
      </c>
      <c r="K1521" s="112" t="b">
        <v>0</v>
      </c>
      <c r="L1521" s="112" t="b">
        <v>0</v>
      </c>
    </row>
    <row r="1522" spans="1:12" ht="15">
      <c r="A1522" s="112" t="s">
        <v>2855</v>
      </c>
      <c r="B1522" s="112" t="s">
        <v>2443</v>
      </c>
      <c r="C1522" s="112">
        <v>2</v>
      </c>
      <c r="D1522" s="114">
        <v>0.0014182339761965373</v>
      </c>
      <c r="E1522" s="114">
        <v>2.761739954151147</v>
      </c>
      <c r="F1522" s="112" t="s">
        <v>2051</v>
      </c>
      <c r="G1522" s="112" t="b">
        <v>0</v>
      </c>
      <c r="H1522" s="112" t="b">
        <v>0</v>
      </c>
      <c r="I1522" s="112" t="b">
        <v>0</v>
      </c>
      <c r="J1522" s="112" t="b">
        <v>0</v>
      </c>
      <c r="K1522" s="112" t="b">
        <v>0</v>
      </c>
      <c r="L1522" s="112" t="b">
        <v>0</v>
      </c>
    </row>
    <row r="1523" spans="1:12" ht="15">
      <c r="A1523" s="112" t="s">
        <v>2095</v>
      </c>
      <c r="B1523" s="112" t="s">
        <v>2151</v>
      </c>
      <c r="C1523" s="112">
        <v>2</v>
      </c>
      <c r="D1523" s="114">
        <v>0.0014182339761965373</v>
      </c>
      <c r="E1523" s="114">
        <v>0.6490511847540495</v>
      </c>
      <c r="F1523" s="112" t="s">
        <v>2051</v>
      </c>
      <c r="G1523" s="112" t="b">
        <v>0</v>
      </c>
      <c r="H1523" s="112" t="b">
        <v>0</v>
      </c>
      <c r="I1523" s="112" t="b">
        <v>0</v>
      </c>
      <c r="J1523" s="112" t="b">
        <v>0</v>
      </c>
      <c r="K1523" s="112" t="b">
        <v>0</v>
      </c>
      <c r="L1523" s="112" t="b">
        <v>0</v>
      </c>
    </row>
    <row r="1524" spans="1:12" ht="15">
      <c r="A1524" s="112" t="s">
        <v>2151</v>
      </c>
      <c r="B1524" s="112" t="s">
        <v>2140</v>
      </c>
      <c r="C1524" s="112">
        <v>2</v>
      </c>
      <c r="D1524" s="114">
        <v>0.0011629074319522783</v>
      </c>
      <c r="E1524" s="114">
        <v>1.2054374533838597</v>
      </c>
      <c r="F1524" s="112" t="s">
        <v>2051</v>
      </c>
      <c r="G1524" s="112" t="b">
        <v>0</v>
      </c>
      <c r="H1524" s="112" t="b">
        <v>0</v>
      </c>
      <c r="I1524" s="112" t="b">
        <v>0</v>
      </c>
      <c r="J1524" s="112" t="b">
        <v>0</v>
      </c>
      <c r="K1524" s="112" t="b">
        <v>0</v>
      </c>
      <c r="L1524" s="112" t="b">
        <v>0</v>
      </c>
    </row>
    <row r="1525" spans="1:12" ht="15">
      <c r="A1525" s="112" t="s">
        <v>2177</v>
      </c>
      <c r="B1525" s="112" t="s">
        <v>2166</v>
      </c>
      <c r="C1525" s="112">
        <v>2</v>
      </c>
      <c r="D1525" s="114">
        <v>0.0011629074319522783</v>
      </c>
      <c r="E1525" s="114">
        <v>1.2882529840865786</v>
      </c>
      <c r="F1525" s="112" t="s">
        <v>2051</v>
      </c>
      <c r="G1525" s="112" t="b">
        <v>0</v>
      </c>
      <c r="H1525" s="112" t="b">
        <v>0</v>
      </c>
      <c r="I1525" s="112" t="b">
        <v>0</v>
      </c>
      <c r="J1525" s="112" t="b">
        <v>0</v>
      </c>
      <c r="K1525" s="112" t="b">
        <v>0</v>
      </c>
      <c r="L1525" s="112" t="b">
        <v>0</v>
      </c>
    </row>
    <row r="1526" spans="1:12" ht="15">
      <c r="A1526" s="112" t="s">
        <v>2078</v>
      </c>
      <c r="B1526" s="112" t="s">
        <v>2207</v>
      </c>
      <c r="C1526" s="112">
        <v>2</v>
      </c>
      <c r="D1526" s="114">
        <v>0.0011629074319522783</v>
      </c>
      <c r="E1526" s="114">
        <v>0.3835692540880776</v>
      </c>
      <c r="F1526" s="112" t="s">
        <v>2051</v>
      </c>
      <c r="G1526" s="112" t="b">
        <v>0</v>
      </c>
      <c r="H1526" s="112" t="b">
        <v>0</v>
      </c>
      <c r="I1526" s="112" t="b">
        <v>0</v>
      </c>
      <c r="J1526" s="112" t="b">
        <v>0</v>
      </c>
      <c r="K1526" s="112" t="b">
        <v>0</v>
      </c>
      <c r="L1526" s="112" t="b">
        <v>0</v>
      </c>
    </row>
    <row r="1527" spans="1:12" ht="15">
      <c r="A1527" s="112" t="s">
        <v>2207</v>
      </c>
      <c r="B1527" s="112" t="s">
        <v>2177</v>
      </c>
      <c r="C1527" s="112">
        <v>2</v>
      </c>
      <c r="D1527" s="114">
        <v>0.0011629074319522783</v>
      </c>
      <c r="E1527" s="114">
        <v>1.615611918472909</v>
      </c>
      <c r="F1527" s="112" t="s">
        <v>2051</v>
      </c>
      <c r="G1527" s="112" t="b">
        <v>0</v>
      </c>
      <c r="H1527" s="112" t="b">
        <v>0</v>
      </c>
      <c r="I1527" s="112" t="b">
        <v>0</v>
      </c>
      <c r="J1527" s="112" t="b">
        <v>0</v>
      </c>
      <c r="K1527" s="112" t="b">
        <v>0</v>
      </c>
      <c r="L1527" s="112" t="b">
        <v>0</v>
      </c>
    </row>
    <row r="1528" spans="1:12" ht="15">
      <c r="A1528" s="112" t="s">
        <v>2087</v>
      </c>
      <c r="B1528" s="112" t="s">
        <v>2228</v>
      </c>
      <c r="C1528" s="112">
        <v>2</v>
      </c>
      <c r="D1528" s="114">
        <v>0.0014182339761965373</v>
      </c>
      <c r="E1528" s="114">
        <v>1.1025370766866158</v>
      </c>
      <c r="F1528" s="112" t="s">
        <v>2051</v>
      </c>
      <c r="G1528" s="112" t="b">
        <v>0</v>
      </c>
      <c r="H1528" s="112" t="b">
        <v>0</v>
      </c>
      <c r="I1528" s="112" t="b">
        <v>0</v>
      </c>
      <c r="J1528" s="112" t="b">
        <v>0</v>
      </c>
      <c r="K1528" s="112" t="b">
        <v>1</v>
      </c>
      <c r="L1528" s="112" t="b">
        <v>0</v>
      </c>
    </row>
    <row r="1529" spans="1:12" ht="15">
      <c r="A1529" s="112" t="s">
        <v>2315</v>
      </c>
      <c r="B1529" s="112" t="s">
        <v>2192</v>
      </c>
      <c r="C1529" s="112">
        <v>2</v>
      </c>
      <c r="D1529" s="114">
        <v>0.0014182339761965373</v>
      </c>
      <c r="E1529" s="114">
        <v>2.5856486950954656</v>
      </c>
      <c r="F1529" s="112" t="s">
        <v>2051</v>
      </c>
      <c r="G1529" s="112" t="b">
        <v>0</v>
      </c>
      <c r="H1529" s="112" t="b">
        <v>0</v>
      </c>
      <c r="I1529" s="112" t="b">
        <v>0</v>
      </c>
      <c r="J1529" s="112" t="b">
        <v>0</v>
      </c>
      <c r="K1529" s="112" t="b">
        <v>0</v>
      </c>
      <c r="L1529" s="112" t="b">
        <v>0</v>
      </c>
    </row>
    <row r="1530" spans="1:12" ht="15">
      <c r="A1530" s="112" t="s">
        <v>2644</v>
      </c>
      <c r="B1530" s="112" t="s">
        <v>2228</v>
      </c>
      <c r="C1530" s="112">
        <v>2</v>
      </c>
      <c r="D1530" s="114">
        <v>0.0014182339761965373</v>
      </c>
      <c r="E1530" s="114">
        <v>2.6648299411430907</v>
      </c>
      <c r="F1530" s="112" t="s">
        <v>2051</v>
      </c>
      <c r="G1530" s="112" t="b">
        <v>0</v>
      </c>
      <c r="H1530" s="112" t="b">
        <v>0</v>
      </c>
      <c r="I1530" s="112" t="b">
        <v>0</v>
      </c>
      <c r="J1530" s="112" t="b">
        <v>0</v>
      </c>
      <c r="K1530" s="112" t="b">
        <v>1</v>
      </c>
      <c r="L1530" s="112" t="b">
        <v>0</v>
      </c>
    </row>
    <row r="1531" spans="1:12" ht="15">
      <c r="A1531" s="112" t="s">
        <v>2502</v>
      </c>
      <c r="B1531" s="112" t="s">
        <v>2629</v>
      </c>
      <c r="C1531" s="112">
        <v>2</v>
      </c>
      <c r="D1531" s="114">
        <v>0.0014182339761965373</v>
      </c>
      <c r="E1531" s="114">
        <v>2.5856486950954656</v>
      </c>
      <c r="F1531" s="112" t="s">
        <v>2051</v>
      </c>
      <c r="G1531" s="112" t="b">
        <v>0</v>
      </c>
      <c r="H1531" s="112" t="b">
        <v>0</v>
      </c>
      <c r="I1531" s="112" t="b">
        <v>0</v>
      </c>
      <c r="J1531" s="112" t="b">
        <v>0</v>
      </c>
      <c r="K1531" s="112" t="b">
        <v>0</v>
      </c>
      <c r="L1531" s="112" t="b">
        <v>0</v>
      </c>
    </row>
    <row r="1532" spans="1:12" ht="15">
      <c r="A1532" s="112" t="s">
        <v>2629</v>
      </c>
      <c r="B1532" s="112" t="s">
        <v>2520</v>
      </c>
      <c r="C1532" s="112">
        <v>2</v>
      </c>
      <c r="D1532" s="114">
        <v>0.0014182339761965373</v>
      </c>
      <c r="E1532" s="114">
        <v>2.5856486950954656</v>
      </c>
      <c r="F1532" s="112" t="s">
        <v>2051</v>
      </c>
      <c r="G1532" s="112" t="b">
        <v>0</v>
      </c>
      <c r="H1532" s="112" t="b">
        <v>0</v>
      </c>
      <c r="I1532" s="112" t="b">
        <v>0</v>
      </c>
      <c r="J1532" s="112" t="b">
        <v>0</v>
      </c>
      <c r="K1532" s="112" t="b">
        <v>0</v>
      </c>
      <c r="L1532" s="112" t="b">
        <v>0</v>
      </c>
    </row>
    <row r="1533" spans="1:12" ht="15">
      <c r="A1533" s="112" t="s">
        <v>2520</v>
      </c>
      <c r="B1533" s="112" t="s">
        <v>2078</v>
      </c>
      <c r="C1533" s="112">
        <v>2</v>
      </c>
      <c r="D1533" s="114">
        <v>0.0014182339761965373</v>
      </c>
      <c r="E1533" s="114">
        <v>0.6545299845032786</v>
      </c>
      <c r="F1533" s="112" t="s">
        <v>2051</v>
      </c>
      <c r="G1533" s="112" t="b">
        <v>0</v>
      </c>
      <c r="H1533" s="112" t="b">
        <v>0</v>
      </c>
      <c r="I1533" s="112" t="b">
        <v>0</v>
      </c>
      <c r="J1533" s="112" t="b">
        <v>0</v>
      </c>
      <c r="K1533" s="112" t="b">
        <v>0</v>
      </c>
      <c r="L1533" s="112" t="b">
        <v>0</v>
      </c>
    </row>
    <row r="1534" spans="1:12" ht="15">
      <c r="A1534" s="112" t="s">
        <v>2079</v>
      </c>
      <c r="B1534" s="112" t="s">
        <v>2223</v>
      </c>
      <c r="C1534" s="112">
        <v>2</v>
      </c>
      <c r="D1534" s="114">
        <v>0.0011629074319522783</v>
      </c>
      <c r="E1534" s="114">
        <v>0.2164328376853228</v>
      </c>
      <c r="F1534" s="112" t="s">
        <v>2051</v>
      </c>
      <c r="G1534" s="112" t="b">
        <v>0</v>
      </c>
      <c r="H1534" s="112" t="b">
        <v>0</v>
      </c>
      <c r="I1534" s="112" t="b">
        <v>0</v>
      </c>
      <c r="J1534" s="112" t="b">
        <v>0</v>
      </c>
      <c r="K1534" s="112" t="b">
        <v>0</v>
      </c>
      <c r="L1534" s="112" t="b">
        <v>0</v>
      </c>
    </row>
    <row r="1535" spans="1:12" ht="15">
      <c r="A1535" s="112" t="s">
        <v>2078</v>
      </c>
      <c r="B1535" s="112" t="s">
        <v>2506</v>
      </c>
      <c r="C1535" s="112">
        <v>2</v>
      </c>
      <c r="D1535" s="114">
        <v>0.0011629074319522783</v>
      </c>
      <c r="E1535" s="114">
        <v>0.626607302774372</v>
      </c>
      <c r="F1535" s="112" t="s">
        <v>2051</v>
      </c>
      <c r="G1535" s="112" t="b">
        <v>0</v>
      </c>
      <c r="H1535" s="112" t="b">
        <v>0</v>
      </c>
      <c r="I1535" s="112" t="b">
        <v>0</v>
      </c>
      <c r="J1535" s="112" t="b">
        <v>0</v>
      </c>
      <c r="K1535" s="112" t="b">
        <v>0</v>
      </c>
      <c r="L1535" s="112" t="b">
        <v>0</v>
      </c>
    </row>
    <row r="1536" spans="1:12" ht="15">
      <c r="A1536" s="112" t="s">
        <v>2432</v>
      </c>
      <c r="B1536" s="112" t="s">
        <v>2081</v>
      </c>
      <c r="C1536" s="112">
        <v>2</v>
      </c>
      <c r="D1536" s="114">
        <v>0.0011629074319522783</v>
      </c>
      <c r="E1536" s="114">
        <v>1.049932725109956</v>
      </c>
      <c r="F1536" s="112" t="s">
        <v>2051</v>
      </c>
      <c r="G1536" s="112" t="b">
        <v>0</v>
      </c>
      <c r="H1536" s="112" t="b">
        <v>0</v>
      </c>
      <c r="I1536" s="112" t="b">
        <v>0</v>
      </c>
      <c r="J1536" s="112" t="b">
        <v>0</v>
      </c>
      <c r="K1536" s="112" t="b">
        <v>0</v>
      </c>
      <c r="L1536" s="112" t="b">
        <v>0</v>
      </c>
    </row>
    <row r="1537" spans="1:12" ht="15">
      <c r="A1537" s="112" t="s">
        <v>2441</v>
      </c>
      <c r="B1537" s="112" t="s">
        <v>2384</v>
      </c>
      <c r="C1537" s="112">
        <v>2</v>
      </c>
      <c r="D1537" s="114">
        <v>0.0014182339761965373</v>
      </c>
      <c r="E1537" s="114">
        <v>2.187708686423428</v>
      </c>
      <c r="F1537" s="112" t="s">
        <v>2051</v>
      </c>
      <c r="G1537" s="112" t="b">
        <v>0</v>
      </c>
      <c r="H1537" s="112" t="b">
        <v>0</v>
      </c>
      <c r="I1537" s="112" t="b">
        <v>0</v>
      </c>
      <c r="J1537" s="112" t="b">
        <v>0</v>
      </c>
      <c r="K1537" s="112" t="b">
        <v>0</v>
      </c>
      <c r="L1537" s="112" t="b">
        <v>0</v>
      </c>
    </row>
    <row r="1538" spans="1:12" ht="15">
      <c r="A1538" s="112" t="s">
        <v>2079</v>
      </c>
      <c r="B1538" s="112" t="s">
        <v>2441</v>
      </c>
      <c r="C1538" s="112">
        <v>2</v>
      </c>
      <c r="D1538" s="114">
        <v>0.0014182339761965373</v>
      </c>
      <c r="E1538" s="114">
        <v>0.5966440793969289</v>
      </c>
      <c r="F1538" s="112" t="s">
        <v>2051</v>
      </c>
      <c r="G1538" s="112" t="b">
        <v>0</v>
      </c>
      <c r="H1538" s="112" t="b">
        <v>0</v>
      </c>
      <c r="I1538" s="112" t="b">
        <v>0</v>
      </c>
      <c r="J1538" s="112" t="b">
        <v>0</v>
      </c>
      <c r="K1538" s="112" t="b">
        <v>0</v>
      </c>
      <c r="L1538" s="112" t="b">
        <v>0</v>
      </c>
    </row>
    <row r="1539" spans="1:12" ht="15">
      <c r="A1539" s="112" t="s">
        <v>2255</v>
      </c>
      <c r="B1539" s="112" t="s">
        <v>2087</v>
      </c>
      <c r="C1539" s="112">
        <v>2</v>
      </c>
      <c r="D1539" s="114">
        <v>0.0014182339761965373</v>
      </c>
      <c r="E1539" s="114">
        <v>0.8593290829846904</v>
      </c>
      <c r="F1539" s="112" t="s">
        <v>2051</v>
      </c>
      <c r="G1539" s="112" t="b">
        <v>0</v>
      </c>
      <c r="H1539" s="112" t="b">
        <v>0</v>
      </c>
      <c r="I1539" s="112" t="b">
        <v>0</v>
      </c>
      <c r="J1539" s="112" t="b">
        <v>0</v>
      </c>
      <c r="K1539" s="112" t="b">
        <v>0</v>
      </c>
      <c r="L1539" s="112" t="b">
        <v>0</v>
      </c>
    </row>
    <row r="1540" spans="1:12" ht="15">
      <c r="A1540" s="112" t="s">
        <v>2078</v>
      </c>
      <c r="B1540" s="112" t="s">
        <v>2143</v>
      </c>
      <c r="C1540" s="112">
        <v>2</v>
      </c>
      <c r="D1540" s="114">
        <v>0.0011629074319522783</v>
      </c>
      <c r="E1540" s="114">
        <v>0.0245473114464097</v>
      </c>
      <c r="F1540" s="112" t="s">
        <v>2051</v>
      </c>
      <c r="G1540" s="112" t="b">
        <v>0</v>
      </c>
      <c r="H1540" s="112" t="b">
        <v>0</v>
      </c>
      <c r="I1540" s="112" t="b">
        <v>0</v>
      </c>
      <c r="J1540" s="112" t="b">
        <v>0</v>
      </c>
      <c r="K1540" s="112" t="b">
        <v>0</v>
      </c>
      <c r="L1540" s="112" t="b">
        <v>0</v>
      </c>
    </row>
    <row r="1541" spans="1:12" ht="15">
      <c r="A1541" s="112" t="s">
        <v>2212</v>
      </c>
      <c r="B1541" s="112" t="s">
        <v>2212</v>
      </c>
      <c r="C1541" s="112">
        <v>2</v>
      </c>
      <c r="D1541" s="114">
        <v>0.0014182339761965373</v>
      </c>
      <c r="E1541" s="114">
        <v>1.6234372559848655</v>
      </c>
      <c r="F1541" s="112" t="s">
        <v>2051</v>
      </c>
      <c r="G1541" s="112" t="b">
        <v>0</v>
      </c>
      <c r="H1541" s="112" t="b">
        <v>0</v>
      </c>
      <c r="I1541" s="112" t="b">
        <v>0</v>
      </c>
      <c r="J1541" s="112" t="b">
        <v>0</v>
      </c>
      <c r="K1541" s="112" t="b">
        <v>0</v>
      </c>
      <c r="L1541" s="112" t="b">
        <v>0</v>
      </c>
    </row>
    <row r="1542" spans="1:12" ht="15">
      <c r="A1542" s="112" t="s">
        <v>2850</v>
      </c>
      <c r="B1542" s="112" t="s">
        <v>2191</v>
      </c>
      <c r="C1542" s="112">
        <v>2</v>
      </c>
      <c r="D1542" s="114">
        <v>0.0014182339761965373</v>
      </c>
      <c r="E1542" s="114">
        <v>2.1596799628231844</v>
      </c>
      <c r="F1542" s="112" t="s">
        <v>2051</v>
      </c>
      <c r="G1542" s="112" t="b">
        <v>0</v>
      </c>
      <c r="H1542" s="112" t="b">
        <v>0</v>
      </c>
      <c r="I1542" s="112" t="b">
        <v>0</v>
      </c>
      <c r="J1542" s="112" t="b">
        <v>0</v>
      </c>
      <c r="K1542" s="112" t="b">
        <v>0</v>
      </c>
      <c r="L1542" s="112" t="b">
        <v>0</v>
      </c>
    </row>
    <row r="1543" spans="1:12" ht="15">
      <c r="A1543" s="112" t="s">
        <v>2191</v>
      </c>
      <c r="B1543" s="112" t="s">
        <v>2389</v>
      </c>
      <c r="C1543" s="112">
        <v>2</v>
      </c>
      <c r="D1543" s="114">
        <v>0.0014182339761965373</v>
      </c>
      <c r="E1543" s="114">
        <v>2.1596799628231844</v>
      </c>
      <c r="F1543" s="112" t="s">
        <v>2051</v>
      </c>
      <c r="G1543" s="112" t="b">
        <v>0</v>
      </c>
      <c r="H1543" s="112" t="b">
        <v>0</v>
      </c>
      <c r="I1543" s="112" t="b">
        <v>0</v>
      </c>
      <c r="J1543" s="112" t="b">
        <v>0</v>
      </c>
      <c r="K1543" s="112" t="b">
        <v>0</v>
      </c>
      <c r="L1543" s="112" t="b">
        <v>0</v>
      </c>
    </row>
    <row r="1544" spans="1:12" ht="15">
      <c r="A1544" s="112" t="s">
        <v>2086</v>
      </c>
      <c r="B1544" s="112" t="s">
        <v>2235</v>
      </c>
      <c r="C1544" s="112">
        <v>2</v>
      </c>
      <c r="D1544" s="114">
        <v>0.0011629074319522783</v>
      </c>
      <c r="E1544" s="114">
        <v>1.0203913516752519</v>
      </c>
      <c r="F1544" s="112" t="s">
        <v>2051</v>
      </c>
      <c r="G1544" s="112" t="b">
        <v>0</v>
      </c>
      <c r="H1544" s="112" t="b">
        <v>0</v>
      </c>
      <c r="I1544" s="112" t="b">
        <v>0</v>
      </c>
      <c r="J1544" s="112" t="b">
        <v>0</v>
      </c>
      <c r="K1544" s="112" t="b">
        <v>0</v>
      </c>
      <c r="L1544" s="112" t="b">
        <v>0</v>
      </c>
    </row>
    <row r="1545" spans="1:12" ht="15">
      <c r="A1545" s="112" t="s">
        <v>2078</v>
      </c>
      <c r="B1545" s="112" t="s">
        <v>2131</v>
      </c>
      <c r="C1545" s="112">
        <v>2</v>
      </c>
      <c r="D1545" s="114">
        <v>0.0011629074319522783</v>
      </c>
      <c r="E1545" s="114">
        <v>-0.26269439973193826</v>
      </c>
      <c r="F1545" s="112" t="s">
        <v>2051</v>
      </c>
      <c r="G1545" s="112" t="b">
        <v>0</v>
      </c>
      <c r="H1545" s="112" t="b">
        <v>0</v>
      </c>
      <c r="I1545" s="112" t="b">
        <v>0</v>
      </c>
      <c r="J1545" s="112" t="b">
        <v>0</v>
      </c>
      <c r="K1545" s="112" t="b">
        <v>0</v>
      </c>
      <c r="L1545" s="112" t="b">
        <v>0</v>
      </c>
    </row>
    <row r="1546" spans="1:12" ht="15">
      <c r="A1546" s="112" t="s">
        <v>2388</v>
      </c>
      <c r="B1546" s="112" t="s">
        <v>2211</v>
      </c>
      <c r="C1546" s="112">
        <v>2</v>
      </c>
      <c r="D1546" s="114">
        <v>0.0014182339761965373</v>
      </c>
      <c r="E1546" s="114">
        <v>1.9835887037675033</v>
      </c>
      <c r="F1546" s="112" t="s">
        <v>2051</v>
      </c>
      <c r="G1546" s="112" t="b">
        <v>1</v>
      </c>
      <c r="H1546" s="112" t="b">
        <v>0</v>
      </c>
      <c r="I1546" s="112" t="b">
        <v>0</v>
      </c>
      <c r="J1546" s="112" t="b">
        <v>0</v>
      </c>
      <c r="K1546" s="112" t="b">
        <v>0</v>
      </c>
      <c r="L1546" s="112" t="b">
        <v>0</v>
      </c>
    </row>
    <row r="1547" spans="1:12" ht="15">
      <c r="A1547" s="112" t="s">
        <v>2106</v>
      </c>
      <c r="B1547" s="112" t="s">
        <v>2081</v>
      </c>
      <c r="C1547" s="112">
        <v>2</v>
      </c>
      <c r="D1547" s="114">
        <v>0.0011629074319522783</v>
      </c>
      <c r="E1547" s="114">
        <v>0.2717814747263123</v>
      </c>
      <c r="F1547" s="112" t="s">
        <v>2051</v>
      </c>
      <c r="G1547" s="112" t="b">
        <v>0</v>
      </c>
      <c r="H1547" s="112" t="b">
        <v>0</v>
      </c>
      <c r="I1547" s="112" t="b">
        <v>0</v>
      </c>
      <c r="J1547" s="112" t="b">
        <v>0</v>
      </c>
      <c r="K1547" s="112" t="b">
        <v>0</v>
      </c>
      <c r="L1547" s="112" t="b">
        <v>0</v>
      </c>
    </row>
    <row r="1548" spans="1:12" ht="15">
      <c r="A1548" s="112" t="s">
        <v>2078</v>
      </c>
      <c r="B1548" s="112" t="s">
        <v>2344</v>
      </c>
      <c r="C1548" s="112">
        <v>2</v>
      </c>
      <c r="D1548" s="114">
        <v>0.0011629074319522783</v>
      </c>
      <c r="E1548" s="114">
        <v>0.4505160437186908</v>
      </c>
      <c r="F1548" s="112" t="s">
        <v>2051</v>
      </c>
      <c r="G1548" s="112" t="b">
        <v>0</v>
      </c>
      <c r="H1548" s="112" t="b">
        <v>0</v>
      </c>
      <c r="I1548" s="112" t="b">
        <v>0</v>
      </c>
      <c r="J1548" s="112" t="b">
        <v>0</v>
      </c>
      <c r="K1548" s="112" t="b">
        <v>0</v>
      </c>
      <c r="L1548" s="112" t="b">
        <v>0</v>
      </c>
    </row>
    <row r="1549" spans="1:12" ht="15">
      <c r="A1549" s="112" t="s">
        <v>2087</v>
      </c>
      <c r="B1549" s="112" t="s">
        <v>2149</v>
      </c>
      <c r="C1549" s="112">
        <v>2</v>
      </c>
      <c r="D1549" s="114">
        <v>0.0014182339761965373</v>
      </c>
      <c r="E1549" s="114">
        <v>0.4792877862887153</v>
      </c>
      <c r="F1549" s="112" t="s">
        <v>2051</v>
      </c>
      <c r="G1549" s="112" t="b">
        <v>0</v>
      </c>
      <c r="H1549" s="112" t="b">
        <v>0</v>
      </c>
      <c r="I1549" s="112" t="b">
        <v>0</v>
      </c>
      <c r="J1549" s="112" t="b">
        <v>0</v>
      </c>
      <c r="K1549" s="112" t="b">
        <v>0</v>
      </c>
      <c r="L1549" s="112" t="b">
        <v>0</v>
      </c>
    </row>
    <row r="1550" spans="1:12" ht="15">
      <c r="A1550" s="112" t="s">
        <v>2344</v>
      </c>
      <c r="B1550" s="112" t="s">
        <v>2086</v>
      </c>
      <c r="C1550" s="112">
        <v>2</v>
      </c>
      <c r="D1550" s="114">
        <v>0.0014182339761965373</v>
      </c>
      <c r="E1550" s="114">
        <v>1.1964826107309332</v>
      </c>
      <c r="F1550" s="112" t="s">
        <v>2051</v>
      </c>
      <c r="G1550" s="112" t="b">
        <v>0</v>
      </c>
      <c r="H1550" s="112" t="b">
        <v>0</v>
      </c>
      <c r="I1550" s="112" t="b">
        <v>0</v>
      </c>
      <c r="J1550" s="112" t="b">
        <v>0</v>
      </c>
      <c r="K1550" s="112" t="b">
        <v>0</v>
      </c>
      <c r="L1550" s="112" t="b">
        <v>0</v>
      </c>
    </row>
    <row r="1551" spans="1:12" ht="15">
      <c r="A1551" s="112" t="s">
        <v>2197</v>
      </c>
      <c r="B1551" s="112" t="s">
        <v>2108</v>
      </c>
      <c r="C1551" s="112">
        <v>2</v>
      </c>
      <c r="D1551" s="114">
        <v>0.0014182339761965373</v>
      </c>
      <c r="E1551" s="114">
        <v>1.5094939036780286</v>
      </c>
      <c r="F1551" s="112" t="s">
        <v>2051</v>
      </c>
      <c r="G1551" s="112" t="b">
        <v>0</v>
      </c>
      <c r="H1551" s="112" t="b">
        <v>0</v>
      </c>
      <c r="I1551" s="112" t="b">
        <v>0</v>
      </c>
      <c r="J1551" s="112" t="b">
        <v>0</v>
      </c>
      <c r="K1551" s="112" t="b">
        <v>0</v>
      </c>
      <c r="L1551" s="112" t="b">
        <v>0</v>
      </c>
    </row>
    <row r="1552" spans="1:12" ht="15">
      <c r="A1552" s="112" t="s">
        <v>2197</v>
      </c>
      <c r="B1552" s="112" t="s">
        <v>2197</v>
      </c>
      <c r="C1552" s="112">
        <v>2</v>
      </c>
      <c r="D1552" s="114">
        <v>0.0014182339761965373</v>
      </c>
      <c r="E1552" s="114">
        <v>1.4047585531580158</v>
      </c>
      <c r="F1552" s="112" t="s">
        <v>2051</v>
      </c>
      <c r="G1552" s="112" t="b">
        <v>0</v>
      </c>
      <c r="H1552" s="112" t="b">
        <v>0</v>
      </c>
      <c r="I1552" s="112" t="b">
        <v>0</v>
      </c>
      <c r="J1552" s="112" t="b">
        <v>0</v>
      </c>
      <c r="K1552" s="112" t="b">
        <v>0</v>
      </c>
      <c r="L1552" s="112" t="b">
        <v>0</v>
      </c>
    </row>
    <row r="1553" spans="1:12" ht="15">
      <c r="A1553" s="112" t="s">
        <v>2197</v>
      </c>
      <c r="B1553" s="112" t="s">
        <v>2144</v>
      </c>
      <c r="C1553" s="112">
        <v>2</v>
      </c>
      <c r="D1553" s="114">
        <v>0.0014182339761965373</v>
      </c>
      <c r="E1553" s="114">
        <v>1.2956140837329477</v>
      </c>
      <c r="F1553" s="112" t="s">
        <v>2051</v>
      </c>
      <c r="G1553" s="112" t="b">
        <v>0</v>
      </c>
      <c r="H1553" s="112" t="b">
        <v>0</v>
      </c>
      <c r="I1553" s="112" t="b">
        <v>0</v>
      </c>
      <c r="J1553" s="112" t="b">
        <v>0</v>
      </c>
      <c r="K1553" s="112" t="b">
        <v>0</v>
      </c>
      <c r="L1553" s="112" t="b">
        <v>0</v>
      </c>
    </row>
    <row r="1554" spans="1:12" ht="15">
      <c r="A1554" s="112" t="s">
        <v>2436</v>
      </c>
      <c r="B1554" s="112" t="s">
        <v>2516</v>
      </c>
      <c r="C1554" s="112">
        <v>2</v>
      </c>
      <c r="D1554" s="114">
        <v>0.0014182339761965373</v>
      </c>
      <c r="E1554" s="114">
        <v>2.7105874317037655</v>
      </c>
      <c r="F1554" s="112" t="s">
        <v>2051</v>
      </c>
      <c r="G1554" s="112" t="b">
        <v>0</v>
      </c>
      <c r="H1554" s="112" t="b">
        <v>0</v>
      </c>
      <c r="I1554" s="112" t="b">
        <v>0</v>
      </c>
      <c r="J1554" s="112" t="b">
        <v>0</v>
      </c>
      <c r="K1554" s="112" t="b">
        <v>0</v>
      </c>
      <c r="L1554" s="112" t="b">
        <v>0</v>
      </c>
    </row>
    <row r="1555" spans="1:12" ht="15">
      <c r="A1555" s="112" t="s">
        <v>2385</v>
      </c>
      <c r="B1555" s="112" t="s">
        <v>2310</v>
      </c>
      <c r="C1555" s="112">
        <v>2</v>
      </c>
      <c r="D1555" s="114">
        <v>0.0014182339761965373</v>
      </c>
      <c r="E1555" s="114">
        <v>2.187708686423428</v>
      </c>
      <c r="F1555" s="112" t="s">
        <v>2051</v>
      </c>
      <c r="G1555" s="112" t="b">
        <v>0</v>
      </c>
      <c r="H1555" s="112" t="b">
        <v>0</v>
      </c>
      <c r="I1555" s="112" t="b">
        <v>0</v>
      </c>
      <c r="J1555" s="112" t="b">
        <v>0</v>
      </c>
      <c r="K1555" s="112" t="b">
        <v>0</v>
      </c>
      <c r="L1555" s="112" t="b">
        <v>0</v>
      </c>
    </row>
    <row r="1556" spans="1:12" ht="15">
      <c r="A1556" s="112" t="s">
        <v>2143</v>
      </c>
      <c r="B1556" s="112" t="s">
        <v>2385</v>
      </c>
      <c r="C1556" s="112">
        <v>2</v>
      </c>
      <c r="D1556" s="114">
        <v>0.0014182339761965373</v>
      </c>
      <c r="E1556" s="114">
        <v>1.761739954151147</v>
      </c>
      <c r="F1556" s="112" t="s">
        <v>2051</v>
      </c>
      <c r="G1556" s="112" t="b">
        <v>0</v>
      </c>
      <c r="H1556" s="112" t="b">
        <v>0</v>
      </c>
      <c r="I1556" s="112" t="b">
        <v>0</v>
      </c>
      <c r="J1556" s="112" t="b">
        <v>0</v>
      </c>
      <c r="K1556" s="112" t="b">
        <v>0</v>
      </c>
      <c r="L1556" s="112" t="b">
        <v>0</v>
      </c>
    </row>
    <row r="1557" spans="1:12" ht="15">
      <c r="A1557" s="112" t="s">
        <v>2227</v>
      </c>
      <c r="B1557" s="112" t="s">
        <v>2227</v>
      </c>
      <c r="C1557" s="112">
        <v>2</v>
      </c>
      <c r="D1557" s="114">
        <v>0.0014182339761965373</v>
      </c>
      <c r="E1557" s="114">
        <v>1.8586499671592034</v>
      </c>
      <c r="F1557" s="112" t="s">
        <v>2051</v>
      </c>
      <c r="G1557" s="112" t="b">
        <v>0</v>
      </c>
      <c r="H1557" s="112" t="b">
        <v>0</v>
      </c>
      <c r="I1557" s="112" t="b">
        <v>0</v>
      </c>
      <c r="J1557" s="112" t="b">
        <v>0</v>
      </c>
      <c r="K1557" s="112" t="b">
        <v>0</v>
      </c>
      <c r="L1557" s="112" t="b">
        <v>0</v>
      </c>
    </row>
    <row r="1558" spans="1:12" ht="15">
      <c r="A1558" s="112" t="s">
        <v>2512</v>
      </c>
      <c r="B1558" s="112" t="s">
        <v>2087</v>
      </c>
      <c r="C1558" s="112">
        <v>2</v>
      </c>
      <c r="D1558" s="114">
        <v>0.0014182339761965373</v>
      </c>
      <c r="E1558" s="114">
        <v>1.211511601096053</v>
      </c>
      <c r="F1558" s="112" t="s">
        <v>2051</v>
      </c>
      <c r="G1558" s="112" t="b">
        <v>0</v>
      </c>
      <c r="H1558" s="112" t="b">
        <v>0</v>
      </c>
      <c r="I1558" s="112" t="b">
        <v>0</v>
      </c>
      <c r="J1558" s="112" t="b">
        <v>0</v>
      </c>
      <c r="K1558" s="112" t="b">
        <v>0</v>
      </c>
      <c r="L1558" s="112" t="b">
        <v>0</v>
      </c>
    </row>
    <row r="1559" spans="1:12" ht="15">
      <c r="A1559" s="112" t="s">
        <v>2078</v>
      </c>
      <c r="B1559" s="112" t="s">
        <v>2306</v>
      </c>
      <c r="C1559" s="112">
        <v>2</v>
      </c>
      <c r="D1559" s="114">
        <v>0.0011629074319522783</v>
      </c>
      <c r="E1559" s="114">
        <v>0.3255773071103909</v>
      </c>
      <c r="F1559" s="112" t="s">
        <v>2051</v>
      </c>
      <c r="G1559" s="112" t="b">
        <v>0</v>
      </c>
      <c r="H1559" s="112" t="b">
        <v>0</v>
      </c>
      <c r="I1559" s="112" t="b">
        <v>0</v>
      </c>
      <c r="J1559" s="112" t="b">
        <v>0</v>
      </c>
      <c r="K1559" s="112" t="b">
        <v>0</v>
      </c>
      <c r="L1559" s="112" t="b">
        <v>0</v>
      </c>
    </row>
    <row r="1560" spans="1:12" ht="15">
      <c r="A1560" s="112" t="s">
        <v>2079</v>
      </c>
      <c r="B1560" s="112" t="s">
        <v>2508</v>
      </c>
      <c r="C1560" s="112">
        <v>2</v>
      </c>
      <c r="D1560" s="114">
        <v>0.0014182339761965373</v>
      </c>
      <c r="E1560" s="114">
        <v>0.6935540924049853</v>
      </c>
      <c r="F1560" s="112" t="s">
        <v>2051</v>
      </c>
      <c r="G1560" s="112" t="b">
        <v>0</v>
      </c>
      <c r="H1560" s="112" t="b">
        <v>0</v>
      </c>
      <c r="I1560" s="112" t="b">
        <v>0</v>
      </c>
      <c r="J1560" s="112" t="b">
        <v>0</v>
      </c>
      <c r="K1560" s="112" t="b">
        <v>0</v>
      </c>
      <c r="L1560" s="112" t="b">
        <v>0</v>
      </c>
    </row>
    <row r="1561" spans="1:12" ht="15">
      <c r="A1561" s="112" t="s">
        <v>2626</v>
      </c>
      <c r="B1561" s="112" t="s">
        <v>2433</v>
      </c>
      <c r="C1561" s="112">
        <v>2</v>
      </c>
      <c r="D1561" s="114">
        <v>0.0014182339761965373</v>
      </c>
      <c r="E1561" s="114">
        <v>2.4887386820874093</v>
      </c>
      <c r="F1561" s="112" t="s">
        <v>2051</v>
      </c>
      <c r="G1561" s="112" t="b">
        <v>0</v>
      </c>
      <c r="H1561" s="112" t="b">
        <v>0</v>
      </c>
      <c r="I1561" s="112" t="b">
        <v>0</v>
      </c>
      <c r="J1561" s="112" t="b">
        <v>0</v>
      </c>
      <c r="K1561" s="112" t="b">
        <v>0</v>
      </c>
      <c r="L1561" s="112" t="b">
        <v>0</v>
      </c>
    </row>
    <row r="1562" spans="1:12" ht="15">
      <c r="A1562" s="112" t="s">
        <v>2308</v>
      </c>
      <c r="B1562" s="112" t="s">
        <v>2149</v>
      </c>
      <c r="C1562" s="112">
        <v>2</v>
      </c>
      <c r="D1562" s="114">
        <v>0.0014182339761965373</v>
      </c>
      <c r="E1562" s="114">
        <v>2.04158065074519</v>
      </c>
      <c r="F1562" s="112" t="s">
        <v>2051</v>
      </c>
      <c r="G1562" s="112" t="b">
        <v>0</v>
      </c>
      <c r="H1562" s="112" t="b">
        <v>0</v>
      </c>
      <c r="I1562" s="112" t="b">
        <v>0</v>
      </c>
      <c r="J1562" s="112" t="b">
        <v>0</v>
      </c>
      <c r="K1562" s="112" t="b">
        <v>0</v>
      </c>
      <c r="L1562" s="112" t="b">
        <v>0</v>
      </c>
    </row>
    <row r="1563" spans="1:12" ht="15">
      <c r="A1563" s="112" t="s">
        <v>2078</v>
      </c>
      <c r="B1563" s="112" t="s">
        <v>2149</v>
      </c>
      <c r="C1563" s="112">
        <v>2</v>
      </c>
      <c r="D1563" s="114">
        <v>0.0014182339761965373</v>
      </c>
      <c r="E1563" s="114">
        <v>-0.09355200063158484</v>
      </c>
      <c r="F1563" s="112" t="s">
        <v>2051</v>
      </c>
      <c r="G1563" s="112" t="b">
        <v>0</v>
      </c>
      <c r="H1563" s="112" t="b">
        <v>0</v>
      </c>
      <c r="I1563" s="112" t="b">
        <v>0</v>
      </c>
      <c r="J1563" s="112" t="b">
        <v>0</v>
      </c>
      <c r="K1563" s="112" t="b">
        <v>0</v>
      </c>
      <c r="L1563" s="112" t="b">
        <v>0</v>
      </c>
    </row>
    <row r="1564" spans="1:12" ht="15">
      <c r="A1564" s="112" t="s">
        <v>2079</v>
      </c>
      <c r="B1564" s="112" t="s">
        <v>2205</v>
      </c>
      <c r="C1564" s="112">
        <v>2</v>
      </c>
      <c r="D1564" s="114">
        <v>0.0014182339761965373</v>
      </c>
      <c r="E1564" s="114">
        <v>0.18167073142611087</v>
      </c>
      <c r="F1564" s="112" t="s">
        <v>2051</v>
      </c>
      <c r="G1564" s="112" t="b">
        <v>0</v>
      </c>
      <c r="H1564" s="112" t="b">
        <v>0</v>
      </c>
      <c r="I1564" s="112" t="b">
        <v>0</v>
      </c>
      <c r="J1564" s="112" t="b">
        <v>0</v>
      </c>
      <c r="K1564" s="112" t="b">
        <v>0</v>
      </c>
      <c r="L1564" s="112" t="b">
        <v>0</v>
      </c>
    </row>
    <row r="1565" spans="1:12" ht="15">
      <c r="A1565" s="112" t="s">
        <v>2234</v>
      </c>
      <c r="B1565" s="112" t="s">
        <v>2078</v>
      </c>
      <c r="C1565" s="112">
        <v>2</v>
      </c>
      <c r="D1565" s="114">
        <v>0.0014182339761965373</v>
      </c>
      <c r="E1565" s="114">
        <v>0.21519729067301585</v>
      </c>
      <c r="F1565" s="112" t="s">
        <v>2051</v>
      </c>
      <c r="G1565" s="112" t="b">
        <v>0</v>
      </c>
      <c r="H1565" s="112" t="b">
        <v>0</v>
      </c>
      <c r="I1565" s="112" t="b">
        <v>0</v>
      </c>
      <c r="J1565" s="112" t="b">
        <v>0</v>
      </c>
      <c r="K1565" s="112" t="b">
        <v>0</v>
      </c>
      <c r="L1565" s="112" t="b">
        <v>0</v>
      </c>
    </row>
    <row r="1566" spans="1:12" ht="15">
      <c r="A1566" s="112" t="s">
        <v>2079</v>
      </c>
      <c r="B1566" s="112" t="s">
        <v>2234</v>
      </c>
      <c r="C1566" s="112">
        <v>2</v>
      </c>
      <c r="D1566" s="114">
        <v>0.0014182339761965373</v>
      </c>
      <c r="E1566" s="114">
        <v>0.2542213985747226</v>
      </c>
      <c r="F1566" s="112" t="s">
        <v>2051</v>
      </c>
      <c r="G1566" s="112" t="b">
        <v>0</v>
      </c>
      <c r="H1566" s="112" t="b">
        <v>0</v>
      </c>
      <c r="I1566" s="112" t="b">
        <v>0</v>
      </c>
      <c r="J1566" s="112" t="b">
        <v>0</v>
      </c>
      <c r="K1566" s="112" t="b">
        <v>0</v>
      </c>
      <c r="L1566" s="112" t="b">
        <v>0</v>
      </c>
    </row>
    <row r="1567" spans="1:12" ht="15">
      <c r="A1567" s="112" t="s">
        <v>2825</v>
      </c>
      <c r="B1567" s="112" t="s">
        <v>2826</v>
      </c>
      <c r="C1567" s="112">
        <v>2</v>
      </c>
      <c r="D1567" s="114">
        <v>0.0014182339761965373</v>
      </c>
      <c r="E1567" s="114">
        <v>3.062769949815128</v>
      </c>
      <c r="F1567" s="112" t="s">
        <v>2051</v>
      </c>
      <c r="G1567" s="112" t="b">
        <v>0</v>
      </c>
      <c r="H1567" s="112" t="b">
        <v>0</v>
      </c>
      <c r="I1567" s="112" t="b">
        <v>0</v>
      </c>
      <c r="J1567" s="112" t="b">
        <v>0</v>
      </c>
      <c r="K1567" s="112" t="b">
        <v>1</v>
      </c>
      <c r="L1567" s="112" t="b">
        <v>0</v>
      </c>
    </row>
    <row r="1568" spans="1:12" ht="15">
      <c r="A1568" s="112" t="s">
        <v>2234</v>
      </c>
      <c r="B1568" s="112" t="s">
        <v>2090</v>
      </c>
      <c r="C1568" s="112">
        <v>2</v>
      </c>
      <c r="D1568" s="114">
        <v>0.0014182339761965373</v>
      </c>
      <c r="E1568" s="114">
        <v>1.5820445708266402</v>
      </c>
      <c r="F1568" s="112" t="s">
        <v>2051</v>
      </c>
      <c r="G1568" s="112" t="b">
        <v>0</v>
      </c>
      <c r="H1568" s="112" t="b">
        <v>0</v>
      </c>
      <c r="I1568" s="112" t="b">
        <v>0</v>
      </c>
      <c r="J1568" s="112" t="b">
        <v>0</v>
      </c>
      <c r="K1568" s="112" t="b">
        <v>0</v>
      </c>
      <c r="L1568" s="112" t="b">
        <v>0</v>
      </c>
    </row>
    <row r="1569" spans="1:12" ht="15">
      <c r="A1569" s="112" t="s">
        <v>2234</v>
      </c>
      <c r="B1569" s="112" t="s">
        <v>2830</v>
      </c>
      <c r="C1569" s="112">
        <v>2</v>
      </c>
      <c r="D1569" s="114">
        <v>0.0014182339761965373</v>
      </c>
      <c r="E1569" s="114">
        <v>2.322407260320884</v>
      </c>
      <c r="F1569" s="112" t="s">
        <v>2051</v>
      </c>
      <c r="G1569" s="112" t="b">
        <v>0</v>
      </c>
      <c r="H1569" s="112" t="b">
        <v>0</v>
      </c>
      <c r="I1569" s="112" t="b">
        <v>0</v>
      </c>
      <c r="J1569" s="112" t="b">
        <v>0</v>
      </c>
      <c r="K1569" s="112" t="b">
        <v>0</v>
      </c>
      <c r="L1569" s="112" t="b">
        <v>0</v>
      </c>
    </row>
    <row r="1570" spans="1:12" ht="15">
      <c r="A1570" s="112" t="s">
        <v>2187</v>
      </c>
      <c r="B1570" s="112" t="s">
        <v>2082</v>
      </c>
      <c r="C1570" s="112">
        <v>14</v>
      </c>
      <c r="D1570" s="114">
        <v>0.008017285870568934</v>
      </c>
      <c r="E1570" s="114">
        <v>1.3099612923014554</v>
      </c>
      <c r="F1570" s="112" t="s">
        <v>2052</v>
      </c>
      <c r="G1570" s="112" t="b">
        <v>0</v>
      </c>
      <c r="H1570" s="112" t="b">
        <v>0</v>
      </c>
      <c r="I1570" s="112" t="b">
        <v>0</v>
      </c>
      <c r="J1570" s="112" t="b">
        <v>0</v>
      </c>
      <c r="K1570" s="112" t="b">
        <v>0</v>
      </c>
      <c r="L1570" s="112" t="b">
        <v>0</v>
      </c>
    </row>
    <row r="1571" spans="1:12" ht="15">
      <c r="A1571" s="112" t="s">
        <v>2082</v>
      </c>
      <c r="B1571" s="112" t="s">
        <v>2148</v>
      </c>
      <c r="C1571" s="112">
        <v>11</v>
      </c>
      <c r="D1571" s="114">
        <v>0.003910805559839639</v>
      </c>
      <c r="E1571" s="114">
        <v>1.146359282560621</v>
      </c>
      <c r="F1571" s="112" t="s">
        <v>2052</v>
      </c>
      <c r="G1571" s="112" t="b">
        <v>0</v>
      </c>
      <c r="H1571" s="112" t="b">
        <v>0</v>
      </c>
      <c r="I1571" s="112" t="b">
        <v>0</v>
      </c>
      <c r="J1571" s="112" t="b">
        <v>0</v>
      </c>
      <c r="K1571" s="112" t="b">
        <v>0</v>
      </c>
      <c r="L1571" s="112" t="b">
        <v>0</v>
      </c>
    </row>
    <row r="1572" spans="1:12" ht="15">
      <c r="A1572" s="112" t="s">
        <v>2082</v>
      </c>
      <c r="B1572" s="112" t="s">
        <v>2305</v>
      </c>
      <c r="C1572" s="112">
        <v>9</v>
      </c>
      <c r="D1572" s="114">
        <v>0.009143018339855207</v>
      </c>
      <c r="E1572" s="114">
        <v>1.3354155187806698</v>
      </c>
      <c r="F1572" s="112" t="s">
        <v>2052</v>
      </c>
      <c r="G1572" s="112" t="b">
        <v>0</v>
      </c>
      <c r="H1572" s="112" t="b">
        <v>0</v>
      </c>
      <c r="I1572" s="112" t="b">
        <v>0</v>
      </c>
      <c r="J1572" s="112" t="b">
        <v>1</v>
      </c>
      <c r="K1572" s="112" t="b">
        <v>0</v>
      </c>
      <c r="L1572" s="112" t="b">
        <v>0</v>
      </c>
    </row>
    <row r="1573" spans="1:12" ht="15">
      <c r="A1573" s="112" t="s">
        <v>2148</v>
      </c>
      <c r="B1573" s="112" t="s">
        <v>2187</v>
      </c>
      <c r="C1573" s="112">
        <v>9</v>
      </c>
      <c r="D1573" s="114">
        <v>0.005153969488222886</v>
      </c>
      <c r="E1573" s="114">
        <v>1.4954941075899781</v>
      </c>
      <c r="F1573" s="112" t="s">
        <v>2052</v>
      </c>
      <c r="G1573" s="112" t="b">
        <v>0</v>
      </c>
      <c r="H1573" s="112" t="b">
        <v>0</v>
      </c>
      <c r="I1573" s="112" t="b">
        <v>0</v>
      </c>
      <c r="J1573" s="112" t="b">
        <v>0</v>
      </c>
      <c r="K1573" s="112" t="b">
        <v>0</v>
      </c>
      <c r="L1573" s="112" t="b">
        <v>0</v>
      </c>
    </row>
    <row r="1574" spans="1:12" ht="15">
      <c r="A1574" s="112" t="s">
        <v>2082</v>
      </c>
      <c r="B1574" s="112" t="s">
        <v>2187</v>
      </c>
      <c r="C1574" s="112">
        <v>8</v>
      </c>
      <c r="D1574" s="114">
        <v>0.0035458212014509516</v>
      </c>
      <c r="E1574" s="114">
        <v>1.0080565843943396</v>
      </c>
      <c r="F1574" s="112" t="s">
        <v>2052</v>
      </c>
      <c r="G1574" s="112" t="b">
        <v>0</v>
      </c>
      <c r="H1574" s="112" t="b">
        <v>0</v>
      </c>
      <c r="I1574" s="112" t="b">
        <v>0</v>
      </c>
      <c r="J1574" s="112" t="b">
        <v>0</v>
      </c>
      <c r="K1574" s="112" t="b">
        <v>0</v>
      </c>
      <c r="L1574" s="112" t="b">
        <v>0</v>
      </c>
    </row>
    <row r="1575" spans="1:12" ht="15">
      <c r="A1575" s="112" t="s">
        <v>2138</v>
      </c>
      <c r="B1575" s="112" t="s">
        <v>2133</v>
      </c>
      <c r="C1575" s="112">
        <v>7</v>
      </c>
      <c r="D1575" s="114">
        <v>0.004993386909485161</v>
      </c>
      <c r="E1575" s="114">
        <v>1.771700519528927</v>
      </c>
      <c r="F1575" s="112" t="s">
        <v>2052</v>
      </c>
      <c r="G1575" s="112" t="b">
        <v>0</v>
      </c>
      <c r="H1575" s="112" t="b">
        <v>0</v>
      </c>
      <c r="I1575" s="112" t="b">
        <v>0</v>
      </c>
      <c r="J1575" s="112" t="b">
        <v>0</v>
      </c>
      <c r="K1575" s="112" t="b">
        <v>0</v>
      </c>
      <c r="L1575" s="112" t="b">
        <v>0</v>
      </c>
    </row>
    <row r="1576" spans="1:12" ht="15">
      <c r="A1576" s="112" t="s">
        <v>2082</v>
      </c>
      <c r="B1576" s="112" t="s">
        <v>2379</v>
      </c>
      <c r="C1576" s="112">
        <v>6</v>
      </c>
      <c r="D1576" s="114">
        <v>0.0031347193694774332</v>
      </c>
      <c r="E1576" s="114">
        <v>1.2684687291500565</v>
      </c>
      <c r="F1576" s="112" t="s">
        <v>2052</v>
      </c>
      <c r="G1576" s="112" t="b">
        <v>0</v>
      </c>
      <c r="H1576" s="112" t="b">
        <v>0</v>
      </c>
      <c r="I1576" s="112" t="b">
        <v>0</v>
      </c>
      <c r="J1576" s="112" t="b">
        <v>1</v>
      </c>
      <c r="K1576" s="112" t="b">
        <v>0</v>
      </c>
      <c r="L1576" s="112" t="b">
        <v>0</v>
      </c>
    </row>
    <row r="1577" spans="1:12" ht="15">
      <c r="A1577" s="112" t="s">
        <v>2379</v>
      </c>
      <c r="B1577" s="112" t="s">
        <v>2082</v>
      </c>
      <c r="C1577" s="112">
        <v>6</v>
      </c>
      <c r="D1577" s="114">
        <v>0.0031347193694774332</v>
      </c>
      <c r="E1577" s="114">
        <v>1.327335388370878</v>
      </c>
      <c r="F1577" s="112" t="s">
        <v>2052</v>
      </c>
      <c r="G1577" s="112" t="b">
        <v>1</v>
      </c>
      <c r="H1577" s="112" t="b">
        <v>0</v>
      </c>
      <c r="I1577" s="112" t="b">
        <v>0</v>
      </c>
      <c r="J1577" s="112" t="b">
        <v>0</v>
      </c>
      <c r="K1577" s="112" t="b">
        <v>0</v>
      </c>
      <c r="L1577" s="112" t="b">
        <v>0</v>
      </c>
    </row>
    <row r="1578" spans="1:12" ht="15">
      <c r="A1578" s="112" t="s">
        <v>2303</v>
      </c>
      <c r="B1578" s="112" t="s">
        <v>2304</v>
      </c>
      <c r="C1578" s="112">
        <v>6</v>
      </c>
      <c r="D1578" s="114">
        <v>0.0031347193694774332</v>
      </c>
      <c r="E1578" s="114">
        <v>2.056340099004739</v>
      </c>
      <c r="F1578" s="112" t="s">
        <v>2052</v>
      </c>
      <c r="G1578" s="112" t="b">
        <v>0</v>
      </c>
      <c r="H1578" s="112" t="b">
        <v>0</v>
      </c>
      <c r="I1578" s="112" t="b">
        <v>0</v>
      </c>
      <c r="J1578" s="112" t="b">
        <v>0</v>
      </c>
      <c r="K1578" s="112" t="b">
        <v>0</v>
      </c>
      <c r="L1578" s="112" t="b">
        <v>0</v>
      </c>
    </row>
    <row r="1579" spans="1:12" ht="15">
      <c r="A1579" s="112" t="s">
        <v>2250</v>
      </c>
      <c r="B1579" s="112" t="s">
        <v>2082</v>
      </c>
      <c r="C1579" s="112">
        <v>5</v>
      </c>
      <c r="D1579" s="114">
        <v>0.005079454633252893</v>
      </c>
      <c r="E1579" s="114">
        <v>1.051859497179285</v>
      </c>
      <c r="F1579" s="112" t="s">
        <v>2052</v>
      </c>
      <c r="G1579" s="112" t="b">
        <v>0</v>
      </c>
      <c r="H1579" s="112" t="b">
        <v>0</v>
      </c>
      <c r="I1579" s="112" t="b">
        <v>0</v>
      </c>
      <c r="J1579" s="112" t="b">
        <v>0</v>
      </c>
      <c r="K1579" s="112" t="b">
        <v>0</v>
      </c>
      <c r="L1579" s="112" t="b">
        <v>0</v>
      </c>
    </row>
    <row r="1580" spans="1:12" ht="15">
      <c r="A1580" s="112" t="s">
        <v>2304</v>
      </c>
      <c r="B1580" s="112" t="s">
        <v>2339</v>
      </c>
      <c r="C1580" s="112">
        <v>5</v>
      </c>
      <c r="D1580" s="114">
        <v>0.0028633163823460483</v>
      </c>
      <c r="E1580" s="114">
        <v>2.0283113754044955</v>
      </c>
      <c r="F1580" s="112" t="s">
        <v>2052</v>
      </c>
      <c r="G1580" s="112" t="b">
        <v>0</v>
      </c>
      <c r="H1580" s="112" t="b">
        <v>0</v>
      </c>
      <c r="I1580" s="112" t="b">
        <v>0</v>
      </c>
      <c r="J1580" s="112" t="b">
        <v>0</v>
      </c>
      <c r="K1580" s="112" t="b">
        <v>0</v>
      </c>
      <c r="L1580" s="112" t="b">
        <v>0</v>
      </c>
    </row>
    <row r="1581" spans="1:12" ht="15">
      <c r="A1581" s="112" t="s">
        <v>2390</v>
      </c>
      <c r="B1581" s="112" t="s">
        <v>2498</v>
      </c>
      <c r="C1581" s="112">
        <v>5</v>
      </c>
      <c r="D1581" s="114">
        <v>0.005079454633252893</v>
      </c>
      <c r="E1581" s="114">
        <v>2.4877038631637265</v>
      </c>
      <c r="F1581" s="112" t="s">
        <v>2052</v>
      </c>
      <c r="G1581" s="112" t="b">
        <v>0</v>
      </c>
      <c r="H1581" s="112" t="b">
        <v>0</v>
      </c>
      <c r="I1581" s="112" t="b">
        <v>0</v>
      </c>
      <c r="J1581" s="112" t="b">
        <v>0</v>
      </c>
      <c r="K1581" s="112" t="b">
        <v>0</v>
      </c>
      <c r="L1581" s="112" t="b">
        <v>0</v>
      </c>
    </row>
    <row r="1582" spans="1:12" ht="15">
      <c r="A1582" s="112" t="s">
        <v>2133</v>
      </c>
      <c r="B1582" s="112" t="s">
        <v>2138</v>
      </c>
      <c r="C1582" s="112">
        <v>4</v>
      </c>
      <c r="D1582" s="114">
        <v>0.0025364616360177552</v>
      </c>
      <c r="E1582" s="114">
        <v>1.6426058231494696</v>
      </c>
      <c r="F1582" s="112" t="s">
        <v>2052</v>
      </c>
      <c r="G1582" s="112" t="b">
        <v>0</v>
      </c>
      <c r="H1582" s="112" t="b">
        <v>0</v>
      </c>
      <c r="I1582" s="112" t="b">
        <v>0</v>
      </c>
      <c r="J1582" s="112" t="b">
        <v>0</v>
      </c>
      <c r="K1582" s="112" t="b">
        <v>0</v>
      </c>
      <c r="L1582" s="112" t="b">
        <v>0</v>
      </c>
    </row>
    <row r="1583" spans="1:12" ht="15">
      <c r="A1583" s="112" t="s">
        <v>2138</v>
      </c>
      <c r="B1583" s="112" t="s">
        <v>2323</v>
      </c>
      <c r="C1583" s="112">
        <v>4</v>
      </c>
      <c r="D1583" s="114">
        <v>0.002853363948277235</v>
      </c>
      <c r="E1583" s="114">
        <v>1.975820502184852</v>
      </c>
      <c r="F1583" s="112" t="s">
        <v>2052</v>
      </c>
      <c r="G1583" s="112" t="b">
        <v>0</v>
      </c>
      <c r="H1583" s="112" t="b">
        <v>0</v>
      </c>
      <c r="I1583" s="112" t="b">
        <v>0</v>
      </c>
      <c r="J1583" s="112" t="b">
        <v>0</v>
      </c>
      <c r="K1583" s="112" t="b">
        <v>0</v>
      </c>
      <c r="L1583" s="112" t="b">
        <v>0</v>
      </c>
    </row>
    <row r="1584" spans="1:12" ht="15">
      <c r="A1584" s="112" t="s">
        <v>2333</v>
      </c>
      <c r="B1584" s="112" t="s">
        <v>2501</v>
      </c>
      <c r="C1584" s="112">
        <v>4</v>
      </c>
      <c r="D1584" s="114">
        <v>0.004063563706602314</v>
      </c>
      <c r="E1584" s="114">
        <v>2.244665814477432</v>
      </c>
      <c r="F1584" s="112" t="s">
        <v>2052</v>
      </c>
      <c r="G1584" s="112" t="b">
        <v>0</v>
      </c>
      <c r="H1584" s="112" t="b">
        <v>0</v>
      </c>
      <c r="I1584" s="112" t="b">
        <v>0</v>
      </c>
      <c r="J1584" s="112" t="b">
        <v>0</v>
      </c>
      <c r="K1584" s="112" t="b">
        <v>1</v>
      </c>
      <c r="L1584" s="112" t="b">
        <v>0</v>
      </c>
    </row>
    <row r="1585" spans="1:12" ht="15">
      <c r="A1585" s="112" t="s">
        <v>2144</v>
      </c>
      <c r="B1585" s="112" t="s">
        <v>2179</v>
      </c>
      <c r="C1585" s="112">
        <v>4</v>
      </c>
      <c r="D1585" s="114">
        <v>0.003300012671310035</v>
      </c>
      <c r="E1585" s="114">
        <v>2.135521345052364</v>
      </c>
      <c r="F1585" s="112" t="s">
        <v>2052</v>
      </c>
      <c r="G1585" s="112" t="b">
        <v>0</v>
      </c>
      <c r="H1585" s="112" t="b">
        <v>0</v>
      </c>
      <c r="I1585" s="112" t="b">
        <v>0</v>
      </c>
      <c r="J1585" s="112" t="b">
        <v>0</v>
      </c>
      <c r="K1585" s="112" t="b">
        <v>1</v>
      </c>
      <c r="L1585" s="112" t="b">
        <v>0</v>
      </c>
    </row>
    <row r="1586" spans="1:12" ht="15">
      <c r="A1586" s="112" t="s">
        <v>2281</v>
      </c>
      <c r="B1586" s="112" t="s">
        <v>2144</v>
      </c>
      <c r="C1586" s="112">
        <v>4</v>
      </c>
      <c r="D1586" s="114">
        <v>0.004063563706602314</v>
      </c>
      <c r="E1586" s="114">
        <v>2.23243135806042</v>
      </c>
      <c r="F1586" s="112" t="s">
        <v>2052</v>
      </c>
      <c r="G1586" s="112" t="b">
        <v>0</v>
      </c>
      <c r="H1586" s="112" t="b">
        <v>1</v>
      </c>
      <c r="I1586" s="112" t="b">
        <v>0</v>
      </c>
      <c r="J1586" s="112" t="b">
        <v>0</v>
      </c>
      <c r="K1586" s="112" t="b">
        <v>0</v>
      </c>
      <c r="L1586" s="112" t="b">
        <v>0</v>
      </c>
    </row>
    <row r="1587" spans="1:12" ht="15">
      <c r="A1587" s="112" t="s">
        <v>2328</v>
      </c>
      <c r="B1587" s="112" t="s">
        <v>2547</v>
      </c>
      <c r="C1587" s="112">
        <v>3</v>
      </c>
      <c r="D1587" s="114">
        <v>0.0030476727799517355</v>
      </c>
      <c r="E1587" s="114">
        <v>2.5846138761717827</v>
      </c>
      <c r="F1587" s="112" t="s">
        <v>2052</v>
      </c>
      <c r="G1587" s="112" t="b">
        <v>0</v>
      </c>
      <c r="H1587" s="112" t="b">
        <v>0</v>
      </c>
      <c r="I1587" s="112" t="b">
        <v>0</v>
      </c>
      <c r="J1587" s="112" t="b">
        <v>0</v>
      </c>
      <c r="K1587" s="112" t="b">
        <v>0</v>
      </c>
      <c r="L1587" s="112" t="b">
        <v>0</v>
      </c>
    </row>
    <row r="1588" spans="1:12" ht="15">
      <c r="A1588" s="112" t="s">
        <v>2333</v>
      </c>
      <c r="B1588" s="112" t="s">
        <v>2812</v>
      </c>
      <c r="C1588" s="112">
        <v>3</v>
      </c>
      <c r="D1588" s="114">
        <v>0.0024750095034825263</v>
      </c>
      <c r="E1588" s="114">
        <v>2.3415758274854883</v>
      </c>
      <c r="F1588" s="112" t="s">
        <v>2052</v>
      </c>
      <c r="G1588" s="112" t="b">
        <v>0</v>
      </c>
      <c r="H1588" s="112" t="b">
        <v>0</v>
      </c>
      <c r="I1588" s="112" t="b">
        <v>0</v>
      </c>
      <c r="J1588" s="112" t="b">
        <v>0</v>
      </c>
      <c r="K1588" s="112" t="b">
        <v>0</v>
      </c>
      <c r="L1588" s="112" t="b">
        <v>0</v>
      </c>
    </row>
    <row r="1589" spans="1:12" ht="15">
      <c r="A1589" s="112" t="s">
        <v>2187</v>
      </c>
      <c r="B1589" s="112" t="s">
        <v>2148</v>
      </c>
      <c r="C1589" s="112">
        <v>3</v>
      </c>
      <c r="D1589" s="114">
        <v>0.0021400229612079263</v>
      </c>
      <c r="E1589" s="114">
        <v>1.2028972794628598</v>
      </c>
      <c r="F1589" s="112" t="s">
        <v>2052</v>
      </c>
      <c r="G1589" s="112" t="b">
        <v>0</v>
      </c>
      <c r="H1589" s="112" t="b">
        <v>0</v>
      </c>
      <c r="I1589" s="112" t="b">
        <v>0</v>
      </c>
      <c r="J1589" s="112" t="b">
        <v>0</v>
      </c>
      <c r="K1589" s="112" t="b">
        <v>0</v>
      </c>
      <c r="L1589" s="112" t="b">
        <v>0</v>
      </c>
    </row>
    <row r="1590" spans="1:12" ht="15">
      <c r="A1590" s="112" t="s">
        <v>2140</v>
      </c>
      <c r="B1590" s="112" t="s">
        <v>2082</v>
      </c>
      <c r="C1590" s="112">
        <v>3</v>
      </c>
      <c r="D1590" s="114">
        <v>0.0021400229612079263</v>
      </c>
      <c r="E1590" s="114">
        <v>0.8300107475629286</v>
      </c>
      <c r="F1590" s="112" t="s">
        <v>2052</v>
      </c>
      <c r="G1590" s="112" t="b">
        <v>0</v>
      </c>
      <c r="H1590" s="112" t="b">
        <v>0</v>
      </c>
      <c r="I1590" s="112" t="b">
        <v>0</v>
      </c>
      <c r="J1590" s="112" t="b">
        <v>0</v>
      </c>
      <c r="K1590" s="112" t="b">
        <v>0</v>
      </c>
      <c r="L1590" s="112" t="b">
        <v>0</v>
      </c>
    </row>
    <row r="1591" spans="1:12" ht="15">
      <c r="A1591" s="112" t="s">
        <v>2817</v>
      </c>
      <c r="B1591" s="112" t="s">
        <v>2818</v>
      </c>
      <c r="C1591" s="112">
        <v>3</v>
      </c>
      <c r="D1591" s="114">
        <v>0.0030476727799517355</v>
      </c>
      <c r="E1591" s="114">
        <v>2.7095526127800826</v>
      </c>
      <c r="F1591" s="112" t="s">
        <v>2052</v>
      </c>
      <c r="G1591" s="112" t="b">
        <v>0</v>
      </c>
      <c r="H1591" s="112" t="b">
        <v>0</v>
      </c>
      <c r="I1591" s="112" t="b">
        <v>0</v>
      </c>
      <c r="J1591" s="112" t="b">
        <v>0</v>
      </c>
      <c r="K1591" s="112" t="b">
        <v>0</v>
      </c>
      <c r="L1591" s="112" t="b">
        <v>0</v>
      </c>
    </row>
    <row r="1592" spans="1:12" ht="15">
      <c r="A1592" s="112" t="s">
        <v>2249</v>
      </c>
      <c r="B1592" s="112" t="s">
        <v>2500</v>
      </c>
      <c r="C1592" s="112">
        <v>3</v>
      </c>
      <c r="D1592" s="114">
        <v>0.0030476727799517355</v>
      </c>
      <c r="E1592" s="114">
        <v>1.9234324327251637</v>
      </c>
      <c r="F1592" s="112" t="s">
        <v>2052</v>
      </c>
      <c r="G1592" s="112" t="b">
        <v>0</v>
      </c>
      <c r="H1592" s="112" t="b">
        <v>0</v>
      </c>
      <c r="I1592" s="112" t="b">
        <v>0</v>
      </c>
      <c r="J1592" s="112" t="b">
        <v>0</v>
      </c>
      <c r="K1592" s="112" t="b">
        <v>0</v>
      </c>
      <c r="L1592" s="112" t="b">
        <v>0</v>
      </c>
    </row>
    <row r="1593" spans="1:12" ht="15">
      <c r="A1593" s="112" t="s">
        <v>2243</v>
      </c>
      <c r="B1593" s="112" t="s">
        <v>2249</v>
      </c>
      <c r="C1593" s="112">
        <v>3</v>
      </c>
      <c r="D1593" s="114">
        <v>0.0030476727799517355</v>
      </c>
      <c r="E1593" s="114">
        <v>1.9234324327251637</v>
      </c>
      <c r="F1593" s="112" t="s">
        <v>2052</v>
      </c>
      <c r="G1593" s="112" t="b">
        <v>0</v>
      </c>
      <c r="H1593" s="112" t="b">
        <v>1</v>
      </c>
      <c r="I1593" s="112" t="b">
        <v>0</v>
      </c>
      <c r="J1593" s="112" t="b">
        <v>0</v>
      </c>
      <c r="K1593" s="112" t="b">
        <v>0</v>
      </c>
      <c r="L1593" s="112" t="b">
        <v>0</v>
      </c>
    </row>
    <row r="1594" spans="1:12" ht="15">
      <c r="A1594" s="112" t="s">
        <v>2249</v>
      </c>
      <c r="B1594" s="112" t="s">
        <v>2243</v>
      </c>
      <c r="C1594" s="112">
        <v>3</v>
      </c>
      <c r="D1594" s="114">
        <v>0.0030476727799517355</v>
      </c>
      <c r="E1594" s="114">
        <v>1.8442511866775388</v>
      </c>
      <c r="F1594" s="112" t="s">
        <v>2052</v>
      </c>
      <c r="G1594" s="112" t="b">
        <v>0</v>
      </c>
      <c r="H1594" s="112" t="b">
        <v>0</v>
      </c>
      <c r="I1594" s="112" t="b">
        <v>0</v>
      </c>
      <c r="J1594" s="112" t="b">
        <v>0</v>
      </c>
      <c r="K1594" s="112" t="b">
        <v>1</v>
      </c>
      <c r="L1594" s="112" t="b">
        <v>0</v>
      </c>
    </row>
    <row r="1595" spans="1:12" ht="15">
      <c r="A1595" s="112" t="s">
        <v>2547</v>
      </c>
      <c r="B1595" s="112" t="s">
        <v>2328</v>
      </c>
      <c r="C1595" s="112">
        <v>2</v>
      </c>
      <c r="D1595" s="114">
        <v>0.002031781853301157</v>
      </c>
      <c r="E1595" s="114">
        <v>2.4085226171161014</v>
      </c>
      <c r="F1595" s="112" t="s">
        <v>2052</v>
      </c>
      <c r="G1595" s="112" t="b">
        <v>0</v>
      </c>
      <c r="H1595" s="112" t="b">
        <v>0</v>
      </c>
      <c r="I1595" s="112" t="b">
        <v>0</v>
      </c>
      <c r="J1595" s="112" t="b">
        <v>0</v>
      </c>
      <c r="K1595" s="112" t="b">
        <v>0</v>
      </c>
      <c r="L1595" s="112" t="b">
        <v>0</v>
      </c>
    </row>
    <row r="1596" spans="1:12" ht="15">
      <c r="A1596" s="112" t="s">
        <v>2156</v>
      </c>
      <c r="B1596" s="112" t="s">
        <v>2156</v>
      </c>
      <c r="C1596" s="112">
        <v>2</v>
      </c>
      <c r="D1596" s="114">
        <v>0.002031781853301157</v>
      </c>
      <c r="E1596" s="114">
        <v>1.165484568429807</v>
      </c>
      <c r="F1596" s="112" t="s">
        <v>2052</v>
      </c>
      <c r="G1596" s="112" t="b">
        <v>0</v>
      </c>
      <c r="H1596" s="112" t="b">
        <v>0</v>
      </c>
      <c r="I1596" s="112" t="b">
        <v>0</v>
      </c>
      <c r="J1596" s="112" t="b">
        <v>0</v>
      </c>
      <c r="K1596" s="112" t="b">
        <v>0</v>
      </c>
      <c r="L1596" s="112" t="b">
        <v>0</v>
      </c>
    </row>
    <row r="1597" spans="1:12" ht="15">
      <c r="A1597" s="112" t="s">
        <v>3307</v>
      </c>
      <c r="B1597" s="112" t="s">
        <v>2156</v>
      </c>
      <c r="C1597" s="112">
        <v>2</v>
      </c>
      <c r="D1597" s="114">
        <v>0.002031781853301157</v>
      </c>
      <c r="E1597" s="114">
        <v>2.010582608444064</v>
      </c>
      <c r="F1597" s="112" t="s">
        <v>2052</v>
      </c>
      <c r="G1597" s="112" t="b">
        <v>0</v>
      </c>
      <c r="H1597" s="112" t="b">
        <v>0</v>
      </c>
      <c r="I1597" s="112" t="b">
        <v>0</v>
      </c>
      <c r="J1597" s="112" t="b">
        <v>0</v>
      </c>
      <c r="K1597" s="112" t="b">
        <v>0</v>
      </c>
      <c r="L1597" s="112" t="b">
        <v>0</v>
      </c>
    </row>
    <row r="1598" spans="1:12" ht="15">
      <c r="A1598" s="112" t="s">
        <v>2156</v>
      </c>
      <c r="B1598" s="112" t="s">
        <v>3308</v>
      </c>
      <c r="C1598" s="112">
        <v>2</v>
      </c>
      <c r="D1598" s="114">
        <v>0.002031781853301157</v>
      </c>
      <c r="E1598" s="114">
        <v>2.040545831821507</v>
      </c>
      <c r="F1598" s="112" t="s">
        <v>2052</v>
      </c>
      <c r="G1598" s="112" t="b">
        <v>0</v>
      </c>
      <c r="H1598" s="112" t="b">
        <v>0</v>
      </c>
      <c r="I1598" s="112" t="b">
        <v>0</v>
      </c>
      <c r="J1598" s="112" t="b">
        <v>0</v>
      </c>
      <c r="K1598" s="112" t="b">
        <v>0</v>
      </c>
      <c r="L1598" s="112" t="b">
        <v>0</v>
      </c>
    </row>
    <row r="1599" spans="1:12" ht="15">
      <c r="A1599" s="112" t="s">
        <v>2133</v>
      </c>
      <c r="B1599" s="112" t="s">
        <v>3274</v>
      </c>
      <c r="C1599" s="112">
        <v>2</v>
      </c>
      <c r="D1599" s="114">
        <v>0.0016500063356550175</v>
      </c>
      <c r="E1599" s="114">
        <v>2.040545831821507</v>
      </c>
      <c r="F1599" s="112" t="s">
        <v>2052</v>
      </c>
      <c r="G1599" s="112" t="b">
        <v>0</v>
      </c>
      <c r="H1599" s="112" t="b">
        <v>0</v>
      </c>
      <c r="I1599" s="112" t="b">
        <v>0</v>
      </c>
      <c r="J1599" s="112" t="b">
        <v>0</v>
      </c>
      <c r="K1599" s="112" t="b">
        <v>0</v>
      </c>
      <c r="L1599" s="112" t="b">
        <v>0</v>
      </c>
    </row>
    <row r="1600" spans="1:12" ht="15">
      <c r="A1600" s="112" t="s">
        <v>3274</v>
      </c>
      <c r="B1600" s="112" t="s">
        <v>3275</v>
      </c>
      <c r="C1600" s="112">
        <v>2</v>
      </c>
      <c r="D1600" s="114">
        <v>0.0016500063356550175</v>
      </c>
      <c r="E1600" s="114">
        <v>2.885643871835764</v>
      </c>
      <c r="F1600" s="112" t="s">
        <v>2052</v>
      </c>
      <c r="G1600" s="112" t="b">
        <v>0</v>
      </c>
      <c r="H1600" s="112" t="b">
        <v>0</v>
      </c>
      <c r="I1600" s="112" t="b">
        <v>0</v>
      </c>
      <c r="J1600" s="112" t="b">
        <v>0</v>
      </c>
      <c r="K1600" s="112" t="b">
        <v>0</v>
      </c>
      <c r="L1600" s="112" t="b">
        <v>0</v>
      </c>
    </row>
    <row r="1601" spans="1:12" ht="15">
      <c r="A1601" s="112" t="s">
        <v>3276</v>
      </c>
      <c r="B1601" s="112" t="s">
        <v>3277</v>
      </c>
      <c r="C1601" s="112">
        <v>2</v>
      </c>
      <c r="D1601" s="114">
        <v>0.0016500063356550175</v>
      </c>
      <c r="E1601" s="114">
        <v>2.885643871835764</v>
      </c>
      <c r="F1601" s="112" t="s">
        <v>2052</v>
      </c>
      <c r="G1601" s="112" t="b">
        <v>0</v>
      </c>
      <c r="H1601" s="112" t="b">
        <v>0</v>
      </c>
      <c r="I1601" s="112" t="b">
        <v>0</v>
      </c>
      <c r="J1601" s="112" t="b">
        <v>0</v>
      </c>
      <c r="K1601" s="112" t="b">
        <v>0</v>
      </c>
      <c r="L1601" s="112" t="b">
        <v>0</v>
      </c>
    </row>
    <row r="1602" spans="1:12" ht="15">
      <c r="A1602" s="112" t="s">
        <v>2323</v>
      </c>
      <c r="B1602" s="112" t="s">
        <v>3251</v>
      </c>
      <c r="C1602" s="112">
        <v>2</v>
      </c>
      <c r="D1602" s="114">
        <v>0.0016500063356550175</v>
      </c>
      <c r="E1602" s="114">
        <v>2.4877038631637265</v>
      </c>
      <c r="F1602" s="112" t="s">
        <v>2052</v>
      </c>
      <c r="G1602" s="112" t="b">
        <v>0</v>
      </c>
      <c r="H1602" s="112" t="b">
        <v>0</v>
      </c>
      <c r="I1602" s="112" t="b">
        <v>0</v>
      </c>
      <c r="J1602" s="112" t="b">
        <v>0</v>
      </c>
      <c r="K1602" s="112" t="b">
        <v>0</v>
      </c>
      <c r="L1602" s="112" t="b">
        <v>0</v>
      </c>
    </row>
    <row r="1603" spans="1:12" ht="15">
      <c r="A1603" s="112" t="s">
        <v>2086</v>
      </c>
      <c r="B1603" s="112" t="s">
        <v>2389</v>
      </c>
      <c r="C1603" s="112">
        <v>2</v>
      </c>
      <c r="D1603" s="114">
        <v>0.002031781853301157</v>
      </c>
      <c r="E1603" s="114">
        <v>2.4877038631637265</v>
      </c>
      <c r="F1603" s="112" t="s">
        <v>2052</v>
      </c>
      <c r="G1603" s="112" t="b">
        <v>0</v>
      </c>
      <c r="H1603" s="112" t="b">
        <v>0</v>
      </c>
      <c r="I1603" s="112" t="b">
        <v>0</v>
      </c>
      <c r="J1603" s="112" t="b">
        <v>0</v>
      </c>
      <c r="K1603" s="112" t="b">
        <v>0</v>
      </c>
      <c r="L1603" s="112" t="b">
        <v>0</v>
      </c>
    </row>
    <row r="1604" spans="1:12" ht="15">
      <c r="A1604" s="112" t="s">
        <v>2813</v>
      </c>
      <c r="B1604" s="112" t="s">
        <v>2554</v>
      </c>
      <c r="C1604" s="112">
        <v>2</v>
      </c>
      <c r="D1604" s="114">
        <v>0.0016500063356550175</v>
      </c>
      <c r="E1604" s="114">
        <v>2.7095526127800826</v>
      </c>
      <c r="F1604" s="112" t="s">
        <v>2052</v>
      </c>
      <c r="G1604" s="112" t="b">
        <v>0</v>
      </c>
      <c r="H1604" s="112" t="b">
        <v>0</v>
      </c>
      <c r="I1604" s="112" t="b">
        <v>0</v>
      </c>
      <c r="J1604" s="112" t="b">
        <v>0</v>
      </c>
      <c r="K1604" s="112" t="b">
        <v>0</v>
      </c>
      <c r="L1604" s="112" t="b">
        <v>0</v>
      </c>
    </row>
    <row r="1605" spans="1:12" ht="15">
      <c r="A1605" s="112" t="s">
        <v>2554</v>
      </c>
      <c r="B1605" s="112" t="s">
        <v>2140</v>
      </c>
      <c r="C1605" s="112">
        <v>2</v>
      </c>
      <c r="D1605" s="114">
        <v>0.0016500063356550175</v>
      </c>
      <c r="E1605" s="114">
        <v>2.1452811823415203</v>
      </c>
      <c r="F1605" s="112" t="s">
        <v>2052</v>
      </c>
      <c r="G1605" s="112" t="b">
        <v>0</v>
      </c>
      <c r="H1605" s="112" t="b">
        <v>0</v>
      </c>
      <c r="I1605" s="112" t="b">
        <v>0</v>
      </c>
      <c r="J1605" s="112" t="b">
        <v>0</v>
      </c>
      <c r="K1605" s="112" t="b">
        <v>0</v>
      </c>
      <c r="L1605" s="112" t="b">
        <v>0</v>
      </c>
    </row>
    <row r="1606" spans="1:12" ht="15">
      <c r="A1606" s="112" t="s">
        <v>2305</v>
      </c>
      <c r="B1606" s="112" t="s">
        <v>3304</v>
      </c>
      <c r="C1606" s="112">
        <v>2</v>
      </c>
      <c r="D1606" s="114">
        <v>0.002031781853301157</v>
      </c>
      <c r="E1606" s="114">
        <v>2.2835838805078015</v>
      </c>
      <c r="F1606" s="112" t="s">
        <v>2052</v>
      </c>
      <c r="G1606" s="112" t="b">
        <v>1</v>
      </c>
      <c r="H1606" s="112" t="b">
        <v>0</v>
      </c>
      <c r="I1606" s="112" t="b">
        <v>0</v>
      </c>
      <c r="J1606" s="112" t="b">
        <v>1</v>
      </c>
      <c r="K1606" s="112" t="b">
        <v>0</v>
      </c>
      <c r="L1606" s="112" t="b">
        <v>0</v>
      </c>
    </row>
    <row r="1607" spans="1:12" ht="15">
      <c r="A1607" s="112" t="s">
        <v>2326</v>
      </c>
      <c r="B1607" s="112" t="s">
        <v>2489</v>
      </c>
      <c r="C1607" s="112">
        <v>2</v>
      </c>
      <c r="D1607" s="114">
        <v>0.002031781853301157</v>
      </c>
      <c r="E1607" s="114">
        <v>2.5334613537244013</v>
      </c>
      <c r="F1607" s="112" t="s">
        <v>2052</v>
      </c>
      <c r="G1607" s="112" t="b">
        <v>0</v>
      </c>
      <c r="H1607" s="112" t="b">
        <v>0</v>
      </c>
      <c r="I1607" s="112" t="b">
        <v>0</v>
      </c>
      <c r="J1607" s="112" t="b">
        <v>0</v>
      </c>
      <c r="K1607" s="112" t="b">
        <v>0</v>
      </c>
      <c r="L1607" s="112" t="b">
        <v>0</v>
      </c>
    </row>
    <row r="1608" spans="1:12" ht="15">
      <c r="A1608" s="112" t="s">
        <v>2489</v>
      </c>
      <c r="B1608" s="112" t="s">
        <v>2250</v>
      </c>
      <c r="C1608" s="112">
        <v>2</v>
      </c>
      <c r="D1608" s="114">
        <v>0.002031781853301157</v>
      </c>
      <c r="E1608" s="114">
        <v>1.969189923285839</v>
      </c>
      <c r="F1608" s="112" t="s">
        <v>2052</v>
      </c>
      <c r="G1608" s="112" t="b">
        <v>0</v>
      </c>
      <c r="H1608" s="112" t="b">
        <v>0</v>
      </c>
      <c r="I1608" s="112" t="b">
        <v>0</v>
      </c>
      <c r="J1608" s="112" t="b">
        <v>0</v>
      </c>
      <c r="K1608" s="112" t="b">
        <v>0</v>
      </c>
      <c r="L1608" s="112" t="b">
        <v>0</v>
      </c>
    </row>
    <row r="1609" spans="1:12" ht="15">
      <c r="A1609" s="112" t="s">
        <v>2274</v>
      </c>
      <c r="B1609" s="112" t="s">
        <v>2106</v>
      </c>
      <c r="C1609" s="112">
        <v>2</v>
      </c>
      <c r="D1609" s="114">
        <v>0.0016500063356550175</v>
      </c>
      <c r="E1609" s="114">
        <v>2.010582608444064</v>
      </c>
      <c r="F1609" s="112" t="s">
        <v>2052</v>
      </c>
      <c r="G1609" s="112" t="b">
        <v>1</v>
      </c>
      <c r="H1609" s="112" t="b">
        <v>0</v>
      </c>
      <c r="I1609" s="112" t="b">
        <v>0</v>
      </c>
      <c r="J1609" s="112" t="b">
        <v>0</v>
      </c>
      <c r="K1609" s="112" t="b">
        <v>0</v>
      </c>
      <c r="L1609" s="112" t="b">
        <v>0</v>
      </c>
    </row>
    <row r="1610" spans="1:12" ht="15">
      <c r="A1610" s="112" t="s">
        <v>2430</v>
      </c>
      <c r="B1610" s="112" t="s">
        <v>2387</v>
      </c>
      <c r="C1610" s="112">
        <v>2</v>
      </c>
      <c r="D1610" s="114">
        <v>0.002031781853301157</v>
      </c>
      <c r="E1610" s="114">
        <v>2.4085226171161014</v>
      </c>
      <c r="F1610" s="112" t="s">
        <v>2052</v>
      </c>
      <c r="G1610" s="112" t="b">
        <v>0</v>
      </c>
      <c r="H1610" s="112" t="b">
        <v>0</v>
      </c>
      <c r="I1610" s="112" t="b">
        <v>0</v>
      </c>
      <c r="J1610" s="112" t="b">
        <v>0</v>
      </c>
      <c r="K1610" s="112" t="b">
        <v>0</v>
      </c>
      <c r="L1610" s="112" t="b">
        <v>0</v>
      </c>
    </row>
    <row r="1611" spans="1:12" ht="15">
      <c r="A1611" s="112" t="s">
        <v>2501</v>
      </c>
      <c r="B1611" s="112" t="s">
        <v>2333</v>
      </c>
      <c r="C1611" s="112">
        <v>2</v>
      </c>
      <c r="D1611" s="114">
        <v>0.002031781853301157</v>
      </c>
      <c r="E1611" s="114">
        <v>1.9436358188134506</v>
      </c>
      <c r="F1611" s="112" t="s">
        <v>2052</v>
      </c>
      <c r="G1611" s="112" t="b">
        <v>0</v>
      </c>
      <c r="H1611" s="112" t="b">
        <v>1</v>
      </c>
      <c r="I1611" s="112" t="b">
        <v>0</v>
      </c>
      <c r="J1611" s="112" t="b">
        <v>0</v>
      </c>
      <c r="K1611" s="112" t="b">
        <v>0</v>
      </c>
      <c r="L1611" s="112" t="b">
        <v>0</v>
      </c>
    </row>
    <row r="1612" spans="1:12" ht="15">
      <c r="A1612" s="112" t="s">
        <v>2501</v>
      </c>
      <c r="B1612" s="112" t="s">
        <v>2430</v>
      </c>
      <c r="C1612" s="112">
        <v>2</v>
      </c>
      <c r="D1612" s="114">
        <v>0.002031781853301157</v>
      </c>
      <c r="E1612" s="114">
        <v>2.089763854491689</v>
      </c>
      <c r="F1612" s="112" t="s">
        <v>2052</v>
      </c>
      <c r="G1612" s="112" t="b">
        <v>0</v>
      </c>
      <c r="H1612" s="112" t="b">
        <v>1</v>
      </c>
      <c r="I1612" s="112" t="b">
        <v>0</v>
      </c>
      <c r="J1612" s="112" t="b">
        <v>0</v>
      </c>
      <c r="K1612" s="112" t="b">
        <v>0</v>
      </c>
      <c r="L1612" s="112" t="b">
        <v>0</v>
      </c>
    </row>
    <row r="1613" spans="1:12" ht="15">
      <c r="A1613" s="112" t="s">
        <v>2430</v>
      </c>
      <c r="B1613" s="112" t="s">
        <v>2333</v>
      </c>
      <c r="C1613" s="112">
        <v>2</v>
      </c>
      <c r="D1613" s="114">
        <v>0.002031781853301157</v>
      </c>
      <c r="E1613" s="114">
        <v>1.864454572765826</v>
      </c>
      <c r="F1613" s="112" t="s">
        <v>2052</v>
      </c>
      <c r="G1613" s="112" t="b">
        <v>0</v>
      </c>
      <c r="H1613" s="112" t="b">
        <v>0</v>
      </c>
      <c r="I1613" s="112" t="b">
        <v>0</v>
      </c>
      <c r="J1613" s="112" t="b">
        <v>0</v>
      </c>
      <c r="K1613" s="112" t="b">
        <v>0</v>
      </c>
      <c r="L1613" s="112" t="b">
        <v>0</v>
      </c>
    </row>
    <row r="1614" spans="1:12" ht="15">
      <c r="A1614" s="112" t="s">
        <v>2271</v>
      </c>
      <c r="B1614" s="112" t="s">
        <v>2365</v>
      </c>
      <c r="C1614" s="112">
        <v>2</v>
      </c>
      <c r="D1614" s="114">
        <v>0.0016500063356550175</v>
      </c>
      <c r="E1614" s="114">
        <v>2.885643871835764</v>
      </c>
      <c r="F1614" s="112" t="s">
        <v>2052</v>
      </c>
      <c r="G1614" s="112" t="b">
        <v>0</v>
      </c>
      <c r="H1614" s="112" t="b">
        <v>0</v>
      </c>
      <c r="I1614" s="112" t="b">
        <v>0</v>
      </c>
      <c r="J1614" s="112" t="b">
        <v>0</v>
      </c>
      <c r="K1614" s="112" t="b">
        <v>0</v>
      </c>
      <c r="L1614" s="112" t="b">
        <v>0</v>
      </c>
    </row>
    <row r="1615" spans="1:12" ht="15">
      <c r="A1615" s="112" t="s">
        <v>2806</v>
      </c>
      <c r="B1615" s="112" t="s">
        <v>2394</v>
      </c>
      <c r="C1615" s="112">
        <v>2</v>
      </c>
      <c r="D1615" s="114">
        <v>0.002031781853301157</v>
      </c>
      <c r="E1615" s="114">
        <v>2.311612604108045</v>
      </c>
      <c r="F1615" s="112" t="s">
        <v>2052</v>
      </c>
      <c r="G1615" s="112" t="b">
        <v>0</v>
      </c>
      <c r="H1615" s="112" t="b">
        <v>0</v>
      </c>
      <c r="I1615" s="112" t="b">
        <v>0</v>
      </c>
      <c r="J1615" s="112" t="b">
        <v>1</v>
      </c>
      <c r="K1615" s="112" t="b">
        <v>0</v>
      </c>
      <c r="L1615" s="112" t="b">
        <v>0</v>
      </c>
    </row>
    <row r="1616" spans="1:12" ht="15">
      <c r="A1616" s="112" t="s">
        <v>2394</v>
      </c>
      <c r="B1616" s="112" t="s">
        <v>3299</v>
      </c>
      <c r="C1616" s="112">
        <v>2</v>
      </c>
      <c r="D1616" s="114">
        <v>0.002031781853301157</v>
      </c>
      <c r="E1616" s="114">
        <v>2.4877038631637265</v>
      </c>
      <c r="F1616" s="112" t="s">
        <v>2052</v>
      </c>
      <c r="G1616" s="112" t="b">
        <v>1</v>
      </c>
      <c r="H1616" s="112" t="b">
        <v>0</v>
      </c>
      <c r="I1616" s="112" t="b">
        <v>0</v>
      </c>
      <c r="J1616" s="112" t="b">
        <v>0</v>
      </c>
      <c r="K1616" s="112" t="b">
        <v>1</v>
      </c>
      <c r="L1616" s="112" t="b">
        <v>0</v>
      </c>
    </row>
    <row r="1617" spans="1:12" ht="15">
      <c r="A1617" s="112" t="s">
        <v>2264</v>
      </c>
      <c r="B1617" s="112" t="s">
        <v>2803</v>
      </c>
      <c r="C1617" s="112">
        <v>2</v>
      </c>
      <c r="D1617" s="114">
        <v>0.0016500063356550175</v>
      </c>
      <c r="E1617" s="114">
        <v>2.10749262145212</v>
      </c>
      <c r="F1617" s="112" t="s">
        <v>2052</v>
      </c>
      <c r="G1617" s="112" t="b">
        <v>0</v>
      </c>
      <c r="H1617" s="112" t="b">
        <v>0</v>
      </c>
      <c r="I1617" s="112" t="b">
        <v>0</v>
      </c>
      <c r="J1617" s="112" t="b">
        <v>0</v>
      </c>
      <c r="K1617" s="112" t="b">
        <v>0</v>
      </c>
      <c r="L1617" s="112" t="b">
        <v>0</v>
      </c>
    </row>
    <row r="1618" spans="1:12" ht="15">
      <c r="A1618" s="112" t="s">
        <v>2368</v>
      </c>
      <c r="B1618" s="112" t="s">
        <v>3263</v>
      </c>
      <c r="C1618" s="112">
        <v>2</v>
      </c>
      <c r="D1618" s="114">
        <v>0.0016500063356550175</v>
      </c>
      <c r="E1618" s="114">
        <v>2.7095526127800826</v>
      </c>
      <c r="F1618" s="112" t="s">
        <v>2052</v>
      </c>
      <c r="G1618" s="112" t="b">
        <v>0</v>
      </c>
      <c r="H1618" s="112" t="b">
        <v>0</v>
      </c>
      <c r="I1618" s="112" t="b">
        <v>0</v>
      </c>
      <c r="J1618" s="112" t="b">
        <v>0</v>
      </c>
      <c r="K1618" s="112" t="b">
        <v>0</v>
      </c>
      <c r="L1618" s="112" t="b">
        <v>0</v>
      </c>
    </row>
    <row r="1619" spans="1:12" ht="15">
      <c r="A1619" s="112" t="s">
        <v>2340</v>
      </c>
      <c r="B1619" s="112" t="s">
        <v>2340</v>
      </c>
      <c r="C1619" s="112">
        <v>2</v>
      </c>
      <c r="D1619" s="114">
        <v>0.002031781853301157</v>
      </c>
      <c r="E1619" s="114">
        <v>1.6815238891798392</v>
      </c>
      <c r="F1619" s="112" t="s">
        <v>2052</v>
      </c>
      <c r="G1619" s="112" t="b">
        <v>0</v>
      </c>
      <c r="H1619" s="112" t="b">
        <v>0</v>
      </c>
      <c r="I1619" s="112" t="b">
        <v>0</v>
      </c>
      <c r="J1619" s="112" t="b">
        <v>0</v>
      </c>
      <c r="K1619" s="112" t="b">
        <v>0</v>
      </c>
      <c r="L1619" s="112" t="b">
        <v>0</v>
      </c>
    </row>
    <row r="1620" spans="1:12" ht="15">
      <c r="A1620" s="112" t="s">
        <v>2144</v>
      </c>
      <c r="B1620" s="112" t="s">
        <v>2394</v>
      </c>
      <c r="C1620" s="112">
        <v>2</v>
      </c>
      <c r="D1620" s="114">
        <v>0.002031781853301157</v>
      </c>
      <c r="E1620" s="114">
        <v>1.8344913493883828</v>
      </c>
      <c r="F1620" s="112" t="s">
        <v>2052</v>
      </c>
      <c r="G1620" s="112" t="b">
        <v>0</v>
      </c>
      <c r="H1620" s="112" t="b">
        <v>0</v>
      </c>
      <c r="I1620" s="112" t="b">
        <v>0</v>
      </c>
      <c r="J1620" s="112" t="b">
        <v>1</v>
      </c>
      <c r="K1620" s="112" t="b">
        <v>0</v>
      </c>
      <c r="L1620" s="112" t="b">
        <v>0</v>
      </c>
    </row>
    <row r="1621" spans="1:12" ht="15">
      <c r="A1621" s="112" t="s">
        <v>2130</v>
      </c>
      <c r="B1621" s="112" t="s">
        <v>2144</v>
      </c>
      <c r="C1621" s="112">
        <v>2</v>
      </c>
      <c r="D1621" s="114">
        <v>0.002031781853301157</v>
      </c>
      <c r="E1621" s="114">
        <v>1.5792188442850765</v>
      </c>
      <c r="F1621" s="112" t="s">
        <v>2052</v>
      </c>
      <c r="G1621" s="112" t="b">
        <v>0</v>
      </c>
      <c r="H1621" s="112" t="b">
        <v>0</v>
      </c>
      <c r="I1621" s="112" t="b">
        <v>0</v>
      </c>
      <c r="J1621" s="112" t="b">
        <v>0</v>
      </c>
      <c r="K1621" s="112" t="b">
        <v>0</v>
      </c>
      <c r="L1621" s="112" t="b">
        <v>0</v>
      </c>
    </row>
    <row r="1622" spans="1:12" ht="15">
      <c r="A1622" s="112" t="s">
        <v>2179</v>
      </c>
      <c r="B1622" s="112" t="s">
        <v>2130</v>
      </c>
      <c r="C1622" s="112">
        <v>2</v>
      </c>
      <c r="D1622" s="114">
        <v>0.0016500063356550175</v>
      </c>
      <c r="E1622" s="114">
        <v>1.8344913493883828</v>
      </c>
      <c r="F1622" s="112" t="s">
        <v>2052</v>
      </c>
      <c r="G1622" s="112" t="b">
        <v>0</v>
      </c>
      <c r="H1622" s="112" t="b">
        <v>1</v>
      </c>
      <c r="I1622" s="112" t="b">
        <v>0</v>
      </c>
      <c r="J1622" s="112" t="b">
        <v>0</v>
      </c>
      <c r="K1622" s="112" t="b">
        <v>0</v>
      </c>
      <c r="L1622" s="112" t="b">
        <v>0</v>
      </c>
    </row>
    <row r="1623" spans="1:12" ht="15">
      <c r="A1623" s="112" t="s">
        <v>2349</v>
      </c>
      <c r="B1623" s="112" t="s">
        <v>2722</v>
      </c>
      <c r="C1623" s="112">
        <v>2</v>
      </c>
      <c r="D1623" s="114">
        <v>0.002031781853301157</v>
      </c>
      <c r="E1623" s="114">
        <v>2.5846138761717827</v>
      </c>
      <c r="F1623" s="112" t="s">
        <v>2052</v>
      </c>
      <c r="G1623" s="112" t="b">
        <v>0</v>
      </c>
      <c r="H1623" s="112" t="b">
        <v>1</v>
      </c>
      <c r="I1623" s="112" t="b">
        <v>0</v>
      </c>
      <c r="J1623" s="112" t="b">
        <v>0</v>
      </c>
      <c r="K1623" s="112" t="b">
        <v>0</v>
      </c>
      <c r="L1623" s="112" t="b">
        <v>0</v>
      </c>
    </row>
    <row r="1624" spans="1:12" ht="15">
      <c r="A1624" s="112" t="s">
        <v>2598</v>
      </c>
      <c r="B1624" s="112" t="s">
        <v>3244</v>
      </c>
      <c r="C1624" s="112">
        <v>2</v>
      </c>
      <c r="D1624" s="114">
        <v>0.0016500063356550175</v>
      </c>
      <c r="E1624" s="114">
        <v>2.7095526127800826</v>
      </c>
      <c r="F1624" s="112" t="s">
        <v>2052</v>
      </c>
      <c r="G1624" s="112" t="b">
        <v>0</v>
      </c>
      <c r="H1624" s="112" t="b">
        <v>0</v>
      </c>
      <c r="I1624" s="112" t="b">
        <v>0</v>
      </c>
      <c r="J1624" s="112" t="b">
        <v>0</v>
      </c>
      <c r="K1624" s="112" t="b">
        <v>0</v>
      </c>
      <c r="L1624" s="112" t="b">
        <v>0</v>
      </c>
    </row>
    <row r="1625" spans="1:12" ht="15">
      <c r="A1625" s="112" t="s">
        <v>3244</v>
      </c>
      <c r="B1625" s="112" t="s">
        <v>3245</v>
      </c>
      <c r="C1625" s="112">
        <v>2</v>
      </c>
      <c r="D1625" s="114">
        <v>0.0016500063356550175</v>
      </c>
      <c r="E1625" s="114">
        <v>2.885643871835764</v>
      </c>
      <c r="F1625" s="112" t="s">
        <v>2052</v>
      </c>
      <c r="G1625" s="112" t="b">
        <v>0</v>
      </c>
      <c r="H1625" s="112" t="b">
        <v>0</v>
      </c>
      <c r="I1625" s="112" t="b">
        <v>0</v>
      </c>
      <c r="J1625" s="112" t="b">
        <v>0</v>
      </c>
      <c r="K1625" s="112" t="b">
        <v>0</v>
      </c>
      <c r="L1625" s="112" t="b">
        <v>0</v>
      </c>
    </row>
    <row r="1626" spans="1:12" ht="15">
      <c r="A1626" s="112" t="s">
        <v>3295</v>
      </c>
      <c r="B1626" s="112" t="s">
        <v>3296</v>
      </c>
      <c r="C1626" s="112">
        <v>2</v>
      </c>
      <c r="D1626" s="114">
        <v>0.002031781853301157</v>
      </c>
      <c r="E1626" s="114">
        <v>2.885643871835764</v>
      </c>
      <c r="F1626" s="112" t="s">
        <v>2052</v>
      </c>
      <c r="G1626" s="112" t="b">
        <v>0</v>
      </c>
      <c r="H1626" s="112" t="b">
        <v>0</v>
      </c>
      <c r="I1626" s="112" t="b">
        <v>0</v>
      </c>
      <c r="J1626" s="112" t="b">
        <v>0</v>
      </c>
      <c r="K1626" s="112" t="b">
        <v>0</v>
      </c>
      <c r="L1626" s="112" t="b">
        <v>0</v>
      </c>
    </row>
    <row r="1627" spans="1:12" ht="15">
      <c r="A1627" s="112" t="s">
        <v>2182</v>
      </c>
      <c r="B1627" s="112" t="s">
        <v>2349</v>
      </c>
      <c r="C1627" s="112">
        <v>2</v>
      </c>
      <c r="D1627" s="114">
        <v>0.002031781853301157</v>
      </c>
      <c r="E1627" s="114">
        <v>2.5846138761717827</v>
      </c>
      <c r="F1627" s="112" t="s">
        <v>2052</v>
      </c>
      <c r="G1627" s="112" t="b">
        <v>0</v>
      </c>
      <c r="H1627" s="112" t="b">
        <v>0</v>
      </c>
      <c r="I1627" s="112" t="b">
        <v>0</v>
      </c>
      <c r="J1627" s="112" t="b">
        <v>0</v>
      </c>
      <c r="K1627" s="112" t="b">
        <v>1</v>
      </c>
      <c r="L1627" s="112" t="b">
        <v>0</v>
      </c>
    </row>
    <row r="1628" spans="1:12" ht="15">
      <c r="A1628" s="112" t="s">
        <v>3293</v>
      </c>
      <c r="B1628" s="112" t="s">
        <v>2082</v>
      </c>
      <c r="C1628" s="112">
        <v>2</v>
      </c>
      <c r="D1628" s="114">
        <v>0.002031781853301157</v>
      </c>
      <c r="E1628" s="114">
        <v>1.3942821780014913</v>
      </c>
      <c r="F1628" s="112" t="s">
        <v>2052</v>
      </c>
      <c r="G1628" s="112" t="b">
        <v>0</v>
      </c>
      <c r="H1628" s="112" t="b">
        <v>0</v>
      </c>
      <c r="I1628" s="112" t="b">
        <v>0</v>
      </c>
      <c r="J1628" s="112" t="b">
        <v>0</v>
      </c>
      <c r="K1628" s="112" t="b">
        <v>0</v>
      </c>
      <c r="L1628" s="112" t="b">
        <v>0</v>
      </c>
    </row>
    <row r="1629" spans="1:12" ht="15">
      <c r="A1629" s="112" t="s">
        <v>2809</v>
      </c>
      <c r="B1629" s="112" t="s">
        <v>3262</v>
      </c>
      <c r="C1629" s="112">
        <v>2</v>
      </c>
      <c r="D1629" s="114">
        <v>0.0016500063356550175</v>
      </c>
      <c r="E1629" s="114">
        <v>2.7095526127800826</v>
      </c>
      <c r="F1629" s="112" t="s">
        <v>2052</v>
      </c>
      <c r="G1629" s="112" t="b">
        <v>0</v>
      </c>
      <c r="H1629" s="112" t="b">
        <v>0</v>
      </c>
      <c r="I1629" s="112" t="b">
        <v>0</v>
      </c>
      <c r="J1629" s="112" t="b">
        <v>0</v>
      </c>
      <c r="K1629" s="112" t="b">
        <v>0</v>
      </c>
      <c r="L1629" s="112" t="b">
        <v>0</v>
      </c>
    </row>
    <row r="1630" spans="1:12" ht="15">
      <c r="A1630" s="112" t="s">
        <v>2377</v>
      </c>
      <c r="B1630" s="112" t="s">
        <v>2358</v>
      </c>
      <c r="C1630" s="112">
        <v>2</v>
      </c>
      <c r="D1630" s="114">
        <v>0.0016500063356550175</v>
      </c>
      <c r="E1630" s="114">
        <v>2.4877038631637265</v>
      </c>
      <c r="F1630" s="112" t="s">
        <v>2052</v>
      </c>
      <c r="G1630" s="112" t="b">
        <v>0</v>
      </c>
      <c r="H1630" s="112" t="b">
        <v>0</v>
      </c>
      <c r="I1630" s="112" t="b">
        <v>0</v>
      </c>
      <c r="J1630" s="112" t="b">
        <v>0</v>
      </c>
      <c r="K1630" s="112" t="b">
        <v>0</v>
      </c>
      <c r="L1630" s="112" t="b">
        <v>0</v>
      </c>
    </row>
    <row r="1631" spans="1:12" ht="15">
      <c r="A1631" s="112" t="s">
        <v>2148</v>
      </c>
      <c r="B1631" s="112" t="s">
        <v>3241</v>
      </c>
      <c r="C1631" s="112">
        <v>2</v>
      </c>
      <c r="D1631" s="114">
        <v>0.0016500063356550175</v>
      </c>
      <c r="E1631" s="114">
        <v>1.7717005195289273</v>
      </c>
      <c r="F1631" s="112" t="s">
        <v>2052</v>
      </c>
      <c r="G1631" s="112" t="b">
        <v>0</v>
      </c>
      <c r="H1631" s="112" t="b">
        <v>0</v>
      </c>
      <c r="I1631" s="112" t="b">
        <v>0</v>
      </c>
      <c r="J1631" s="112" t="b">
        <v>0</v>
      </c>
      <c r="K1631" s="112" t="b">
        <v>0</v>
      </c>
      <c r="L1631" s="112" t="b">
        <v>0</v>
      </c>
    </row>
    <row r="1632" spans="1:12" ht="15">
      <c r="A1632" s="112" t="s">
        <v>2222</v>
      </c>
      <c r="B1632" s="112" t="s">
        <v>2082</v>
      </c>
      <c r="C1632" s="112">
        <v>2</v>
      </c>
      <c r="D1632" s="114">
        <v>0.0016500063356550175</v>
      </c>
      <c r="E1632" s="114">
        <v>0.792222186673529</v>
      </c>
      <c r="F1632" s="112" t="s">
        <v>2052</v>
      </c>
      <c r="G1632" s="112" t="b">
        <v>0</v>
      </c>
      <c r="H1632" s="112" t="b">
        <v>0</v>
      </c>
      <c r="I1632" s="112" t="b">
        <v>0</v>
      </c>
      <c r="J1632" s="112" t="b">
        <v>0</v>
      </c>
      <c r="K1632" s="112" t="b">
        <v>0</v>
      </c>
      <c r="L1632" s="112" t="b">
        <v>0</v>
      </c>
    </row>
    <row r="1633" spans="1:12" ht="15">
      <c r="A1633" s="112" t="s">
        <v>2380</v>
      </c>
      <c r="B1633" s="112" t="s">
        <v>2380</v>
      </c>
      <c r="C1633" s="112">
        <v>2</v>
      </c>
      <c r="D1633" s="114">
        <v>0.002031781853301157</v>
      </c>
      <c r="E1633" s="114">
        <v>1.7975077831352126</v>
      </c>
      <c r="F1633" s="112" t="s">
        <v>2052</v>
      </c>
      <c r="G1633" s="112" t="b">
        <v>0</v>
      </c>
      <c r="H1633" s="112" t="b">
        <v>1</v>
      </c>
      <c r="I1633" s="112" t="b">
        <v>0</v>
      </c>
      <c r="J1633" s="112" t="b">
        <v>0</v>
      </c>
      <c r="K1633" s="112" t="b">
        <v>1</v>
      </c>
      <c r="L1633" s="112" t="b">
        <v>0</v>
      </c>
    </row>
    <row r="1634" spans="1:12" ht="15">
      <c r="A1634" s="112" t="s">
        <v>2213</v>
      </c>
      <c r="B1634" s="112" t="s">
        <v>2089</v>
      </c>
      <c r="C1634" s="112">
        <v>2</v>
      </c>
      <c r="D1634" s="114">
        <v>0.0016500063356550175</v>
      </c>
      <c r="E1634" s="114">
        <v>2.4085226171161014</v>
      </c>
      <c r="F1634" s="112" t="s">
        <v>2052</v>
      </c>
      <c r="G1634" s="112" t="b">
        <v>0</v>
      </c>
      <c r="H1634" s="112" t="b">
        <v>1</v>
      </c>
      <c r="I1634" s="112" t="b">
        <v>0</v>
      </c>
      <c r="J1634" s="112" t="b">
        <v>0</v>
      </c>
      <c r="K1634" s="112" t="b">
        <v>0</v>
      </c>
      <c r="L1634" s="112" t="b">
        <v>0</v>
      </c>
    </row>
    <row r="1635" spans="1:12" ht="15">
      <c r="A1635" s="112" t="s">
        <v>2371</v>
      </c>
      <c r="B1635" s="112" t="s">
        <v>2259</v>
      </c>
      <c r="C1635" s="112">
        <v>2</v>
      </c>
      <c r="D1635" s="114">
        <v>0.0016500063356550175</v>
      </c>
      <c r="E1635" s="114">
        <v>2.23243135806042</v>
      </c>
      <c r="F1635" s="112" t="s">
        <v>2052</v>
      </c>
      <c r="G1635" s="112" t="b">
        <v>0</v>
      </c>
      <c r="H1635" s="112" t="b">
        <v>1</v>
      </c>
      <c r="I1635" s="112" t="b">
        <v>0</v>
      </c>
      <c r="J1635" s="112" t="b">
        <v>0</v>
      </c>
      <c r="K1635" s="112" t="b">
        <v>0</v>
      </c>
      <c r="L1635" s="112" t="b">
        <v>0</v>
      </c>
    </row>
    <row r="1636" spans="1:12" ht="15">
      <c r="A1636" s="112" t="s">
        <v>2378</v>
      </c>
      <c r="B1636" s="112" t="s">
        <v>2222</v>
      </c>
      <c r="C1636" s="112">
        <v>2</v>
      </c>
      <c r="D1636" s="114">
        <v>0.0016500063356550175</v>
      </c>
      <c r="E1636" s="114">
        <v>1.885643871835764</v>
      </c>
      <c r="F1636" s="112" t="s">
        <v>2052</v>
      </c>
      <c r="G1636" s="112" t="b">
        <v>0</v>
      </c>
      <c r="H1636" s="112" t="b">
        <v>0</v>
      </c>
      <c r="I1636" s="112" t="b">
        <v>0</v>
      </c>
      <c r="J1636" s="112" t="b">
        <v>0</v>
      </c>
      <c r="K1636" s="112" t="b">
        <v>0</v>
      </c>
      <c r="L1636" s="112" t="b">
        <v>0</v>
      </c>
    </row>
    <row r="1637" spans="1:12" ht="15">
      <c r="A1637" s="112" t="s">
        <v>2119</v>
      </c>
      <c r="B1637" s="112" t="s">
        <v>2598</v>
      </c>
      <c r="C1637" s="112">
        <v>2</v>
      </c>
      <c r="D1637" s="114">
        <v>0.0016500063356550175</v>
      </c>
      <c r="E1637" s="114">
        <v>2.7095526127800826</v>
      </c>
      <c r="F1637" s="112" t="s">
        <v>2052</v>
      </c>
      <c r="G1637" s="112" t="b">
        <v>0</v>
      </c>
      <c r="H1637" s="112" t="b">
        <v>0</v>
      </c>
      <c r="I1637" s="112" t="b">
        <v>0</v>
      </c>
      <c r="J1637" s="112" t="b">
        <v>0</v>
      </c>
      <c r="K1637" s="112" t="b">
        <v>0</v>
      </c>
      <c r="L1637" s="112" t="b">
        <v>0</v>
      </c>
    </row>
    <row r="1638" spans="1:12" ht="15">
      <c r="A1638" s="112" t="s">
        <v>3283</v>
      </c>
      <c r="B1638" s="112" t="s">
        <v>2140</v>
      </c>
      <c r="C1638" s="112">
        <v>2</v>
      </c>
      <c r="D1638" s="114">
        <v>0.002031781853301157</v>
      </c>
      <c r="E1638" s="114">
        <v>2.1452811823415203</v>
      </c>
      <c r="F1638" s="112" t="s">
        <v>2052</v>
      </c>
      <c r="G1638" s="112" t="b">
        <v>0</v>
      </c>
      <c r="H1638" s="112" t="b">
        <v>0</v>
      </c>
      <c r="I1638" s="112" t="b">
        <v>0</v>
      </c>
      <c r="J1638" s="112" t="b">
        <v>0</v>
      </c>
      <c r="K1638" s="112" t="b">
        <v>0</v>
      </c>
      <c r="L1638" s="112" t="b">
        <v>0</v>
      </c>
    </row>
    <row r="1639" spans="1:12" ht="15">
      <c r="A1639" s="112" t="s">
        <v>2511</v>
      </c>
      <c r="B1639" s="112" t="s">
        <v>2240</v>
      </c>
      <c r="C1639" s="112">
        <v>2</v>
      </c>
      <c r="D1639" s="114">
        <v>0.0016500063356550175</v>
      </c>
      <c r="E1639" s="114">
        <v>2.5846138761717827</v>
      </c>
      <c r="F1639" s="112" t="s">
        <v>2052</v>
      </c>
      <c r="G1639" s="112" t="b">
        <v>0</v>
      </c>
      <c r="H1639" s="112" t="b">
        <v>0</v>
      </c>
      <c r="I1639" s="112" t="b">
        <v>0</v>
      </c>
      <c r="J1639" s="112" t="b">
        <v>0</v>
      </c>
      <c r="K1639" s="112" t="b">
        <v>0</v>
      </c>
      <c r="L1639" s="112" t="b">
        <v>0</v>
      </c>
    </row>
    <row r="1640" spans="1:12" ht="15">
      <c r="A1640" s="112" t="s">
        <v>2240</v>
      </c>
      <c r="B1640" s="112" t="s">
        <v>2082</v>
      </c>
      <c r="C1640" s="112">
        <v>2</v>
      </c>
      <c r="D1640" s="114">
        <v>0.0016500063356550175</v>
      </c>
      <c r="E1640" s="114">
        <v>1.09325218233751</v>
      </c>
      <c r="F1640" s="112" t="s">
        <v>2052</v>
      </c>
      <c r="G1640" s="112" t="b">
        <v>0</v>
      </c>
      <c r="H1640" s="112" t="b">
        <v>0</v>
      </c>
      <c r="I1640" s="112" t="b">
        <v>0</v>
      </c>
      <c r="J1640" s="112" t="b">
        <v>0</v>
      </c>
      <c r="K1640" s="112" t="b">
        <v>0</v>
      </c>
      <c r="L1640" s="112" t="b">
        <v>0</v>
      </c>
    </row>
    <row r="1641" spans="1:12" ht="15">
      <c r="A1641" s="112" t="s">
        <v>2270</v>
      </c>
      <c r="B1641" s="112" t="s">
        <v>2082</v>
      </c>
      <c r="C1641" s="112">
        <v>2</v>
      </c>
      <c r="D1641" s="114">
        <v>0.002031781853301157</v>
      </c>
      <c r="E1641" s="114">
        <v>1.3942821780014913</v>
      </c>
      <c r="F1641" s="112" t="s">
        <v>2052</v>
      </c>
      <c r="G1641" s="112" t="b">
        <v>0</v>
      </c>
      <c r="H1641" s="112" t="b">
        <v>0</v>
      </c>
      <c r="I1641" s="112" t="b">
        <v>0</v>
      </c>
      <c r="J1641" s="112" t="b">
        <v>0</v>
      </c>
      <c r="K1641" s="112" t="b">
        <v>0</v>
      </c>
      <c r="L1641" s="112" t="b">
        <v>0</v>
      </c>
    </row>
    <row r="1642" spans="1:12" ht="15">
      <c r="A1642" s="112" t="s">
        <v>2082</v>
      </c>
      <c r="B1642" s="112" t="s">
        <v>2462</v>
      </c>
      <c r="C1642" s="112">
        <v>2</v>
      </c>
      <c r="D1642" s="114">
        <v>0.002031781853301157</v>
      </c>
      <c r="E1642" s="114">
        <v>1.1593242597249886</v>
      </c>
      <c r="F1642" s="112" t="s">
        <v>2052</v>
      </c>
      <c r="G1642" s="112" t="b">
        <v>0</v>
      </c>
      <c r="H1642" s="112" t="b">
        <v>0</v>
      </c>
      <c r="I1642" s="112" t="b">
        <v>0</v>
      </c>
      <c r="J1642" s="112" t="b">
        <v>0</v>
      </c>
      <c r="K1642" s="112" t="b">
        <v>0</v>
      </c>
      <c r="L1642" s="112" t="b">
        <v>0</v>
      </c>
    </row>
    <row r="1643" spans="1:12" ht="15">
      <c r="A1643" s="112" t="s">
        <v>2133</v>
      </c>
      <c r="B1643" s="112" t="s">
        <v>2133</v>
      </c>
      <c r="C1643" s="112">
        <v>2</v>
      </c>
      <c r="D1643" s="114">
        <v>0.0016500063356550175</v>
      </c>
      <c r="E1643" s="114">
        <v>1.1954477918072504</v>
      </c>
      <c r="F1643" s="112" t="s">
        <v>2052</v>
      </c>
      <c r="G1643" s="112" t="b">
        <v>0</v>
      </c>
      <c r="H1643" s="112" t="b">
        <v>0</v>
      </c>
      <c r="I1643" s="112" t="b">
        <v>0</v>
      </c>
      <c r="J1643" s="112" t="b">
        <v>0</v>
      </c>
      <c r="K1643" s="112" t="b">
        <v>0</v>
      </c>
      <c r="L1643" s="112" t="b">
        <v>0</v>
      </c>
    </row>
    <row r="1644" spans="1:12" ht="15">
      <c r="A1644" s="112" t="s">
        <v>2821</v>
      </c>
      <c r="B1644" s="112" t="s">
        <v>2468</v>
      </c>
      <c r="C1644" s="112">
        <v>2</v>
      </c>
      <c r="D1644" s="114">
        <v>0.002031781853301157</v>
      </c>
      <c r="E1644" s="114">
        <v>2.5334613537244013</v>
      </c>
      <c r="F1644" s="112" t="s">
        <v>2052</v>
      </c>
      <c r="G1644" s="112" t="b">
        <v>0</v>
      </c>
      <c r="H1644" s="112" t="b">
        <v>0</v>
      </c>
      <c r="I1644" s="112" t="b">
        <v>0</v>
      </c>
      <c r="J1644" s="112" t="b">
        <v>0</v>
      </c>
      <c r="K1644" s="112" t="b">
        <v>1</v>
      </c>
      <c r="L1644" s="112" t="b">
        <v>0</v>
      </c>
    </row>
    <row r="1645" spans="1:12" ht="15">
      <c r="A1645" s="112" t="s">
        <v>2815</v>
      </c>
      <c r="B1645" s="112" t="s">
        <v>2816</v>
      </c>
      <c r="C1645" s="112">
        <v>2</v>
      </c>
      <c r="D1645" s="114">
        <v>0.002031781853301157</v>
      </c>
      <c r="E1645" s="114">
        <v>2.5334613537244013</v>
      </c>
      <c r="F1645" s="112" t="s">
        <v>2052</v>
      </c>
      <c r="G1645" s="112" t="b">
        <v>0</v>
      </c>
      <c r="H1645" s="112" t="b">
        <v>0</v>
      </c>
      <c r="I1645" s="112" t="b">
        <v>0</v>
      </c>
      <c r="J1645" s="112" t="b">
        <v>0</v>
      </c>
      <c r="K1645" s="112" t="b">
        <v>0</v>
      </c>
      <c r="L1645" s="112" t="b">
        <v>0</v>
      </c>
    </row>
    <row r="1646" spans="1:12" ht="15">
      <c r="A1646" s="112" t="s">
        <v>2814</v>
      </c>
      <c r="B1646" s="112" t="s">
        <v>2429</v>
      </c>
      <c r="C1646" s="112">
        <v>2</v>
      </c>
      <c r="D1646" s="114">
        <v>0.002031781853301157</v>
      </c>
      <c r="E1646" s="114">
        <v>2.23243135806042</v>
      </c>
      <c r="F1646" s="112" t="s">
        <v>2052</v>
      </c>
      <c r="G1646" s="112" t="b">
        <v>0</v>
      </c>
      <c r="H1646" s="112" t="b">
        <v>0</v>
      </c>
      <c r="I1646" s="112" t="b">
        <v>0</v>
      </c>
      <c r="J1646" s="112" t="b">
        <v>0</v>
      </c>
      <c r="K1646" s="112" t="b">
        <v>0</v>
      </c>
      <c r="L1646" s="112" t="b">
        <v>0</v>
      </c>
    </row>
    <row r="1647" spans="1:12" ht="15">
      <c r="A1647" s="112" t="s">
        <v>2338</v>
      </c>
      <c r="B1647" s="112" t="s">
        <v>2303</v>
      </c>
      <c r="C1647" s="112">
        <v>2</v>
      </c>
      <c r="D1647" s="114">
        <v>0.0016500063356550175</v>
      </c>
      <c r="E1647" s="114">
        <v>2.23243135806042</v>
      </c>
      <c r="F1647" s="112" t="s">
        <v>2052</v>
      </c>
      <c r="G1647" s="112" t="b">
        <v>0</v>
      </c>
      <c r="H1647" s="112" t="b">
        <v>1</v>
      </c>
      <c r="I1647" s="112" t="b">
        <v>0</v>
      </c>
      <c r="J1647" s="112" t="b">
        <v>0</v>
      </c>
      <c r="K1647" s="112" t="b">
        <v>0</v>
      </c>
      <c r="L1647" s="112" t="b">
        <v>0</v>
      </c>
    </row>
    <row r="1648" spans="1:12" ht="15">
      <c r="A1648" s="112" t="s">
        <v>2339</v>
      </c>
      <c r="B1648" s="112" t="s">
        <v>2269</v>
      </c>
      <c r="C1648" s="112">
        <v>2</v>
      </c>
      <c r="D1648" s="114">
        <v>0.0016500063356550175</v>
      </c>
      <c r="E1648" s="114">
        <v>1.6815238891798392</v>
      </c>
      <c r="F1648" s="112" t="s">
        <v>2052</v>
      </c>
      <c r="G1648" s="112" t="b">
        <v>0</v>
      </c>
      <c r="H1648" s="112" t="b">
        <v>0</v>
      </c>
      <c r="I1648" s="112" t="b">
        <v>0</v>
      </c>
      <c r="J1648" s="112" t="b">
        <v>0</v>
      </c>
      <c r="K1648" s="112" t="b">
        <v>0</v>
      </c>
      <c r="L1648" s="112" t="b">
        <v>0</v>
      </c>
    </row>
    <row r="1649" spans="1:12" ht="15">
      <c r="A1649" s="112" t="s">
        <v>3255</v>
      </c>
      <c r="B1649" s="112" t="s">
        <v>2264</v>
      </c>
      <c r="C1649" s="112">
        <v>2</v>
      </c>
      <c r="D1649" s="114">
        <v>0.0016500063356550175</v>
      </c>
      <c r="E1649" s="114">
        <v>2.2835838805078015</v>
      </c>
      <c r="F1649" s="112" t="s">
        <v>2052</v>
      </c>
      <c r="G1649" s="112" t="b">
        <v>0</v>
      </c>
      <c r="H1649" s="112" t="b">
        <v>1</v>
      </c>
      <c r="I1649" s="112" t="b">
        <v>0</v>
      </c>
      <c r="J1649" s="112" t="b">
        <v>0</v>
      </c>
      <c r="K1649" s="112" t="b">
        <v>0</v>
      </c>
      <c r="L1649" s="112" t="b">
        <v>0</v>
      </c>
    </row>
    <row r="1650" spans="1:12" ht="15">
      <c r="A1650" s="112" t="s">
        <v>2185</v>
      </c>
      <c r="B1650" s="112" t="s">
        <v>2601</v>
      </c>
      <c r="C1650" s="112">
        <v>2</v>
      </c>
      <c r="D1650" s="114">
        <v>0.002031781853301157</v>
      </c>
      <c r="E1650" s="114">
        <v>2.165484568429807</v>
      </c>
      <c r="F1650" s="112" t="s">
        <v>2052</v>
      </c>
      <c r="G1650" s="112" t="b">
        <v>0</v>
      </c>
      <c r="H1650" s="112" t="b">
        <v>0</v>
      </c>
      <c r="I1650" s="112" t="b">
        <v>0</v>
      </c>
      <c r="J1650" s="112" t="b">
        <v>0</v>
      </c>
      <c r="K1650" s="112" t="b">
        <v>0</v>
      </c>
      <c r="L1650" s="112" t="b">
        <v>0</v>
      </c>
    </row>
    <row r="1651" spans="1:12" ht="15">
      <c r="A1651" s="112" t="s">
        <v>2301</v>
      </c>
      <c r="B1651" s="112" t="s">
        <v>2185</v>
      </c>
      <c r="C1651" s="112">
        <v>2</v>
      </c>
      <c r="D1651" s="114">
        <v>0.002031781853301157</v>
      </c>
      <c r="E1651" s="114">
        <v>2.040545831821507</v>
      </c>
      <c r="F1651" s="112" t="s">
        <v>2052</v>
      </c>
      <c r="G1651" s="112" t="b">
        <v>0</v>
      </c>
      <c r="H1651" s="112" t="b">
        <v>0</v>
      </c>
      <c r="I1651" s="112" t="b">
        <v>0</v>
      </c>
      <c r="J1651" s="112" t="b">
        <v>0</v>
      </c>
      <c r="K1651" s="112" t="b">
        <v>0</v>
      </c>
      <c r="L1651" s="112" t="b">
        <v>0</v>
      </c>
    </row>
    <row r="1652" spans="1:12" ht="15">
      <c r="A1652" s="112" t="s">
        <v>2549</v>
      </c>
      <c r="B1652" s="112" t="s">
        <v>2082</v>
      </c>
      <c r="C1652" s="112">
        <v>2</v>
      </c>
      <c r="D1652" s="114">
        <v>0.0016500063356550175</v>
      </c>
      <c r="E1652" s="114">
        <v>1.3942821780014913</v>
      </c>
      <c r="F1652" s="112" t="s">
        <v>2052</v>
      </c>
      <c r="G1652" s="112" t="b">
        <v>0</v>
      </c>
      <c r="H1652" s="112" t="b">
        <v>0</v>
      </c>
      <c r="I1652" s="112" t="b">
        <v>0</v>
      </c>
      <c r="J1652" s="112" t="b">
        <v>0</v>
      </c>
      <c r="K1652" s="112" t="b">
        <v>0</v>
      </c>
      <c r="L1652" s="112" t="b">
        <v>0</v>
      </c>
    </row>
    <row r="1653" spans="1:12" ht="15">
      <c r="A1653" s="112" t="s">
        <v>2082</v>
      </c>
      <c r="B1653" s="112" t="s">
        <v>2240</v>
      </c>
      <c r="C1653" s="112">
        <v>2</v>
      </c>
      <c r="D1653" s="114">
        <v>0.0016500063356550175</v>
      </c>
      <c r="E1653" s="114">
        <v>1.0343855231166887</v>
      </c>
      <c r="F1653" s="112" t="s">
        <v>2052</v>
      </c>
      <c r="G1653" s="112" t="b">
        <v>0</v>
      </c>
      <c r="H1653" s="112" t="b">
        <v>0</v>
      </c>
      <c r="I1653" s="112" t="b">
        <v>0</v>
      </c>
      <c r="J1653" s="112" t="b">
        <v>0</v>
      </c>
      <c r="K1653" s="112" t="b">
        <v>0</v>
      </c>
      <c r="L1653" s="112" t="b">
        <v>0</v>
      </c>
    </row>
    <row r="1654" spans="1:12" ht="15">
      <c r="A1654" s="112" t="s">
        <v>2617</v>
      </c>
      <c r="B1654" s="112" t="s">
        <v>2360</v>
      </c>
      <c r="C1654" s="112">
        <v>2</v>
      </c>
      <c r="D1654" s="114">
        <v>0.002031781853301157</v>
      </c>
      <c r="E1654" s="114">
        <v>2.5846138761717827</v>
      </c>
      <c r="F1654" s="112" t="s">
        <v>2052</v>
      </c>
      <c r="G1654" s="112" t="b">
        <v>0</v>
      </c>
      <c r="H1654" s="112" t="b">
        <v>0</v>
      </c>
      <c r="I1654" s="112" t="b">
        <v>0</v>
      </c>
      <c r="J1654" s="112" t="b">
        <v>0</v>
      </c>
      <c r="K1654" s="112" t="b">
        <v>0</v>
      </c>
      <c r="L1654" s="112" t="b">
        <v>0</v>
      </c>
    </row>
    <row r="1655" spans="1:12" ht="15">
      <c r="A1655" s="112" t="s">
        <v>3253</v>
      </c>
      <c r="B1655" s="112" t="s">
        <v>3254</v>
      </c>
      <c r="C1655" s="112">
        <v>2</v>
      </c>
      <c r="D1655" s="114">
        <v>0.002031781853301157</v>
      </c>
      <c r="E1655" s="114">
        <v>2.885643871835764</v>
      </c>
      <c r="F1655" s="112" t="s">
        <v>2052</v>
      </c>
      <c r="G1655" s="112" t="b">
        <v>0</v>
      </c>
      <c r="H1655" s="112" t="b">
        <v>0</v>
      </c>
      <c r="I1655" s="112" t="b">
        <v>0</v>
      </c>
      <c r="J1655" s="112" t="b">
        <v>0</v>
      </c>
      <c r="K1655" s="112" t="b">
        <v>0</v>
      </c>
      <c r="L1655" s="112" t="b">
        <v>0</v>
      </c>
    </row>
    <row r="1656" spans="1:12" ht="15">
      <c r="A1656" s="112" t="s">
        <v>2245</v>
      </c>
      <c r="B1656" s="112" t="s">
        <v>2245</v>
      </c>
      <c r="C1656" s="112">
        <v>2</v>
      </c>
      <c r="D1656" s="114">
        <v>0.002031781853301157</v>
      </c>
      <c r="E1656" s="114">
        <v>2.2835838805078015</v>
      </c>
      <c r="F1656" s="112" t="s">
        <v>2052</v>
      </c>
      <c r="G1656" s="112" t="b">
        <v>0</v>
      </c>
      <c r="H1656" s="112" t="b">
        <v>0</v>
      </c>
      <c r="I1656" s="112" t="b">
        <v>0</v>
      </c>
      <c r="J1656" s="112" t="b">
        <v>0</v>
      </c>
      <c r="K1656" s="112" t="b">
        <v>0</v>
      </c>
      <c r="L1656" s="112" t="b">
        <v>0</v>
      </c>
    </row>
    <row r="1657" spans="1:12" ht="15">
      <c r="A1657" s="112" t="s">
        <v>2245</v>
      </c>
      <c r="B1657" s="112" t="s">
        <v>2804</v>
      </c>
      <c r="C1657" s="112">
        <v>2</v>
      </c>
      <c r="D1657" s="114">
        <v>0.002031781853301157</v>
      </c>
      <c r="E1657" s="114">
        <v>2.4085226171161014</v>
      </c>
      <c r="F1657" s="112" t="s">
        <v>2052</v>
      </c>
      <c r="G1657" s="112" t="b">
        <v>0</v>
      </c>
      <c r="H1657" s="112" t="b">
        <v>0</v>
      </c>
      <c r="I1657" s="112" t="b">
        <v>0</v>
      </c>
      <c r="J1657" s="112" t="b">
        <v>0</v>
      </c>
      <c r="K1657" s="112" t="b">
        <v>0</v>
      </c>
      <c r="L1657" s="112" t="b">
        <v>0</v>
      </c>
    </row>
    <row r="1658" spans="1:12" ht="15">
      <c r="A1658" s="112" t="s">
        <v>2498</v>
      </c>
      <c r="B1658" s="112" t="s">
        <v>2499</v>
      </c>
      <c r="C1658" s="112">
        <v>2</v>
      </c>
      <c r="D1658" s="114">
        <v>0.002031781853301157</v>
      </c>
      <c r="E1658" s="114">
        <v>2.089763854491689</v>
      </c>
      <c r="F1658" s="112" t="s">
        <v>2052</v>
      </c>
      <c r="G1658" s="112" t="b">
        <v>0</v>
      </c>
      <c r="H1658" s="112" t="b">
        <v>0</v>
      </c>
      <c r="I1658" s="112" t="b">
        <v>0</v>
      </c>
      <c r="J1658" s="112" t="b">
        <v>0</v>
      </c>
      <c r="K1658" s="112" t="b">
        <v>0</v>
      </c>
      <c r="L1658" s="112" t="b">
        <v>0</v>
      </c>
    </row>
    <row r="1659" spans="1:12" ht="15">
      <c r="A1659" s="112" t="s">
        <v>2608</v>
      </c>
      <c r="B1659" s="112" t="s">
        <v>3246</v>
      </c>
      <c r="C1659" s="112">
        <v>2</v>
      </c>
      <c r="D1659" s="114">
        <v>0.002031781853301157</v>
      </c>
      <c r="E1659" s="114">
        <v>2.7095526127800826</v>
      </c>
      <c r="F1659" s="112" t="s">
        <v>2052</v>
      </c>
      <c r="G1659" s="112" t="b">
        <v>0</v>
      </c>
      <c r="H1659" s="112" t="b">
        <v>0</v>
      </c>
      <c r="I1659" s="112" t="b">
        <v>0</v>
      </c>
      <c r="J1659" s="112" t="b">
        <v>0</v>
      </c>
      <c r="K1659" s="112" t="b">
        <v>0</v>
      </c>
      <c r="L1659" s="112" t="b">
        <v>0</v>
      </c>
    </row>
    <row r="1660" spans="1:12" ht="15">
      <c r="A1660" s="112" t="s">
        <v>2134</v>
      </c>
      <c r="B1660" s="112" t="s">
        <v>2108</v>
      </c>
      <c r="C1660" s="112">
        <v>33</v>
      </c>
      <c r="D1660" s="114">
        <v>0.001801973658727106</v>
      </c>
      <c r="E1660" s="114">
        <v>1.6417073513700189</v>
      </c>
      <c r="F1660" s="112" t="s">
        <v>2053</v>
      </c>
      <c r="G1660" s="112" t="b">
        <v>0</v>
      </c>
      <c r="H1660" s="112" t="b">
        <v>0</v>
      </c>
      <c r="I1660" s="112" t="b">
        <v>0</v>
      </c>
      <c r="J1660" s="112" t="b">
        <v>0</v>
      </c>
      <c r="K1660" s="112" t="b">
        <v>0</v>
      </c>
      <c r="L1660" s="112" t="b">
        <v>0</v>
      </c>
    </row>
    <row r="1661" spans="1:12" ht="15">
      <c r="A1661" s="112" t="s">
        <v>2082</v>
      </c>
      <c r="B1661" s="112" t="s">
        <v>2134</v>
      </c>
      <c r="C1661" s="112">
        <v>27</v>
      </c>
      <c r="D1661" s="114">
        <v>0.0030122863618054422</v>
      </c>
      <c r="E1661" s="114">
        <v>1.5430975534840683</v>
      </c>
      <c r="F1661" s="112" t="s">
        <v>2053</v>
      </c>
      <c r="G1661" s="112" t="b">
        <v>0</v>
      </c>
      <c r="H1661" s="112" t="b">
        <v>0</v>
      </c>
      <c r="I1661" s="112" t="b">
        <v>0</v>
      </c>
      <c r="J1661" s="112" t="b">
        <v>0</v>
      </c>
      <c r="K1661" s="112" t="b">
        <v>0</v>
      </c>
      <c r="L1661" s="112" t="b">
        <v>0</v>
      </c>
    </row>
    <row r="1662" spans="1:12" ht="15">
      <c r="A1662" s="112" t="s">
        <v>2141</v>
      </c>
      <c r="B1662" s="112" t="s">
        <v>2082</v>
      </c>
      <c r="C1662" s="112">
        <v>25</v>
      </c>
      <c r="D1662" s="114">
        <v>0.003335293834247137</v>
      </c>
      <c r="E1662" s="114">
        <v>1.5646602348350798</v>
      </c>
      <c r="F1662" s="112" t="s">
        <v>2053</v>
      </c>
      <c r="G1662" s="112" t="b">
        <v>0</v>
      </c>
      <c r="H1662" s="112" t="b">
        <v>0</v>
      </c>
      <c r="I1662" s="112" t="b">
        <v>0</v>
      </c>
      <c r="J1662" s="112" t="b">
        <v>0</v>
      </c>
      <c r="K1662" s="112" t="b">
        <v>0</v>
      </c>
      <c r="L1662" s="112" t="b">
        <v>0</v>
      </c>
    </row>
    <row r="1663" spans="1:12" ht="15">
      <c r="A1663" s="112" t="s">
        <v>2108</v>
      </c>
      <c r="B1663" s="112" t="s">
        <v>2145</v>
      </c>
      <c r="C1663" s="112">
        <v>19</v>
      </c>
      <c r="D1663" s="114">
        <v>0.004014915958906885</v>
      </c>
      <c r="E1663" s="114">
        <v>1.6546723285343865</v>
      </c>
      <c r="F1663" s="112" t="s">
        <v>2053</v>
      </c>
      <c r="G1663" s="112" t="b">
        <v>0</v>
      </c>
      <c r="H1663" s="112" t="b">
        <v>0</v>
      </c>
      <c r="I1663" s="112" t="b">
        <v>0</v>
      </c>
      <c r="J1663" s="112" t="b">
        <v>0</v>
      </c>
      <c r="K1663" s="112" t="b">
        <v>0</v>
      </c>
      <c r="L1663" s="112" t="b">
        <v>0</v>
      </c>
    </row>
    <row r="1664" spans="1:12" ht="15">
      <c r="A1664" s="112" t="s">
        <v>2145</v>
      </c>
      <c r="B1664" s="112" t="s">
        <v>2186</v>
      </c>
      <c r="C1664" s="112">
        <v>17</v>
      </c>
      <c r="D1664" s="114">
        <v>0.004129011888329872</v>
      </c>
      <c r="E1664" s="114">
        <v>1.8944326674594452</v>
      </c>
      <c r="F1664" s="112" t="s">
        <v>2053</v>
      </c>
      <c r="G1664" s="112" t="b">
        <v>0</v>
      </c>
      <c r="H1664" s="112" t="b">
        <v>0</v>
      </c>
      <c r="I1664" s="112" t="b">
        <v>0</v>
      </c>
      <c r="J1664" s="112" t="b">
        <v>0</v>
      </c>
      <c r="K1664" s="112" t="b">
        <v>0</v>
      </c>
      <c r="L1664" s="112" t="b">
        <v>0</v>
      </c>
    </row>
    <row r="1665" spans="1:12" ht="15">
      <c r="A1665" s="112" t="s">
        <v>2108</v>
      </c>
      <c r="B1665" s="112" t="s">
        <v>2280</v>
      </c>
      <c r="C1665" s="112">
        <v>4</v>
      </c>
      <c r="D1665" s="114">
        <v>0.00261437908496732</v>
      </c>
      <c r="E1665" s="114">
        <v>1.3536423328704053</v>
      </c>
      <c r="F1665" s="112" t="s">
        <v>2053</v>
      </c>
      <c r="G1665" s="112" t="b">
        <v>0</v>
      </c>
      <c r="H1665" s="112" t="b">
        <v>0</v>
      </c>
      <c r="I1665" s="112" t="b">
        <v>0</v>
      </c>
      <c r="J1665" s="112" t="b">
        <v>0</v>
      </c>
      <c r="K1665" s="112" t="b">
        <v>0</v>
      </c>
      <c r="L1665" s="112" t="b">
        <v>0</v>
      </c>
    </row>
    <row r="1666" spans="1:12" ht="15">
      <c r="A1666" s="112" t="s">
        <v>2298</v>
      </c>
      <c r="B1666" s="112" t="s">
        <v>2485</v>
      </c>
      <c r="C1666" s="112">
        <v>4</v>
      </c>
      <c r="D1666" s="114">
        <v>0.00261437908496732</v>
      </c>
      <c r="E1666" s="114">
        <v>2.4742162640762553</v>
      </c>
      <c r="F1666" s="112" t="s">
        <v>2053</v>
      </c>
      <c r="G1666" s="112" t="b">
        <v>0</v>
      </c>
      <c r="H1666" s="112" t="b">
        <v>0</v>
      </c>
      <c r="I1666" s="112" t="b">
        <v>0</v>
      </c>
      <c r="J1666" s="112" t="b">
        <v>0</v>
      </c>
      <c r="K1666" s="112" t="b">
        <v>0</v>
      </c>
      <c r="L1666" s="112" t="b">
        <v>0</v>
      </c>
    </row>
    <row r="1667" spans="1:12" ht="15">
      <c r="A1667" s="112" t="s">
        <v>2257</v>
      </c>
      <c r="B1667" s="112" t="s">
        <v>2239</v>
      </c>
      <c r="C1667" s="112">
        <v>3</v>
      </c>
      <c r="D1667" s="114">
        <v>0.002551039207184277</v>
      </c>
      <c r="E1667" s="114">
        <v>2.3492775274679554</v>
      </c>
      <c r="F1667" s="112" t="s">
        <v>2053</v>
      </c>
      <c r="G1667" s="112" t="b">
        <v>0</v>
      </c>
      <c r="H1667" s="112" t="b">
        <v>0</v>
      </c>
      <c r="I1667" s="112" t="b">
        <v>0</v>
      </c>
      <c r="J1667" s="112" t="b">
        <v>0</v>
      </c>
      <c r="K1667" s="112" t="b">
        <v>0</v>
      </c>
      <c r="L1667" s="112" t="b">
        <v>0</v>
      </c>
    </row>
    <row r="1668" spans="1:12" ht="15">
      <c r="A1668" s="112" t="s">
        <v>2082</v>
      </c>
      <c r="B1668" s="112" t="s">
        <v>2280</v>
      </c>
      <c r="C1668" s="112">
        <v>3</v>
      </c>
      <c r="D1668" s="114">
        <v>0.0022057622286437255</v>
      </c>
      <c r="E1668" s="114">
        <v>1.1909150353727058</v>
      </c>
      <c r="F1668" s="112" t="s">
        <v>2053</v>
      </c>
      <c r="G1668" s="112" t="b">
        <v>0</v>
      </c>
      <c r="H1668" s="112" t="b">
        <v>0</v>
      </c>
      <c r="I1668" s="112" t="b">
        <v>0</v>
      </c>
      <c r="J1668" s="112" t="b">
        <v>0</v>
      </c>
      <c r="K1668" s="112" t="b">
        <v>0</v>
      </c>
      <c r="L1668" s="112" t="b">
        <v>0</v>
      </c>
    </row>
    <row r="1669" spans="1:12" ht="15">
      <c r="A1669" s="112" t="s">
        <v>2782</v>
      </c>
      <c r="B1669" s="112" t="s">
        <v>2338</v>
      </c>
      <c r="C1669" s="112">
        <v>3</v>
      </c>
      <c r="D1669" s="114">
        <v>0.003141294100643063</v>
      </c>
      <c r="E1669" s="114">
        <v>2.39503501802863</v>
      </c>
      <c r="F1669" s="112" t="s">
        <v>2053</v>
      </c>
      <c r="G1669" s="112" t="b">
        <v>0</v>
      </c>
      <c r="H1669" s="112" t="b">
        <v>0</v>
      </c>
      <c r="I1669" s="112" t="b">
        <v>0</v>
      </c>
      <c r="J1669" s="112" t="b">
        <v>0</v>
      </c>
      <c r="K1669" s="112" t="b">
        <v>1</v>
      </c>
      <c r="L1669" s="112" t="b">
        <v>0</v>
      </c>
    </row>
    <row r="1670" spans="1:12" ht="15">
      <c r="A1670" s="112" t="s">
        <v>2090</v>
      </c>
      <c r="B1670" s="112" t="s">
        <v>2159</v>
      </c>
      <c r="C1670" s="112">
        <v>2</v>
      </c>
      <c r="D1670" s="114">
        <v>0.0017006928047895178</v>
      </c>
      <c r="E1670" s="114">
        <v>2.8721562727482928</v>
      </c>
      <c r="F1670" s="112" t="s">
        <v>2053</v>
      </c>
      <c r="G1670" s="112" t="b">
        <v>0</v>
      </c>
      <c r="H1670" s="112" t="b">
        <v>0</v>
      </c>
      <c r="I1670" s="112" t="b">
        <v>0</v>
      </c>
      <c r="J1670" s="112" t="b">
        <v>0</v>
      </c>
      <c r="K1670" s="112" t="b">
        <v>0</v>
      </c>
      <c r="L1670" s="112" t="b">
        <v>0</v>
      </c>
    </row>
    <row r="1671" spans="1:12" ht="15">
      <c r="A1671" s="112" t="s">
        <v>2080</v>
      </c>
      <c r="B1671" s="112" t="s">
        <v>2127</v>
      </c>
      <c r="C1671" s="112">
        <v>2</v>
      </c>
      <c r="D1671" s="114">
        <v>0.0017006928047895178</v>
      </c>
      <c r="E1671" s="114">
        <v>2.39503501802863</v>
      </c>
      <c r="F1671" s="112" t="s">
        <v>2053</v>
      </c>
      <c r="G1671" s="112" t="b">
        <v>0</v>
      </c>
      <c r="H1671" s="112" t="b">
        <v>0</v>
      </c>
      <c r="I1671" s="112" t="b">
        <v>0</v>
      </c>
      <c r="J1671" s="112" t="b">
        <v>0</v>
      </c>
      <c r="K1671" s="112" t="b">
        <v>0</v>
      </c>
      <c r="L1671" s="112" t="b">
        <v>0</v>
      </c>
    </row>
    <row r="1672" spans="1:12" ht="15">
      <c r="A1672" s="112" t="s">
        <v>2231</v>
      </c>
      <c r="B1672" s="112" t="s">
        <v>2322</v>
      </c>
      <c r="C1672" s="112">
        <v>2</v>
      </c>
      <c r="D1672" s="114">
        <v>0.0020941960670953753</v>
      </c>
      <c r="E1672" s="114">
        <v>2.0940050223646494</v>
      </c>
      <c r="F1672" s="112" t="s">
        <v>2053</v>
      </c>
      <c r="G1672" s="112" t="b">
        <v>0</v>
      </c>
      <c r="H1672" s="112" t="b">
        <v>0</v>
      </c>
      <c r="I1672" s="112" t="b">
        <v>0</v>
      </c>
      <c r="J1672" s="112" t="b">
        <v>0</v>
      </c>
      <c r="K1672" s="112" t="b">
        <v>0</v>
      </c>
      <c r="L1672" s="112" t="b">
        <v>0</v>
      </c>
    </row>
    <row r="1673" spans="1:12" ht="15">
      <c r="A1673" s="112" t="s">
        <v>2094</v>
      </c>
      <c r="B1673" s="112" t="s">
        <v>2257</v>
      </c>
      <c r="C1673" s="112">
        <v>2</v>
      </c>
      <c r="D1673" s="114">
        <v>0.0017006928047895178</v>
      </c>
      <c r="E1673" s="114">
        <v>2.173186268412274</v>
      </c>
      <c r="F1673" s="112" t="s">
        <v>2053</v>
      </c>
      <c r="G1673" s="112" t="b">
        <v>0</v>
      </c>
      <c r="H1673" s="112" t="b">
        <v>0</v>
      </c>
      <c r="I1673" s="112" t="b">
        <v>0</v>
      </c>
      <c r="J1673" s="112" t="b">
        <v>0</v>
      </c>
      <c r="K1673" s="112" t="b">
        <v>0</v>
      </c>
      <c r="L1673" s="112" t="b">
        <v>0</v>
      </c>
    </row>
    <row r="1674" spans="1:12" ht="15">
      <c r="A1674" s="112" t="s">
        <v>2141</v>
      </c>
      <c r="B1674" s="112" t="s">
        <v>2134</v>
      </c>
      <c r="C1674" s="112">
        <v>2</v>
      </c>
      <c r="D1674" s="114">
        <v>0.0017006928047895178</v>
      </c>
      <c r="E1674" s="114">
        <v>0.5066682878573932</v>
      </c>
      <c r="F1674" s="112" t="s">
        <v>2053</v>
      </c>
      <c r="G1674" s="112" t="b">
        <v>0</v>
      </c>
      <c r="H1674" s="112" t="b">
        <v>0</v>
      </c>
      <c r="I1674" s="112" t="b">
        <v>0</v>
      </c>
      <c r="J1674" s="112" t="b">
        <v>0</v>
      </c>
      <c r="K1674" s="112" t="b">
        <v>0</v>
      </c>
      <c r="L1674" s="112" t="b">
        <v>0</v>
      </c>
    </row>
    <row r="1675" spans="1:12" ht="15">
      <c r="A1675" s="112" t="s">
        <v>3191</v>
      </c>
      <c r="B1675" s="112" t="s">
        <v>3192</v>
      </c>
      <c r="C1675" s="112">
        <v>2</v>
      </c>
      <c r="D1675" s="114">
        <v>0.0017006928047895178</v>
      </c>
      <c r="E1675" s="114">
        <v>2.8721562727482928</v>
      </c>
      <c r="F1675" s="112" t="s">
        <v>2053</v>
      </c>
      <c r="G1675" s="112" t="b">
        <v>0</v>
      </c>
      <c r="H1675" s="112" t="b">
        <v>0</v>
      </c>
      <c r="I1675" s="112" t="b">
        <v>0</v>
      </c>
      <c r="J1675" s="112" t="b">
        <v>0</v>
      </c>
      <c r="K1675" s="112" t="b">
        <v>0</v>
      </c>
      <c r="L1675" s="112" t="b">
        <v>0</v>
      </c>
    </row>
    <row r="1676" spans="1:12" ht="15">
      <c r="A1676" s="112" t="s">
        <v>3192</v>
      </c>
      <c r="B1676" s="112" t="s">
        <v>3193</v>
      </c>
      <c r="C1676" s="112">
        <v>2</v>
      </c>
      <c r="D1676" s="114">
        <v>0.0017006928047895178</v>
      </c>
      <c r="E1676" s="114">
        <v>2.8721562727482928</v>
      </c>
      <c r="F1676" s="112" t="s">
        <v>2053</v>
      </c>
      <c r="G1676" s="112" t="b">
        <v>0</v>
      </c>
      <c r="H1676" s="112" t="b">
        <v>0</v>
      </c>
      <c r="I1676" s="112" t="b">
        <v>0</v>
      </c>
      <c r="J1676" s="112" t="b">
        <v>0</v>
      </c>
      <c r="K1676" s="112" t="b">
        <v>0</v>
      </c>
      <c r="L1676" s="112" t="b">
        <v>0</v>
      </c>
    </row>
    <row r="1677" spans="1:12" ht="15">
      <c r="A1677" s="112" t="s">
        <v>2156</v>
      </c>
      <c r="B1677" s="112" t="s">
        <v>2382</v>
      </c>
      <c r="C1677" s="112">
        <v>2</v>
      </c>
      <c r="D1677" s="114">
        <v>0.0017006928047895178</v>
      </c>
      <c r="E1677" s="114">
        <v>2.2189437589729493</v>
      </c>
      <c r="F1677" s="112" t="s">
        <v>2053</v>
      </c>
      <c r="G1677" s="112" t="b">
        <v>0</v>
      </c>
      <c r="H1677" s="112" t="b">
        <v>0</v>
      </c>
      <c r="I1677" s="112" t="b">
        <v>0</v>
      </c>
      <c r="J1677" s="112" t="b">
        <v>0</v>
      </c>
      <c r="K1677" s="112" t="b">
        <v>0</v>
      </c>
      <c r="L1677" s="112" t="b">
        <v>0</v>
      </c>
    </row>
    <row r="1678" spans="1:12" ht="15">
      <c r="A1678" s="112" t="s">
        <v>2120</v>
      </c>
      <c r="B1678" s="112" t="s">
        <v>2577</v>
      </c>
      <c r="C1678" s="112">
        <v>2</v>
      </c>
      <c r="D1678" s="114">
        <v>0.0017006928047895178</v>
      </c>
      <c r="E1678" s="114">
        <v>2.8721562727482928</v>
      </c>
      <c r="F1678" s="112" t="s">
        <v>2053</v>
      </c>
      <c r="G1678" s="112" t="b">
        <v>0</v>
      </c>
      <c r="H1678" s="112" t="b">
        <v>0</v>
      </c>
      <c r="I1678" s="112" t="b">
        <v>0</v>
      </c>
      <c r="J1678" s="112" t="b">
        <v>0</v>
      </c>
      <c r="K1678" s="112" t="b">
        <v>0</v>
      </c>
      <c r="L1678" s="112" t="b">
        <v>0</v>
      </c>
    </row>
    <row r="1679" spans="1:12" ht="15">
      <c r="A1679" s="112" t="s">
        <v>2156</v>
      </c>
      <c r="B1679" s="112" t="s">
        <v>2156</v>
      </c>
      <c r="C1679" s="112">
        <v>2</v>
      </c>
      <c r="D1679" s="114">
        <v>0.0017006928047895178</v>
      </c>
      <c r="E1679" s="114">
        <v>1.5657312451976055</v>
      </c>
      <c r="F1679" s="112" t="s">
        <v>2053</v>
      </c>
      <c r="G1679" s="112" t="b">
        <v>0</v>
      </c>
      <c r="H1679" s="112" t="b">
        <v>0</v>
      </c>
      <c r="I1679" s="112" t="b">
        <v>0</v>
      </c>
      <c r="J1679" s="112" t="b">
        <v>0</v>
      </c>
      <c r="K1679" s="112" t="b">
        <v>0</v>
      </c>
      <c r="L1679" s="112" t="b">
        <v>0</v>
      </c>
    </row>
    <row r="1680" spans="1:12" ht="15">
      <c r="A1680" s="112" t="s">
        <v>3158</v>
      </c>
      <c r="B1680" s="112" t="s">
        <v>2302</v>
      </c>
      <c r="C1680" s="112">
        <v>2</v>
      </c>
      <c r="D1680" s="114">
        <v>0.0017006928047895178</v>
      </c>
      <c r="E1680" s="114">
        <v>2.2189437589729493</v>
      </c>
      <c r="F1680" s="112" t="s">
        <v>2053</v>
      </c>
      <c r="G1680" s="112" t="b">
        <v>0</v>
      </c>
      <c r="H1680" s="112" t="b">
        <v>0</v>
      </c>
      <c r="I1680" s="112" t="b">
        <v>0</v>
      </c>
      <c r="J1680" s="112" t="b">
        <v>0</v>
      </c>
      <c r="K1680" s="112" t="b">
        <v>0</v>
      </c>
      <c r="L1680" s="112" t="b">
        <v>0</v>
      </c>
    </row>
    <row r="1681" spans="1:12" ht="15">
      <c r="A1681" s="112" t="s">
        <v>3126</v>
      </c>
      <c r="B1681" s="112" t="s">
        <v>3127</v>
      </c>
      <c r="C1681" s="112">
        <v>2</v>
      </c>
      <c r="D1681" s="114">
        <v>0.0017006928047895178</v>
      </c>
      <c r="E1681" s="114">
        <v>2.8721562727482928</v>
      </c>
      <c r="F1681" s="112" t="s">
        <v>2053</v>
      </c>
      <c r="G1681" s="112" t="b">
        <v>0</v>
      </c>
      <c r="H1681" s="112" t="b">
        <v>0</v>
      </c>
      <c r="I1681" s="112" t="b">
        <v>0</v>
      </c>
      <c r="J1681" s="112" t="b">
        <v>0</v>
      </c>
      <c r="K1681" s="112" t="b">
        <v>0</v>
      </c>
      <c r="L1681" s="112" t="b">
        <v>0</v>
      </c>
    </row>
    <row r="1682" spans="1:12" ht="15">
      <c r="A1682" s="112" t="s">
        <v>2392</v>
      </c>
      <c r="B1682" s="112" t="s">
        <v>2086</v>
      </c>
      <c r="C1682" s="112">
        <v>2</v>
      </c>
      <c r="D1682" s="114">
        <v>0.0017006928047895178</v>
      </c>
      <c r="E1682" s="114">
        <v>1.9179137633089678</v>
      </c>
      <c r="F1682" s="112" t="s">
        <v>2053</v>
      </c>
      <c r="G1682" s="112" t="b">
        <v>0</v>
      </c>
      <c r="H1682" s="112" t="b">
        <v>0</v>
      </c>
      <c r="I1682" s="112" t="b">
        <v>0</v>
      </c>
      <c r="J1682" s="112" t="b">
        <v>0</v>
      </c>
      <c r="K1682" s="112" t="b">
        <v>0</v>
      </c>
      <c r="L1682" s="112" t="b">
        <v>0</v>
      </c>
    </row>
    <row r="1683" spans="1:12" ht="15">
      <c r="A1683" s="112" t="s">
        <v>2485</v>
      </c>
      <c r="B1683" s="112" t="s">
        <v>2574</v>
      </c>
      <c r="C1683" s="112">
        <v>2</v>
      </c>
      <c r="D1683" s="114">
        <v>0.0017006928047895178</v>
      </c>
      <c r="E1683" s="114">
        <v>2.4742162640762553</v>
      </c>
      <c r="F1683" s="112" t="s">
        <v>2053</v>
      </c>
      <c r="G1683" s="112" t="b">
        <v>0</v>
      </c>
      <c r="H1683" s="112" t="b">
        <v>0</v>
      </c>
      <c r="I1683" s="112" t="b">
        <v>0</v>
      </c>
      <c r="J1683" s="112" t="b">
        <v>0</v>
      </c>
      <c r="K1683" s="112" t="b">
        <v>0</v>
      </c>
      <c r="L1683" s="112" t="b">
        <v>0</v>
      </c>
    </row>
    <row r="1684" spans="1:12" ht="15">
      <c r="A1684" s="112" t="s">
        <v>2574</v>
      </c>
      <c r="B1684" s="112" t="s">
        <v>2557</v>
      </c>
      <c r="C1684" s="112">
        <v>2</v>
      </c>
      <c r="D1684" s="114">
        <v>0.0017006928047895178</v>
      </c>
      <c r="E1684" s="114">
        <v>2.8721562727482928</v>
      </c>
      <c r="F1684" s="112" t="s">
        <v>2053</v>
      </c>
      <c r="G1684" s="112" t="b">
        <v>0</v>
      </c>
      <c r="H1684" s="112" t="b">
        <v>0</v>
      </c>
      <c r="I1684" s="112" t="b">
        <v>0</v>
      </c>
      <c r="J1684" s="112" t="b">
        <v>0</v>
      </c>
      <c r="K1684" s="112" t="b">
        <v>0</v>
      </c>
      <c r="L1684" s="112" t="b">
        <v>0</v>
      </c>
    </row>
    <row r="1685" spans="1:12" ht="15">
      <c r="A1685" s="112" t="s">
        <v>2778</v>
      </c>
      <c r="B1685" s="112" t="s">
        <v>3149</v>
      </c>
      <c r="C1685" s="112">
        <v>2</v>
      </c>
      <c r="D1685" s="114">
        <v>0.0020941960670953753</v>
      </c>
      <c r="E1685" s="114">
        <v>2.6960650136926114</v>
      </c>
      <c r="F1685" s="112" t="s">
        <v>2053</v>
      </c>
      <c r="G1685" s="112" t="b">
        <v>0</v>
      </c>
      <c r="H1685" s="112" t="b">
        <v>0</v>
      </c>
      <c r="I1685" s="112" t="b">
        <v>0</v>
      </c>
      <c r="J1685" s="112" t="b">
        <v>0</v>
      </c>
      <c r="K1685" s="112" t="b">
        <v>0</v>
      </c>
      <c r="L1685" s="112" t="b">
        <v>0</v>
      </c>
    </row>
    <row r="1686" spans="1:12" ht="15">
      <c r="A1686" s="112" t="s">
        <v>3149</v>
      </c>
      <c r="B1686" s="112" t="s">
        <v>3150</v>
      </c>
      <c r="C1686" s="112">
        <v>2</v>
      </c>
      <c r="D1686" s="114">
        <v>0.0020941960670953753</v>
      </c>
      <c r="E1686" s="114">
        <v>2.8721562727482928</v>
      </c>
      <c r="F1686" s="112" t="s">
        <v>2053</v>
      </c>
      <c r="G1686" s="112" t="b">
        <v>0</v>
      </c>
      <c r="H1686" s="112" t="b">
        <v>0</v>
      </c>
      <c r="I1686" s="112" t="b">
        <v>0</v>
      </c>
      <c r="J1686" s="112" t="b">
        <v>0</v>
      </c>
      <c r="K1686" s="112" t="b">
        <v>0</v>
      </c>
      <c r="L1686" s="112" t="b">
        <v>0</v>
      </c>
    </row>
    <row r="1687" spans="1:12" ht="15">
      <c r="A1687" s="112" t="s">
        <v>2567</v>
      </c>
      <c r="B1687" s="112" t="s">
        <v>2296</v>
      </c>
      <c r="C1687" s="112">
        <v>2</v>
      </c>
      <c r="D1687" s="114">
        <v>0.0020941960670953753</v>
      </c>
      <c r="E1687" s="114">
        <v>2.218943758972949</v>
      </c>
      <c r="F1687" s="112" t="s">
        <v>2053</v>
      </c>
      <c r="G1687" s="112" t="b">
        <v>0</v>
      </c>
      <c r="H1687" s="112" t="b">
        <v>0</v>
      </c>
      <c r="I1687" s="112" t="b">
        <v>0</v>
      </c>
      <c r="J1687" s="112" t="b">
        <v>0</v>
      </c>
      <c r="K1687" s="112" t="b">
        <v>1</v>
      </c>
      <c r="L1687" s="112" t="b">
        <v>0</v>
      </c>
    </row>
    <row r="1688" spans="1:12" ht="15">
      <c r="A1688" s="112" t="s">
        <v>2096</v>
      </c>
      <c r="B1688" s="112" t="s">
        <v>2163</v>
      </c>
      <c r="C1688" s="112">
        <v>2</v>
      </c>
      <c r="D1688" s="114">
        <v>0.0017006928047895178</v>
      </c>
      <c r="E1688" s="114">
        <v>2.218943758972949</v>
      </c>
      <c r="F1688" s="112" t="s">
        <v>2053</v>
      </c>
      <c r="G1688" s="112" t="b">
        <v>0</v>
      </c>
      <c r="H1688" s="112" t="b">
        <v>0</v>
      </c>
      <c r="I1688" s="112" t="b">
        <v>0</v>
      </c>
      <c r="J1688" s="112" t="b">
        <v>0</v>
      </c>
      <c r="K1688" s="112" t="b">
        <v>1</v>
      </c>
      <c r="L1688" s="112" t="b">
        <v>0</v>
      </c>
    </row>
    <row r="1689" spans="1:12" ht="15">
      <c r="A1689" s="112" t="s">
        <v>2275</v>
      </c>
      <c r="B1689" s="112" t="s">
        <v>2172</v>
      </c>
      <c r="C1689" s="112">
        <v>2</v>
      </c>
      <c r="D1689" s="114">
        <v>0.0020941960670953753</v>
      </c>
      <c r="E1689" s="114">
        <v>2.0940050223646494</v>
      </c>
      <c r="F1689" s="112" t="s">
        <v>2053</v>
      </c>
      <c r="G1689" s="112" t="b">
        <v>0</v>
      </c>
      <c r="H1689" s="112" t="b">
        <v>0</v>
      </c>
      <c r="I1689" s="112" t="b">
        <v>0</v>
      </c>
      <c r="J1689" s="112" t="b">
        <v>0</v>
      </c>
      <c r="K1689" s="112" t="b">
        <v>0</v>
      </c>
      <c r="L1689" s="112" t="b">
        <v>0</v>
      </c>
    </row>
    <row r="1690" spans="1:12" ht="15">
      <c r="A1690" s="112" t="s">
        <v>2172</v>
      </c>
      <c r="B1690" s="112" t="s">
        <v>2479</v>
      </c>
      <c r="C1690" s="112">
        <v>2</v>
      </c>
      <c r="D1690" s="114">
        <v>0.0020941960670953753</v>
      </c>
      <c r="E1690" s="114">
        <v>2.0940050223646494</v>
      </c>
      <c r="F1690" s="112" t="s">
        <v>2053</v>
      </c>
      <c r="G1690" s="112" t="b">
        <v>0</v>
      </c>
      <c r="H1690" s="112" t="b">
        <v>0</v>
      </c>
      <c r="I1690" s="112" t="b">
        <v>0</v>
      </c>
      <c r="J1690" s="112" t="b">
        <v>0</v>
      </c>
      <c r="K1690" s="112" t="b">
        <v>0</v>
      </c>
      <c r="L1690" s="112" t="b">
        <v>0</v>
      </c>
    </row>
    <row r="1691" spans="1:12" ht="15">
      <c r="A1691" s="112" t="s">
        <v>2096</v>
      </c>
      <c r="B1691" s="112" t="s">
        <v>2183</v>
      </c>
      <c r="C1691" s="112">
        <v>2</v>
      </c>
      <c r="D1691" s="114">
        <v>0.0020941960670953753</v>
      </c>
      <c r="E1691" s="114">
        <v>2.218943758972949</v>
      </c>
      <c r="F1691" s="112" t="s">
        <v>2053</v>
      </c>
      <c r="G1691" s="112" t="b">
        <v>0</v>
      </c>
      <c r="H1691" s="112" t="b">
        <v>0</v>
      </c>
      <c r="I1691" s="112" t="b">
        <v>0</v>
      </c>
      <c r="J1691" s="112" t="b">
        <v>0</v>
      </c>
      <c r="K1691" s="112" t="b">
        <v>1</v>
      </c>
      <c r="L1691" s="112" t="b">
        <v>0</v>
      </c>
    </row>
    <row r="1692" spans="1:12" ht="15">
      <c r="A1692" s="112" t="s">
        <v>2083</v>
      </c>
      <c r="B1692" s="112" t="s">
        <v>2096</v>
      </c>
      <c r="C1692" s="112">
        <v>2</v>
      </c>
      <c r="D1692" s="114">
        <v>0.0020941960670953753</v>
      </c>
      <c r="E1692" s="114">
        <v>2.0940050223646494</v>
      </c>
      <c r="F1692" s="112" t="s">
        <v>2053</v>
      </c>
      <c r="G1692" s="112" t="b">
        <v>0</v>
      </c>
      <c r="H1692" s="112" t="b">
        <v>0</v>
      </c>
      <c r="I1692" s="112" t="b">
        <v>0</v>
      </c>
      <c r="J1692" s="112" t="b">
        <v>0</v>
      </c>
      <c r="K1692" s="112" t="b">
        <v>0</v>
      </c>
      <c r="L1692" s="112" t="b">
        <v>0</v>
      </c>
    </row>
    <row r="1693" spans="1:12" ht="15">
      <c r="A1693" s="112" t="s">
        <v>2080</v>
      </c>
      <c r="B1693" s="112" t="s">
        <v>2117</v>
      </c>
      <c r="C1693" s="112">
        <v>30</v>
      </c>
      <c r="D1693" s="114">
        <v>0.014700956799145019</v>
      </c>
      <c r="E1693" s="114">
        <v>1.1306687430445117</v>
      </c>
      <c r="F1693" s="112" t="s">
        <v>2054</v>
      </c>
      <c r="G1693" s="112" t="b">
        <v>0</v>
      </c>
      <c r="H1693" s="112" t="b">
        <v>0</v>
      </c>
      <c r="I1693" s="112" t="b">
        <v>0</v>
      </c>
      <c r="J1693" s="112" t="b">
        <v>0</v>
      </c>
      <c r="K1693" s="112" t="b">
        <v>0</v>
      </c>
      <c r="L1693" s="112" t="b">
        <v>0</v>
      </c>
    </row>
    <row r="1694" spans="1:12" ht="15">
      <c r="A1694" s="112" t="s">
        <v>2109</v>
      </c>
      <c r="B1694" s="112" t="s">
        <v>2112</v>
      </c>
      <c r="C1694" s="112">
        <v>30</v>
      </c>
      <c r="D1694" s="114">
        <v>0.0242876499485587</v>
      </c>
      <c r="E1694" s="114">
        <v>1.3570651204115887</v>
      </c>
      <c r="F1694" s="112" t="s">
        <v>2054</v>
      </c>
      <c r="G1694" s="112" t="b">
        <v>0</v>
      </c>
      <c r="H1694" s="112" t="b">
        <v>0</v>
      </c>
      <c r="I1694" s="112" t="b">
        <v>0</v>
      </c>
      <c r="J1694" s="112" t="b">
        <v>0</v>
      </c>
      <c r="K1694" s="112" t="b">
        <v>0</v>
      </c>
      <c r="L1694" s="112" t="b">
        <v>0</v>
      </c>
    </row>
    <row r="1695" spans="1:12" ht="15">
      <c r="A1695" s="112" t="s">
        <v>2080</v>
      </c>
      <c r="B1695" s="112" t="s">
        <v>2127</v>
      </c>
      <c r="C1695" s="112">
        <v>25</v>
      </c>
      <c r="D1695" s="114">
        <v>0.01459398444080352</v>
      </c>
      <c r="E1695" s="114">
        <v>1.1306687430445117</v>
      </c>
      <c r="F1695" s="112" t="s">
        <v>2054</v>
      </c>
      <c r="G1695" s="112" t="b">
        <v>0</v>
      </c>
      <c r="H1695" s="112" t="b">
        <v>0</v>
      </c>
      <c r="I1695" s="112" t="b">
        <v>0</v>
      </c>
      <c r="J1695" s="112" t="b">
        <v>0</v>
      </c>
      <c r="K1695" s="112" t="b">
        <v>0</v>
      </c>
      <c r="L1695" s="112" t="b">
        <v>0</v>
      </c>
    </row>
    <row r="1696" spans="1:12" ht="15">
      <c r="A1696" s="112" t="s">
        <v>2107</v>
      </c>
      <c r="B1696" s="112" t="s">
        <v>2107</v>
      </c>
      <c r="C1696" s="112">
        <v>23</v>
      </c>
      <c r="D1696" s="114">
        <v>0.021658865429389378</v>
      </c>
      <c r="E1696" s="114">
        <v>1.1121853373504984</v>
      </c>
      <c r="F1696" s="112" t="s">
        <v>2054</v>
      </c>
      <c r="G1696" s="112" t="b">
        <v>0</v>
      </c>
      <c r="H1696" s="112" t="b">
        <v>0</v>
      </c>
      <c r="I1696" s="112" t="b">
        <v>0</v>
      </c>
      <c r="J1696" s="112" t="b">
        <v>0</v>
      </c>
      <c r="K1696" s="112" t="b">
        <v>0</v>
      </c>
      <c r="L1696" s="112" t="b">
        <v>0</v>
      </c>
    </row>
    <row r="1697" spans="1:12" ht="15">
      <c r="A1697" s="112" t="s">
        <v>2080</v>
      </c>
      <c r="B1697" s="112" t="s">
        <v>2139</v>
      </c>
      <c r="C1697" s="112">
        <v>13</v>
      </c>
      <c r="D1697" s="114">
        <v>0.008361082110732552</v>
      </c>
      <c r="E1697" s="114">
        <v>1.0984840596731105</v>
      </c>
      <c r="F1697" s="112" t="s">
        <v>2054</v>
      </c>
      <c r="G1697" s="112" t="b">
        <v>0</v>
      </c>
      <c r="H1697" s="112" t="b">
        <v>0</v>
      </c>
      <c r="I1697" s="112" t="b">
        <v>0</v>
      </c>
      <c r="J1697" s="112" t="b">
        <v>0</v>
      </c>
      <c r="K1697" s="112" t="b">
        <v>0</v>
      </c>
      <c r="L1697" s="112" t="b">
        <v>0</v>
      </c>
    </row>
    <row r="1698" spans="1:12" ht="15">
      <c r="A1698" s="112" t="s">
        <v>2080</v>
      </c>
      <c r="B1698" s="112" t="s">
        <v>2083</v>
      </c>
      <c r="C1698" s="112">
        <v>12</v>
      </c>
      <c r="D1698" s="114">
        <v>0.007717921948368509</v>
      </c>
      <c r="E1698" s="114">
        <v>0.8119099804200989</v>
      </c>
      <c r="F1698" s="112" t="s">
        <v>2054</v>
      </c>
      <c r="G1698" s="112" t="b">
        <v>0</v>
      </c>
      <c r="H1698" s="112" t="b">
        <v>0</v>
      </c>
      <c r="I1698" s="112" t="b">
        <v>0</v>
      </c>
      <c r="J1698" s="112" t="b">
        <v>0</v>
      </c>
      <c r="K1698" s="112" t="b">
        <v>0</v>
      </c>
      <c r="L1698" s="112" t="b">
        <v>0</v>
      </c>
    </row>
    <row r="1699" spans="1:12" ht="15">
      <c r="A1699" s="112" t="s">
        <v>2091</v>
      </c>
      <c r="B1699" s="112" t="s">
        <v>2091</v>
      </c>
      <c r="C1699" s="112">
        <v>12</v>
      </c>
      <c r="D1699" s="114">
        <v>0.007005112531585689</v>
      </c>
      <c r="E1699" s="114">
        <v>0.5596639299469807</v>
      </c>
      <c r="F1699" s="112" t="s">
        <v>2054</v>
      </c>
      <c r="G1699" s="112" t="b">
        <v>0</v>
      </c>
      <c r="H1699" s="112" t="b">
        <v>0</v>
      </c>
      <c r="I1699" s="112" t="b">
        <v>0</v>
      </c>
      <c r="J1699" s="112" t="b">
        <v>0</v>
      </c>
      <c r="K1699" s="112" t="b">
        <v>0</v>
      </c>
      <c r="L1699" s="112" t="b">
        <v>0</v>
      </c>
    </row>
    <row r="1700" spans="1:12" ht="15">
      <c r="A1700" s="112" t="s">
        <v>2112</v>
      </c>
      <c r="B1700" s="112" t="s">
        <v>2109</v>
      </c>
      <c r="C1700" s="112">
        <v>12</v>
      </c>
      <c r="D1700" s="114">
        <v>0.00971505997942348</v>
      </c>
      <c r="E1700" s="114">
        <v>0.9688849490287073</v>
      </c>
      <c r="F1700" s="112" t="s">
        <v>2054</v>
      </c>
      <c r="G1700" s="112" t="b">
        <v>0</v>
      </c>
      <c r="H1700" s="112" t="b">
        <v>0</v>
      </c>
      <c r="I1700" s="112" t="b">
        <v>0</v>
      </c>
      <c r="J1700" s="112" t="b">
        <v>0</v>
      </c>
      <c r="K1700" s="112" t="b">
        <v>0</v>
      </c>
      <c r="L1700" s="112" t="b">
        <v>0</v>
      </c>
    </row>
    <row r="1701" spans="1:12" ht="15">
      <c r="A1701" s="112" t="s">
        <v>2216</v>
      </c>
      <c r="B1701" s="112" t="s">
        <v>2109</v>
      </c>
      <c r="C1701" s="112">
        <v>12</v>
      </c>
      <c r="D1701" s="114">
        <v>0.00971505997942348</v>
      </c>
      <c r="E1701" s="114">
        <v>1.498394273208058</v>
      </c>
      <c r="F1701" s="112" t="s">
        <v>2054</v>
      </c>
      <c r="G1701" s="112" t="b">
        <v>0</v>
      </c>
      <c r="H1701" s="112" t="b">
        <v>1</v>
      </c>
      <c r="I1701" s="112" t="b">
        <v>0</v>
      </c>
      <c r="J1701" s="112" t="b">
        <v>0</v>
      </c>
      <c r="K1701" s="112" t="b">
        <v>0</v>
      </c>
      <c r="L1701" s="112" t="b">
        <v>0</v>
      </c>
    </row>
    <row r="1702" spans="1:12" ht="15">
      <c r="A1702" s="112" t="s">
        <v>2229</v>
      </c>
      <c r="B1702" s="112" t="s">
        <v>2208</v>
      </c>
      <c r="C1702" s="112">
        <v>10</v>
      </c>
      <c r="D1702" s="114">
        <v>0.009416898012777989</v>
      </c>
      <c r="E1702" s="114">
        <v>1.8876306943582173</v>
      </c>
      <c r="F1702" s="112" t="s">
        <v>2054</v>
      </c>
      <c r="G1702" s="112" t="b">
        <v>0</v>
      </c>
      <c r="H1702" s="112" t="b">
        <v>0</v>
      </c>
      <c r="I1702" s="112" t="b">
        <v>0</v>
      </c>
      <c r="J1702" s="112" t="b">
        <v>0</v>
      </c>
      <c r="K1702" s="112" t="b">
        <v>0</v>
      </c>
      <c r="L1702" s="112" t="b">
        <v>0</v>
      </c>
    </row>
    <row r="1703" spans="1:12" ht="15">
      <c r="A1703" s="112" t="s">
        <v>2117</v>
      </c>
      <c r="B1703" s="112" t="s">
        <v>2080</v>
      </c>
      <c r="C1703" s="112">
        <v>9</v>
      </c>
      <c r="D1703" s="114">
        <v>0.005788441461276381</v>
      </c>
      <c r="E1703" s="114">
        <v>0.6515415056272506</v>
      </c>
      <c r="F1703" s="112" t="s">
        <v>2054</v>
      </c>
      <c r="G1703" s="112" t="b">
        <v>0</v>
      </c>
      <c r="H1703" s="112" t="b">
        <v>0</v>
      </c>
      <c r="I1703" s="112" t="b">
        <v>0</v>
      </c>
      <c r="J1703" s="112" t="b">
        <v>0</v>
      </c>
      <c r="K1703" s="112" t="b">
        <v>0</v>
      </c>
      <c r="L1703" s="112" t="b">
        <v>0</v>
      </c>
    </row>
    <row r="1704" spans="1:12" ht="15">
      <c r="A1704" s="112" t="s">
        <v>2127</v>
      </c>
      <c r="B1704" s="112" t="s">
        <v>2080</v>
      </c>
      <c r="C1704" s="112">
        <v>9</v>
      </c>
      <c r="D1704" s="114">
        <v>0.005788441461276381</v>
      </c>
      <c r="E1704" s="114">
        <v>0.7007595282974322</v>
      </c>
      <c r="F1704" s="112" t="s">
        <v>2054</v>
      </c>
      <c r="G1704" s="112" t="b">
        <v>0</v>
      </c>
      <c r="H1704" s="112" t="b">
        <v>0</v>
      </c>
      <c r="I1704" s="112" t="b">
        <v>0</v>
      </c>
      <c r="J1704" s="112" t="b">
        <v>0</v>
      </c>
      <c r="K1704" s="112" t="b">
        <v>0</v>
      </c>
      <c r="L1704" s="112" t="b">
        <v>0</v>
      </c>
    </row>
    <row r="1705" spans="1:12" ht="15">
      <c r="A1705" s="112" t="s">
        <v>2077</v>
      </c>
      <c r="B1705" s="112" t="s">
        <v>2080</v>
      </c>
      <c r="C1705" s="112">
        <v>9</v>
      </c>
      <c r="D1705" s="114">
        <v>0.006442747625621848</v>
      </c>
      <c r="E1705" s="114">
        <v>1.1444570275301449</v>
      </c>
      <c r="F1705" s="112" t="s">
        <v>2054</v>
      </c>
      <c r="G1705" s="112" t="b">
        <v>0</v>
      </c>
      <c r="H1705" s="112" t="b">
        <v>0</v>
      </c>
      <c r="I1705" s="112" t="b">
        <v>0</v>
      </c>
      <c r="J1705" s="112" t="b">
        <v>0</v>
      </c>
      <c r="K1705" s="112" t="b">
        <v>0</v>
      </c>
      <c r="L1705" s="112" t="b">
        <v>0</v>
      </c>
    </row>
    <row r="1706" spans="1:12" ht="15">
      <c r="A1706" s="112" t="s">
        <v>2091</v>
      </c>
      <c r="B1706" s="112" t="s">
        <v>2146</v>
      </c>
      <c r="C1706" s="112">
        <v>9</v>
      </c>
      <c r="D1706" s="114">
        <v>0.004410287039743506</v>
      </c>
      <c r="E1706" s="114">
        <v>0.8496985413094986</v>
      </c>
      <c r="F1706" s="112" t="s">
        <v>2054</v>
      </c>
      <c r="G1706" s="112" t="b">
        <v>0</v>
      </c>
      <c r="H1706" s="112" t="b">
        <v>0</v>
      </c>
      <c r="I1706" s="112" t="b">
        <v>0</v>
      </c>
      <c r="J1706" s="112" t="b">
        <v>0</v>
      </c>
      <c r="K1706" s="112" t="b">
        <v>1</v>
      </c>
      <c r="L1706" s="112" t="b">
        <v>0</v>
      </c>
    </row>
    <row r="1707" spans="1:12" ht="15">
      <c r="A1707" s="112" t="s">
        <v>2138</v>
      </c>
      <c r="B1707" s="112" t="s">
        <v>2133</v>
      </c>
      <c r="C1707" s="112">
        <v>9</v>
      </c>
      <c r="D1707" s="114">
        <v>0.00847520821150019</v>
      </c>
      <c r="E1707" s="114">
        <v>1.9989966237772434</v>
      </c>
      <c r="F1707" s="112" t="s">
        <v>2054</v>
      </c>
      <c r="G1707" s="112" t="b">
        <v>0</v>
      </c>
      <c r="H1707" s="112" t="b">
        <v>0</v>
      </c>
      <c r="I1707" s="112" t="b">
        <v>0</v>
      </c>
      <c r="J1707" s="112" t="b">
        <v>0</v>
      </c>
      <c r="K1707" s="112" t="b">
        <v>0</v>
      </c>
      <c r="L1707" s="112" t="b">
        <v>0</v>
      </c>
    </row>
    <row r="1708" spans="1:12" ht="15">
      <c r="A1708" s="112" t="s">
        <v>2107</v>
      </c>
      <c r="B1708" s="112" t="s">
        <v>2091</v>
      </c>
      <c r="C1708" s="112">
        <v>8</v>
      </c>
      <c r="D1708" s="114">
        <v>0.007533518410222392</v>
      </c>
      <c r="E1708" s="114">
        <v>0.5218753690575808</v>
      </c>
      <c r="F1708" s="112" t="s">
        <v>2054</v>
      </c>
      <c r="G1708" s="112" t="b">
        <v>0</v>
      </c>
      <c r="H1708" s="112" t="b">
        <v>0</v>
      </c>
      <c r="I1708" s="112" t="b">
        <v>0</v>
      </c>
      <c r="J1708" s="112" t="b">
        <v>0</v>
      </c>
      <c r="K1708" s="112" t="b">
        <v>0</v>
      </c>
      <c r="L1708" s="112" t="b">
        <v>0</v>
      </c>
    </row>
    <row r="1709" spans="1:12" ht="15">
      <c r="A1709" s="112" t="s">
        <v>2080</v>
      </c>
      <c r="B1709" s="112" t="s">
        <v>2094</v>
      </c>
      <c r="C1709" s="112">
        <v>7</v>
      </c>
      <c r="D1709" s="114">
        <v>0.0045021211365482965</v>
      </c>
      <c r="E1709" s="114">
        <v>0.8965855370111436</v>
      </c>
      <c r="F1709" s="112" t="s">
        <v>2054</v>
      </c>
      <c r="G1709" s="112" t="b">
        <v>0</v>
      </c>
      <c r="H1709" s="112" t="b">
        <v>0</v>
      </c>
      <c r="I1709" s="112" t="b">
        <v>0</v>
      </c>
      <c r="J1709" s="112" t="b">
        <v>0</v>
      </c>
      <c r="K1709" s="112" t="b">
        <v>0</v>
      </c>
      <c r="L1709" s="112" t="b">
        <v>0</v>
      </c>
    </row>
    <row r="1710" spans="1:12" ht="15">
      <c r="A1710" s="112" t="s">
        <v>2139</v>
      </c>
      <c r="B1710" s="112" t="s">
        <v>2080</v>
      </c>
      <c r="C1710" s="112">
        <v>7</v>
      </c>
      <c r="D1710" s="114">
        <v>0.005667118321330363</v>
      </c>
      <c r="E1710" s="114">
        <v>0.8756117152375651</v>
      </c>
      <c r="F1710" s="112" t="s">
        <v>2054</v>
      </c>
      <c r="G1710" s="112" t="b">
        <v>0</v>
      </c>
      <c r="H1710" s="112" t="b">
        <v>0</v>
      </c>
      <c r="I1710" s="112" t="b">
        <v>0</v>
      </c>
      <c r="J1710" s="112" t="b">
        <v>0</v>
      </c>
      <c r="K1710" s="112" t="b">
        <v>0</v>
      </c>
      <c r="L1710" s="112" t="b">
        <v>0</v>
      </c>
    </row>
    <row r="1711" spans="1:12" ht="15">
      <c r="A1711" s="112" t="s">
        <v>2094</v>
      </c>
      <c r="B1711" s="112" t="s">
        <v>2080</v>
      </c>
      <c r="C1711" s="112">
        <v>7</v>
      </c>
      <c r="D1711" s="114">
        <v>0.005011025931039215</v>
      </c>
      <c r="E1711" s="114">
        <v>0.910373821496777</v>
      </c>
      <c r="F1711" s="112" t="s">
        <v>2054</v>
      </c>
      <c r="G1711" s="112" t="b">
        <v>0</v>
      </c>
      <c r="H1711" s="112" t="b">
        <v>0</v>
      </c>
      <c r="I1711" s="112" t="b">
        <v>0</v>
      </c>
      <c r="J1711" s="112" t="b">
        <v>0</v>
      </c>
      <c r="K1711" s="112" t="b">
        <v>0</v>
      </c>
      <c r="L1711" s="112" t="b">
        <v>0</v>
      </c>
    </row>
    <row r="1712" spans="1:12" ht="15">
      <c r="A1712" s="112" t="s">
        <v>2101</v>
      </c>
      <c r="B1712" s="112" t="s">
        <v>2097</v>
      </c>
      <c r="C1712" s="112">
        <v>7</v>
      </c>
      <c r="D1712" s="114">
        <v>0.006591828608944593</v>
      </c>
      <c r="E1712" s="114">
        <v>0.7177384340956243</v>
      </c>
      <c r="F1712" s="112" t="s">
        <v>2054</v>
      </c>
      <c r="G1712" s="112" t="b">
        <v>0</v>
      </c>
      <c r="H1712" s="112" t="b">
        <v>0</v>
      </c>
      <c r="I1712" s="112" t="b">
        <v>0</v>
      </c>
      <c r="J1712" s="112" t="b">
        <v>0</v>
      </c>
      <c r="K1712" s="112" t="b">
        <v>0</v>
      </c>
      <c r="L1712" s="112" t="b">
        <v>0</v>
      </c>
    </row>
    <row r="1713" spans="1:12" ht="15">
      <c r="A1713" s="112" t="s">
        <v>2200</v>
      </c>
      <c r="B1713" s="112" t="s">
        <v>2200</v>
      </c>
      <c r="C1713" s="112">
        <v>7</v>
      </c>
      <c r="D1713" s="114">
        <v>0.00817263128684997</v>
      </c>
      <c r="E1713" s="114">
        <v>1.6058554979869744</v>
      </c>
      <c r="F1713" s="112" t="s">
        <v>2054</v>
      </c>
      <c r="G1713" s="112" t="b">
        <v>0</v>
      </c>
      <c r="H1713" s="112" t="b">
        <v>0</v>
      </c>
      <c r="I1713" s="112" t="b">
        <v>0</v>
      </c>
      <c r="J1713" s="112" t="b">
        <v>0</v>
      </c>
      <c r="K1713" s="112" t="b">
        <v>0</v>
      </c>
      <c r="L1713" s="112" t="b">
        <v>0</v>
      </c>
    </row>
    <row r="1714" spans="1:12" ht="15">
      <c r="A1714" s="112" t="s">
        <v>2091</v>
      </c>
      <c r="B1714" s="112" t="s">
        <v>2107</v>
      </c>
      <c r="C1714" s="112">
        <v>7</v>
      </c>
      <c r="D1714" s="114">
        <v>0.006591828608944593</v>
      </c>
      <c r="E1714" s="114">
        <v>0.457252843180881</v>
      </c>
      <c r="F1714" s="112" t="s">
        <v>2054</v>
      </c>
      <c r="G1714" s="112" t="b">
        <v>0</v>
      </c>
      <c r="H1714" s="112" t="b">
        <v>0</v>
      </c>
      <c r="I1714" s="112" t="b">
        <v>0</v>
      </c>
      <c r="J1714" s="112" t="b">
        <v>0</v>
      </c>
      <c r="K1714" s="112" t="b">
        <v>0</v>
      </c>
      <c r="L1714" s="112" t="b">
        <v>0</v>
      </c>
    </row>
    <row r="1715" spans="1:12" ht="15">
      <c r="A1715" s="112" t="s">
        <v>2090</v>
      </c>
      <c r="B1715" s="112" t="s">
        <v>2080</v>
      </c>
      <c r="C1715" s="112">
        <v>6</v>
      </c>
      <c r="D1715" s="114">
        <v>0.0038589609741842544</v>
      </c>
      <c r="E1715" s="114">
        <v>0.6215782822498074</v>
      </c>
      <c r="F1715" s="112" t="s">
        <v>2054</v>
      </c>
      <c r="G1715" s="112" t="b">
        <v>0</v>
      </c>
      <c r="H1715" s="112" t="b">
        <v>0</v>
      </c>
      <c r="I1715" s="112" t="b">
        <v>0</v>
      </c>
      <c r="J1715" s="112" t="b">
        <v>0</v>
      </c>
      <c r="K1715" s="112" t="b">
        <v>0</v>
      </c>
      <c r="L1715" s="112" t="b">
        <v>0</v>
      </c>
    </row>
    <row r="1716" spans="1:12" ht="15">
      <c r="A1716" s="112" t="s">
        <v>2097</v>
      </c>
      <c r="B1716" s="112" t="s">
        <v>2080</v>
      </c>
      <c r="C1716" s="112">
        <v>6</v>
      </c>
      <c r="D1716" s="114">
        <v>0.00485752998971174</v>
      </c>
      <c r="E1716" s="114">
        <v>0.34282468129697846</v>
      </c>
      <c r="F1716" s="112" t="s">
        <v>2054</v>
      </c>
      <c r="G1716" s="112" t="b">
        <v>0</v>
      </c>
      <c r="H1716" s="112" t="b">
        <v>0</v>
      </c>
      <c r="I1716" s="112" t="b">
        <v>0</v>
      </c>
      <c r="J1716" s="112" t="b">
        <v>0</v>
      </c>
      <c r="K1716" s="112" t="b">
        <v>0</v>
      </c>
      <c r="L1716" s="112" t="b">
        <v>0</v>
      </c>
    </row>
    <row r="1717" spans="1:12" ht="15">
      <c r="A1717" s="112" t="s">
        <v>2112</v>
      </c>
      <c r="B1717" s="112" t="s">
        <v>2101</v>
      </c>
      <c r="C1717" s="112">
        <v>6</v>
      </c>
      <c r="D1717" s="114">
        <v>0.0056501388076667936</v>
      </c>
      <c r="E1717" s="114">
        <v>0.5755406920458188</v>
      </c>
      <c r="F1717" s="112" t="s">
        <v>2054</v>
      </c>
      <c r="G1717" s="112" t="b">
        <v>0</v>
      </c>
      <c r="H1717" s="112" t="b">
        <v>0</v>
      </c>
      <c r="I1717" s="112" t="b">
        <v>0</v>
      </c>
      <c r="J1717" s="112" t="b">
        <v>0</v>
      </c>
      <c r="K1717" s="112" t="b">
        <v>0</v>
      </c>
      <c r="L1717" s="112" t="b">
        <v>0</v>
      </c>
    </row>
    <row r="1718" spans="1:12" ht="15">
      <c r="A1718" s="112" t="s">
        <v>2097</v>
      </c>
      <c r="B1718" s="112" t="s">
        <v>2101</v>
      </c>
      <c r="C1718" s="112">
        <v>6</v>
      </c>
      <c r="D1718" s="114">
        <v>0.0056501388076667936</v>
      </c>
      <c r="E1718" s="114">
        <v>0.639209771915196</v>
      </c>
      <c r="F1718" s="112" t="s">
        <v>2054</v>
      </c>
      <c r="G1718" s="112" t="b">
        <v>0</v>
      </c>
      <c r="H1718" s="112" t="b">
        <v>0</v>
      </c>
      <c r="I1718" s="112" t="b">
        <v>0</v>
      </c>
      <c r="J1718" s="112" t="b">
        <v>0</v>
      </c>
      <c r="K1718" s="112" t="b">
        <v>0</v>
      </c>
      <c r="L1718" s="112" t="b">
        <v>0</v>
      </c>
    </row>
    <row r="1719" spans="1:12" ht="15">
      <c r="A1719" s="112" t="s">
        <v>2199</v>
      </c>
      <c r="B1719" s="112" t="s">
        <v>2091</v>
      </c>
      <c r="C1719" s="112">
        <v>5</v>
      </c>
      <c r="D1719" s="114">
        <v>0.0035793042364565823</v>
      </c>
      <c r="E1719" s="114">
        <v>0.8850532714704066</v>
      </c>
      <c r="F1719" s="112" t="s">
        <v>2054</v>
      </c>
      <c r="G1719" s="112" t="b">
        <v>0</v>
      </c>
      <c r="H1719" s="112" t="b">
        <v>0</v>
      </c>
      <c r="I1719" s="112" t="b">
        <v>0</v>
      </c>
      <c r="J1719" s="112" t="b">
        <v>0</v>
      </c>
      <c r="K1719" s="112" t="b">
        <v>0</v>
      </c>
      <c r="L1719" s="112" t="b">
        <v>0</v>
      </c>
    </row>
    <row r="1720" spans="1:12" ht="15">
      <c r="A1720" s="112" t="s">
        <v>2194</v>
      </c>
      <c r="B1720" s="112" t="s">
        <v>2229</v>
      </c>
      <c r="C1720" s="112">
        <v>5</v>
      </c>
      <c r="D1720" s="114">
        <v>0.004708449006388994</v>
      </c>
      <c r="E1720" s="114">
        <v>1.5566374753167929</v>
      </c>
      <c r="F1720" s="112" t="s">
        <v>2054</v>
      </c>
      <c r="G1720" s="112" t="b">
        <v>0</v>
      </c>
      <c r="H1720" s="112" t="b">
        <v>0</v>
      </c>
      <c r="I1720" s="112" t="b">
        <v>0</v>
      </c>
      <c r="J1720" s="112" t="b">
        <v>0</v>
      </c>
      <c r="K1720" s="112" t="b">
        <v>0</v>
      </c>
      <c r="L1720" s="112" t="b">
        <v>0</v>
      </c>
    </row>
    <row r="1721" spans="1:12" ht="15">
      <c r="A1721" s="112" t="s">
        <v>2174</v>
      </c>
      <c r="B1721" s="112" t="s">
        <v>2174</v>
      </c>
      <c r="C1721" s="112">
        <v>5</v>
      </c>
      <c r="D1721" s="114">
        <v>0.004708449006388994</v>
      </c>
      <c r="E1721" s="114">
        <v>1.3013649702134868</v>
      </c>
      <c r="F1721" s="112" t="s">
        <v>2054</v>
      </c>
      <c r="G1721" s="112" t="b">
        <v>0</v>
      </c>
      <c r="H1721" s="112" t="b">
        <v>0</v>
      </c>
      <c r="I1721" s="112" t="b">
        <v>0</v>
      </c>
      <c r="J1721" s="112" t="b">
        <v>0</v>
      </c>
      <c r="K1721" s="112" t="b">
        <v>0</v>
      </c>
      <c r="L1721" s="112" t="b">
        <v>0</v>
      </c>
    </row>
    <row r="1722" spans="1:12" ht="15">
      <c r="A1722" s="112" t="s">
        <v>2308</v>
      </c>
      <c r="B1722" s="112" t="s">
        <v>2109</v>
      </c>
      <c r="C1722" s="112">
        <v>5</v>
      </c>
      <c r="D1722" s="114">
        <v>0.004047941658093117</v>
      </c>
      <c r="E1722" s="114">
        <v>1.4539751334196451</v>
      </c>
      <c r="F1722" s="112" t="s">
        <v>2054</v>
      </c>
      <c r="G1722" s="112" t="b">
        <v>0</v>
      </c>
      <c r="H1722" s="112" t="b">
        <v>0</v>
      </c>
      <c r="I1722" s="112" t="b">
        <v>0</v>
      </c>
      <c r="J1722" s="112" t="b">
        <v>0</v>
      </c>
      <c r="K1722" s="112" t="b">
        <v>0</v>
      </c>
      <c r="L1722" s="112" t="b">
        <v>0</v>
      </c>
    </row>
    <row r="1723" spans="1:12" ht="15">
      <c r="A1723" s="112" t="s">
        <v>2112</v>
      </c>
      <c r="B1723" s="112" t="s">
        <v>2178</v>
      </c>
      <c r="C1723" s="112">
        <v>5</v>
      </c>
      <c r="D1723" s="114">
        <v>0.004047941658093117</v>
      </c>
      <c r="E1723" s="114">
        <v>1.0545139516270747</v>
      </c>
      <c r="F1723" s="112" t="s">
        <v>2054</v>
      </c>
      <c r="G1723" s="112" t="b">
        <v>0</v>
      </c>
      <c r="H1723" s="112" t="b">
        <v>0</v>
      </c>
      <c r="I1723" s="112" t="b">
        <v>0</v>
      </c>
      <c r="J1723" s="112" t="b">
        <v>0</v>
      </c>
      <c r="K1723" s="112" t="b">
        <v>0</v>
      </c>
      <c r="L1723" s="112" t="b">
        <v>0</v>
      </c>
    </row>
    <row r="1724" spans="1:12" ht="15">
      <c r="A1724" s="112" t="s">
        <v>2080</v>
      </c>
      <c r="B1724" s="112" t="s">
        <v>2321</v>
      </c>
      <c r="C1724" s="112">
        <v>5</v>
      </c>
      <c r="D1724" s="114">
        <v>0.004047941658093117</v>
      </c>
      <c r="E1724" s="114">
        <v>1.1306687430445117</v>
      </c>
      <c r="F1724" s="112" t="s">
        <v>2054</v>
      </c>
      <c r="G1724" s="112" t="b">
        <v>0</v>
      </c>
      <c r="H1724" s="112" t="b">
        <v>0</v>
      </c>
      <c r="I1724" s="112" t="b">
        <v>0</v>
      </c>
      <c r="J1724" s="112" t="b">
        <v>0</v>
      </c>
      <c r="K1724" s="112" t="b">
        <v>0</v>
      </c>
      <c r="L1724" s="112" t="b">
        <v>0</v>
      </c>
    </row>
    <row r="1725" spans="1:12" ht="15">
      <c r="A1725" s="112" t="s">
        <v>2083</v>
      </c>
      <c r="B1725" s="112" t="s">
        <v>2225</v>
      </c>
      <c r="C1725" s="112">
        <v>4</v>
      </c>
      <c r="D1725" s="114">
        <v>0.0028634433891652662</v>
      </c>
      <c r="E1725" s="114">
        <v>1.6979666281132622</v>
      </c>
      <c r="F1725" s="112" t="s">
        <v>2054</v>
      </c>
      <c r="G1725" s="112" t="b">
        <v>0</v>
      </c>
      <c r="H1725" s="112" t="b">
        <v>0</v>
      </c>
      <c r="I1725" s="112" t="b">
        <v>0</v>
      </c>
      <c r="J1725" s="112" t="b">
        <v>0</v>
      </c>
      <c r="K1725" s="112" t="b">
        <v>0</v>
      </c>
      <c r="L1725" s="112" t="b">
        <v>0</v>
      </c>
    </row>
    <row r="1726" spans="1:12" ht="15">
      <c r="A1726" s="112" t="s">
        <v>2083</v>
      </c>
      <c r="B1726" s="112" t="s">
        <v>2080</v>
      </c>
      <c r="C1726" s="112">
        <v>4</v>
      </c>
      <c r="D1726" s="114">
        <v>0.0032383533264744935</v>
      </c>
      <c r="E1726" s="114">
        <v>0.3315436708872894</v>
      </c>
      <c r="F1726" s="112" t="s">
        <v>2054</v>
      </c>
      <c r="G1726" s="112" t="b">
        <v>0</v>
      </c>
      <c r="H1726" s="112" t="b">
        <v>0</v>
      </c>
      <c r="I1726" s="112" t="b">
        <v>0</v>
      </c>
      <c r="J1726" s="112" t="b">
        <v>0</v>
      </c>
      <c r="K1726" s="112" t="b">
        <v>0</v>
      </c>
      <c r="L1726" s="112" t="b">
        <v>0</v>
      </c>
    </row>
    <row r="1727" spans="1:12" ht="15">
      <c r="A1727" s="112" t="s">
        <v>2117</v>
      </c>
      <c r="B1727" s="112" t="s">
        <v>2146</v>
      </c>
      <c r="C1727" s="112">
        <v>4</v>
      </c>
      <c r="D1727" s="114">
        <v>0.003766759205111196</v>
      </c>
      <c r="E1727" s="114">
        <v>0.8699019273977856</v>
      </c>
      <c r="F1727" s="112" t="s">
        <v>2054</v>
      </c>
      <c r="G1727" s="112" t="b">
        <v>0</v>
      </c>
      <c r="H1727" s="112" t="b">
        <v>0</v>
      </c>
      <c r="I1727" s="112" t="b">
        <v>0</v>
      </c>
      <c r="J1727" s="112" t="b">
        <v>0</v>
      </c>
      <c r="K1727" s="112" t="b">
        <v>1</v>
      </c>
      <c r="L1727" s="112" t="b">
        <v>0</v>
      </c>
    </row>
    <row r="1728" spans="1:12" ht="15">
      <c r="A1728" s="112" t="s">
        <v>2146</v>
      </c>
      <c r="B1728" s="112" t="s">
        <v>2091</v>
      </c>
      <c r="C1728" s="112">
        <v>4</v>
      </c>
      <c r="D1728" s="114">
        <v>0.0028634433891652662</v>
      </c>
      <c r="E1728" s="114">
        <v>0.5218753690575808</v>
      </c>
      <c r="F1728" s="112" t="s">
        <v>2054</v>
      </c>
      <c r="G1728" s="112" t="b">
        <v>0</v>
      </c>
      <c r="H1728" s="112" t="b">
        <v>1</v>
      </c>
      <c r="I1728" s="112" t="b">
        <v>0</v>
      </c>
      <c r="J1728" s="112" t="b">
        <v>0</v>
      </c>
      <c r="K1728" s="112" t="b">
        <v>0</v>
      </c>
      <c r="L1728" s="112" t="b">
        <v>0</v>
      </c>
    </row>
    <row r="1729" spans="1:12" ht="15">
      <c r="A1729" s="112" t="s">
        <v>2127</v>
      </c>
      <c r="B1729" s="112" t="s">
        <v>2097</v>
      </c>
      <c r="C1729" s="112">
        <v>4</v>
      </c>
      <c r="D1729" s="114">
        <v>0.003766759205111196</v>
      </c>
      <c r="E1729" s="114">
        <v>0.7488582346730098</v>
      </c>
      <c r="F1729" s="112" t="s">
        <v>2054</v>
      </c>
      <c r="G1729" s="112" t="b">
        <v>0</v>
      </c>
      <c r="H1729" s="112" t="b">
        <v>0</v>
      </c>
      <c r="I1729" s="112" t="b">
        <v>0</v>
      </c>
      <c r="J1729" s="112" t="b">
        <v>0</v>
      </c>
      <c r="K1729" s="112" t="b">
        <v>0</v>
      </c>
      <c r="L1729" s="112" t="b">
        <v>0</v>
      </c>
    </row>
    <row r="1730" spans="1:12" ht="15">
      <c r="A1730" s="112" t="s">
        <v>2083</v>
      </c>
      <c r="B1730" s="112" t="s">
        <v>2077</v>
      </c>
      <c r="C1730" s="112">
        <v>4</v>
      </c>
      <c r="D1730" s="114">
        <v>0.0032383533264744935</v>
      </c>
      <c r="E1730" s="114">
        <v>1.3457841100018997</v>
      </c>
      <c r="F1730" s="112" t="s">
        <v>2054</v>
      </c>
      <c r="G1730" s="112" t="b">
        <v>0</v>
      </c>
      <c r="H1730" s="112" t="b">
        <v>0</v>
      </c>
      <c r="I1730" s="112" t="b">
        <v>0</v>
      </c>
      <c r="J1730" s="112" t="b">
        <v>0</v>
      </c>
      <c r="K1730" s="112" t="b">
        <v>0</v>
      </c>
      <c r="L1730" s="112" t="b">
        <v>0</v>
      </c>
    </row>
    <row r="1731" spans="1:12" ht="15">
      <c r="A1731" s="112" t="s">
        <v>2199</v>
      </c>
      <c r="B1731" s="112" t="s">
        <v>2084</v>
      </c>
      <c r="C1731" s="112">
        <v>4</v>
      </c>
      <c r="D1731" s="114">
        <v>0.0032383533264744935</v>
      </c>
      <c r="E1731" s="114">
        <v>1.3223030141523766</v>
      </c>
      <c r="F1731" s="112" t="s">
        <v>2054</v>
      </c>
      <c r="G1731" s="112" t="b">
        <v>0</v>
      </c>
      <c r="H1731" s="112" t="b">
        <v>0</v>
      </c>
      <c r="I1731" s="112" t="b">
        <v>0</v>
      </c>
      <c r="J1731" s="112" t="b">
        <v>0</v>
      </c>
      <c r="K1731" s="112" t="b">
        <v>1</v>
      </c>
      <c r="L1731" s="112" t="b">
        <v>0</v>
      </c>
    </row>
    <row r="1732" spans="1:12" ht="15">
      <c r="A1732" s="112" t="s">
        <v>2084</v>
      </c>
      <c r="B1732" s="112" t="s">
        <v>2091</v>
      </c>
      <c r="C1732" s="112">
        <v>4</v>
      </c>
      <c r="D1732" s="114">
        <v>0.0032383533264744935</v>
      </c>
      <c r="E1732" s="114">
        <v>0.6233330098163579</v>
      </c>
      <c r="F1732" s="112" t="s">
        <v>2054</v>
      </c>
      <c r="G1732" s="112" t="b">
        <v>0</v>
      </c>
      <c r="H1732" s="112" t="b">
        <v>1</v>
      </c>
      <c r="I1732" s="112" t="b">
        <v>0</v>
      </c>
      <c r="J1732" s="112" t="b">
        <v>0</v>
      </c>
      <c r="K1732" s="112" t="b">
        <v>0</v>
      </c>
      <c r="L1732" s="112" t="b">
        <v>0</v>
      </c>
    </row>
    <row r="1733" spans="1:12" ht="15">
      <c r="A1733" s="112" t="s">
        <v>2097</v>
      </c>
      <c r="B1733" s="112" t="s">
        <v>2084</v>
      </c>
      <c r="C1733" s="112">
        <v>4</v>
      </c>
      <c r="D1733" s="114">
        <v>0.0028634433891652662</v>
      </c>
      <c r="E1733" s="114">
        <v>0.8564627698424033</v>
      </c>
      <c r="F1733" s="112" t="s">
        <v>2054</v>
      </c>
      <c r="G1733" s="112" t="b">
        <v>0</v>
      </c>
      <c r="H1733" s="112" t="b">
        <v>0</v>
      </c>
      <c r="I1733" s="112" t="b">
        <v>0</v>
      </c>
      <c r="J1733" s="112" t="b">
        <v>0</v>
      </c>
      <c r="K1733" s="112" t="b">
        <v>1</v>
      </c>
      <c r="L1733" s="112" t="b">
        <v>0</v>
      </c>
    </row>
    <row r="1734" spans="1:12" ht="15">
      <c r="A1734" s="112" t="s">
        <v>2101</v>
      </c>
      <c r="B1734" s="112" t="s">
        <v>2112</v>
      </c>
      <c r="C1734" s="112">
        <v>4</v>
      </c>
      <c r="D1734" s="114">
        <v>0.003766759205111196</v>
      </c>
      <c r="E1734" s="114">
        <v>0.3896895957009813</v>
      </c>
      <c r="F1734" s="112" t="s">
        <v>2054</v>
      </c>
      <c r="G1734" s="112" t="b">
        <v>0</v>
      </c>
      <c r="H1734" s="112" t="b">
        <v>0</v>
      </c>
      <c r="I1734" s="112" t="b">
        <v>0</v>
      </c>
      <c r="J1734" s="112" t="b">
        <v>0</v>
      </c>
      <c r="K1734" s="112" t="b">
        <v>0</v>
      </c>
      <c r="L1734" s="112" t="b">
        <v>0</v>
      </c>
    </row>
    <row r="1735" spans="1:12" ht="15">
      <c r="A1735" s="112" t="s">
        <v>2266</v>
      </c>
      <c r="B1735" s="112" t="s">
        <v>2266</v>
      </c>
      <c r="C1735" s="112">
        <v>4</v>
      </c>
      <c r="D1735" s="114">
        <v>0.004670075021057127</v>
      </c>
      <c r="E1735" s="114">
        <v>1.7149999674120424</v>
      </c>
      <c r="F1735" s="112" t="s">
        <v>2054</v>
      </c>
      <c r="G1735" s="112" t="b">
        <v>0</v>
      </c>
      <c r="H1735" s="112" t="b">
        <v>0</v>
      </c>
      <c r="I1735" s="112" t="b">
        <v>0</v>
      </c>
      <c r="J1735" s="112" t="b">
        <v>0</v>
      </c>
      <c r="K1735" s="112" t="b">
        <v>0</v>
      </c>
      <c r="L1735" s="112" t="b">
        <v>0</v>
      </c>
    </row>
    <row r="1736" spans="1:12" ht="15">
      <c r="A1736" s="112" t="s">
        <v>2084</v>
      </c>
      <c r="B1736" s="112" t="s">
        <v>2097</v>
      </c>
      <c r="C1736" s="112">
        <v>4</v>
      </c>
      <c r="D1736" s="114">
        <v>0.0032383533264744935</v>
      </c>
      <c r="E1736" s="114">
        <v>0.8680446423922185</v>
      </c>
      <c r="F1736" s="112" t="s">
        <v>2054</v>
      </c>
      <c r="G1736" s="112" t="b">
        <v>0</v>
      </c>
      <c r="H1736" s="112" t="b">
        <v>1</v>
      </c>
      <c r="I1736" s="112" t="b">
        <v>0</v>
      </c>
      <c r="J1736" s="112" t="b">
        <v>0</v>
      </c>
      <c r="K1736" s="112" t="b">
        <v>0</v>
      </c>
      <c r="L1736" s="112" t="b">
        <v>0</v>
      </c>
    </row>
    <row r="1737" spans="1:12" ht="15">
      <c r="A1737" s="112" t="s">
        <v>2136</v>
      </c>
      <c r="B1737" s="112" t="s">
        <v>2449</v>
      </c>
      <c r="C1737" s="112">
        <v>4</v>
      </c>
      <c r="D1737" s="114">
        <v>0.003766759205111196</v>
      </c>
      <c r="E1737" s="114">
        <v>1.5846661989170363</v>
      </c>
      <c r="F1737" s="112" t="s">
        <v>2054</v>
      </c>
      <c r="G1737" s="112" t="b">
        <v>0</v>
      </c>
      <c r="H1737" s="112" t="b">
        <v>1</v>
      </c>
      <c r="I1737" s="112" t="b">
        <v>0</v>
      </c>
      <c r="J1737" s="112" t="b">
        <v>0</v>
      </c>
      <c r="K1737" s="112" t="b">
        <v>0</v>
      </c>
      <c r="L1737" s="112" t="b">
        <v>0</v>
      </c>
    </row>
    <row r="1738" spans="1:12" ht="15">
      <c r="A1738" s="112" t="s">
        <v>2265</v>
      </c>
      <c r="B1738" s="112" t="s">
        <v>2136</v>
      </c>
      <c r="C1738" s="112">
        <v>4</v>
      </c>
      <c r="D1738" s="114">
        <v>0.003766759205111196</v>
      </c>
      <c r="E1738" s="114">
        <v>1.3293936938137303</v>
      </c>
      <c r="F1738" s="112" t="s">
        <v>2054</v>
      </c>
      <c r="G1738" s="112" t="b">
        <v>0</v>
      </c>
      <c r="H1738" s="112" t="b">
        <v>0</v>
      </c>
      <c r="I1738" s="112" t="b">
        <v>0</v>
      </c>
      <c r="J1738" s="112" t="b">
        <v>0</v>
      </c>
      <c r="K1738" s="112" t="b">
        <v>1</v>
      </c>
      <c r="L1738" s="112" t="b">
        <v>0</v>
      </c>
    </row>
    <row r="1739" spans="1:12" ht="15">
      <c r="A1739" s="112" t="s">
        <v>2136</v>
      </c>
      <c r="B1739" s="112" t="s">
        <v>2405</v>
      </c>
      <c r="C1739" s="112">
        <v>4</v>
      </c>
      <c r="D1739" s="114">
        <v>0.003766759205111196</v>
      </c>
      <c r="E1739" s="114">
        <v>1.6815762119250928</v>
      </c>
      <c r="F1739" s="112" t="s">
        <v>2054</v>
      </c>
      <c r="G1739" s="112" t="b">
        <v>0</v>
      </c>
      <c r="H1739" s="112" t="b">
        <v>1</v>
      </c>
      <c r="I1739" s="112" t="b">
        <v>0</v>
      </c>
      <c r="J1739" s="112" t="b">
        <v>0</v>
      </c>
      <c r="K1739" s="112" t="b">
        <v>0</v>
      </c>
      <c r="L1739" s="112" t="b">
        <v>0</v>
      </c>
    </row>
    <row r="1740" spans="1:12" ht="15">
      <c r="A1740" s="112" t="s">
        <v>2178</v>
      </c>
      <c r="B1740" s="112" t="s">
        <v>2216</v>
      </c>
      <c r="C1740" s="112">
        <v>4</v>
      </c>
      <c r="D1740" s="114">
        <v>0.0032383533264744935</v>
      </c>
      <c r="E1740" s="114">
        <v>1.5218753690575808</v>
      </c>
      <c r="F1740" s="112" t="s">
        <v>2054</v>
      </c>
      <c r="G1740" s="112" t="b">
        <v>0</v>
      </c>
      <c r="H1740" s="112" t="b">
        <v>0</v>
      </c>
      <c r="I1740" s="112" t="b">
        <v>0</v>
      </c>
      <c r="J1740" s="112" t="b">
        <v>0</v>
      </c>
      <c r="K1740" s="112" t="b">
        <v>1</v>
      </c>
      <c r="L1740" s="112" t="b">
        <v>0</v>
      </c>
    </row>
    <row r="1741" spans="1:12" ht="15">
      <c r="A1741" s="112" t="s">
        <v>2112</v>
      </c>
      <c r="B1741" s="112" t="s">
        <v>2536</v>
      </c>
      <c r="C1741" s="112">
        <v>4</v>
      </c>
      <c r="D1741" s="114">
        <v>0.003766759205111196</v>
      </c>
      <c r="E1741" s="114">
        <v>1.4694872995978927</v>
      </c>
      <c r="F1741" s="112" t="s">
        <v>2054</v>
      </c>
      <c r="G1741" s="112" t="b">
        <v>0</v>
      </c>
      <c r="H1741" s="112" t="b">
        <v>0</v>
      </c>
      <c r="I1741" s="112" t="b">
        <v>0</v>
      </c>
      <c r="J1741" s="112" t="b">
        <v>0</v>
      </c>
      <c r="K1741" s="112" t="b">
        <v>0</v>
      </c>
      <c r="L1741" s="112" t="b">
        <v>0</v>
      </c>
    </row>
    <row r="1742" spans="1:12" ht="15">
      <c r="A1742" s="112" t="s">
        <v>2083</v>
      </c>
      <c r="B1742" s="112" t="s">
        <v>2195</v>
      </c>
      <c r="C1742" s="112">
        <v>3</v>
      </c>
      <c r="D1742" s="114">
        <v>0.00242876499485587</v>
      </c>
      <c r="E1742" s="114">
        <v>1.6979666281132622</v>
      </c>
      <c r="F1742" s="112" t="s">
        <v>2054</v>
      </c>
      <c r="G1742" s="112" t="b">
        <v>0</v>
      </c>
      <c r="H1742" s="112" t="b">
        <v>0</v>
      </c>
      <c r="I1742" s="112" t="b">
        <v>0</v>
      </c>
      <c r="J1742" s="112" t="b">
        <v>0</v>
      </c>
      <c r="K1742" s="112" t="b">
        <v>0</v>
      </c>
      <c r="L1742" s="112" t="b">
        <v>0</v>
      </c>
    </row>
    <row r="1743" spans="1:12" ht="15">
      <c r="A1743" s="112" t="s">
        <v>2195</v>
      </c>
      <c r="B1743" s="112" t="s">
        <v>2224</v>
      </c>
      <c r="C1743" s="112">
        <v>3</v>
      </c>
      <c r="D1743" s="114">
        <v>0.00242876499485587</v>
      </c>
      <c r="E1743" s="114">
        <v>2.6358187213644175</v>
      </c>
      <c r="F1743" s="112" t="s">
        <v>2054</v>
      </c>
      <c r="G1743" s="112" t="b">
        <v>0</v>
      </c>
      <c r="H1743" s="112" t="b">
        <v>0</v>
      </c>
      <c r="I1743" s="112" t="b">
        <v>0</v>
      </c>
      <c r="J1743" s="112" t="b">
        <v>0</v>
      </c>
      <c r="K1743" s="112" t="b">
        <v>0</v>
      </c>
      <c r="L1743" s="112" t="b">
        <v>0</v>
      </c>
    </row>
    <row r="1744" spans="1:12" ht="15">
      <c r="A1744" s="112" t="s">
        <v>2078</v>
      </c>
      <c r="B1744" s="112" t="s">
        <v>2079</v>
      </c>
      <c r="C1744" s="112">
        <v>3</v>
      </c>
      <c r="D1744" s="114">
        <v>0.0028250694038333968</v>
      </c>
      <c r="E1744" s="114">
        <v>1.607789997764174</v>
      </c>
      <c r="F1744" s="112" t="s">
        <v>2054</v>
      </c>
      <c r="G1744" s="112" t="b">
        <v>0</v>
      </c>
      <c r="H1744" s="112" t="b">
        <v>0</v>
      </c>
      <c r="I1744" s="112" t="b">
        <v>0</v>
      </c>
      <c r="J1744" s="112" t="b">
        <v>0</v>
      </c>
      <c r="K1744" s="112" t="b">
        <v>0</v>
      </c>
      <c r="L1744" s="112" t="b">
        <v>0</v>
      </c>
    </row>
    <row r="1745" spans="1:12" ht="15">
      <c r="A1745" s="112" t="s">
        <v>2079</v>
      </c>
      <c r="B1745" s="112" t="s">
        <v>2081</v>
      </c>
      <c r="C1745" s="112">
        <v>3</v>
      </c>
      <c r="D1745" s="114">
        <v>0.0028250694038333968</v>
      </c>
      <c r="E1745" s="114">
        <v>2.0849112524838365</v>
      </c>
      <c r="F1745" s="112" t="s">
        <v>2054</v>
      </c>
      <c r="G1745" s="112" t="b">
        <v>0</v>
      </c>
      <c r="H1745" s="112" t="b">
        <v>0</v>
      </c>
      <c r="I1745" s="112" t="b">
        <v>0</v>
      </c>
      <c r="J1745" s="112" t="b">
        <v>0</v>
      </c>
      <c r="K1745" s="112" t="b">
        <v>0</v>
      </c>
      <c r="L1745" s="112" t="b">
        <v>0</v>
      </c>
    </row>
    <row r="1746" spans="1:12" ht="15">
      <c r="A1746" s="112" t="s">
        <v>2081</v>
      </c>
      <c r="B1746" s="112" t="s">
        <v>2079</v>
      </c>
      <c r="C1746" s="112">
        <v>3</v>
      </c>
      <c r="D1746" s="114">
        <v>0.0028250694038333968</v>
      </c>
      <c r="E1746" s="114">
        <v>2.0849112524838365</v>
      </c>
      <c r="F1746" s="112" t="s">
        <v>2054</v>
      </c>
      <c r="G1746" s="112" t="b">
        <v>0</v>
      </c>
      <c r="H1746" s="112" t="b">
        <v>0</v>
      </c>
      <c r="I1746" s="112" t="b">
        <v>0</v>
      </c>
      <c r="J1746" s="112" t="b">
        <v>0</v>
      </c>
      <c r="K1746" s="112" t="b">
        <v>0</v>
      </c>
      <c r="L1746" s="112" t="b">
        <v>0</v>
      </c>
    </row>
    <row r="1747" spans="1:12" ht="15">
      <c r="A1747" s="112" t="s">
        <v>2090</v>
      </c>
      <c r="B1747" s="112" t="s">
        <v>2090</v>
      </c>
      <c r="C1747" s="112">
        <v>3</v>
      </c>
      <c r="D1747" s="114">
        <v>0.0028250694038333968</v>
      </c>
      <c r="E1747" s="114">
        <v>0.9668119404058421</v>
      </c>
      <c r="F1747" s="112" t="s">
        <v>2054</v>
      </c>
      <c r="G1747" s="112" t="b">
        <v>0</v>
      </c>
      <c r="H1747" s="112" t="b">
        <v>0</v>
      </c>
      <c r="I1747" s="112" t="b">
        <v>0</v>
      </c>
      <c r="J1747" s="112" t="b">
        <v>0</v>
      </c>
      <c r="K1747" s="112" t="b">
        <v>0</v>
      </c>
      <c r="L1747" s="112" t="b">
        <v>0</v>
      </c>
    </row>
    <row r="1748" spans="1:12" ht="15">
      <c r="A1748" s="112" t="s">
        <v>2168</v>
      </c>
      <c r="B1748" s="112" t="s">
        <v>2089</v>
      </c>
      <c r="C1748" s="112">
        <v>3</v>
      </c>
      <c r="D1748" s="114">
        <v>0.0035025562657928443</v>
      </c>
      <c r="E1748" s="114">
        <v>1.686971243811799</v>
      </c>
      <c r="F1748" s="112" t="s">
        <v>2054</v>
      </c>
      <c r="G1748" s="112" t="b">
        <v>0</v>
      </c>
      <c r="H1748" s="112" t="b">
        <v>1</v>
      </c>
      <c r="I1748" s="112" t="b">
        <v>0</v>
      </c>
      <c r="J1748" s="112" t="b">
        <v>0</v>
      </c>
      <c r="K1748" s="112" t="b">
        <v>0</v>
      </c>
      <c r="L1748" s="112" t="b">
        <v>0</v>
      </c>
    </row>
    <row r="1749" spans="1:12" ht="15">
      <c r="A1749" s="112" t="s">
        <v>2180</v>
      </c>
      <c r="B1749" s="112" t="s">
        <v>2080</v>
      </c>
      <c r="C1749" s="112">
        <v>3</v>
      </c>
      <c r="D1749" s="114">
        <v>0.00242876499485587</v>
      </c>
      <c r="E1749" s="114">
        <v>0.39112936087153355</v>
      </c>
      <c r="F1749" s="112" t="s">
        <v>2054</v>
      </c>
      <c r="G1749" s="112" t="b">
        <v>0</v>
      </c>
      <c r="H1749" s="112" t="b">
        <v>0</v>
      </c>
      <c r="I1749" s="112" t="b">
        <v>0</v>
      </c>
      <c r="J1749" s="112" t="b">
        <v>0</v>
      </c>
      <c r="K1749" s="112" t="b">
        <v>0</v>
      </c>
      <c r="L1749" s="112" t="b">
        <v>0</v>
      </c>
    </row>
    <row r="1750" spans="1:12" ht="15">
      <c r="A1750" s="112" t="s">
        <v>2188</v>
      </c>
      <c r="B1750" s="112" t="s">
        <v>2199</v>
      </c>
      <c r="C1750" s="112">
        <v>3</v>
      </c>
      <c r="D1750" s="114">
        <v>0.00242876499485587</v>
      </c>
      <c r="E1750" s="114">
        <v>1.4347251933386806</v>
      </c>
      <c r="F1750" s="112" t="s">
        <v>2054</v>
      </c>
      <c r="G1750" s="112" t="b">
        <v>0</v>
      </c>
      <c r="H1750" s="112" t="b">
        <v>0</v>
      </c>
      <c r="I1750" s="112" t="b">
        <v>0</v>
      </c>
      <c r="J1750" s="112" t="b">
        <v>0</v>
      </c>
      <c r="K1750" s="112" t="b">
        <v>0</v>
      </c>
      <c r="L1750" s="112" t="b">
        <v>0</v>
      </c>
    </row>
    <row r="1751" spans="1:12" ht="15">
      <c r="A1751" s="112" t="s">
        <v>2146</v>
      </c>
      <c r="B1751" s="112" t="s">
        <v>2188</v>
      </c>
      <c r="C1751" s="112">
        <v>3</v>
      </c>
      <c r="D1751" s="114">
        <v>0.00242876499485587</v>
      </c>
      <c r="E1751" s="114">
        <v>1.1684573039339115</v>
      </c>
      <c r="F1751" s="112" t="s">
        <v>2054</v>
      </c>
      <c r="G1751" s="112" t="b">
        <v>0</v>
      </c>
      <c r="H1751" s="112" t="b">
        <v>1</v>
      </c>
      <c r="I1751" s="112" t="b">
        <v>0</v>
      </c>
      <c r="J1751" s="112" t="b">
        <v>0</v>
      </c>
      <c r="K1751" s="112" t="b">
        <v>0</v>
      </c>
      <c r="L1751" s="112" t="b">
        <v>0</v>
      </c>
    </row>
    <row r="1752" spans="1:12" ht="15">
      <c r="A1752" s="112" t="s">
        <v>2101</v>
      </c>
      <c r="B1752" s="112" t="s">
        <v>2101</v>
      </c>
      <c r="C1752" s="112">
        <v>3</v>
      </c>
      <c r="D1752" s="114">
        <v>0.0028250694038333968</v>
      </c>
      <c r="E1752" s="114">
        <v>0.24586551493230752</v>
      </c>
      <c r="F1752" s="112" t="s">
        <v>2054</v>
      </c>
      <c r="G1752" s="112" t="b">
        <v>0</v>
      </c>
      <c r="H1752" s="112" t="b">
        <v>0</v>
      </c>
      <c r="I1752" s="112" t="b">
        <v>0</v>
      </c>
      <c r="J1752" s="112" t="b">
        <v>0</v>
      </c>
      <c r="K1752" s="112" t="b">
        <v>0</v>
      </c>
      <c r="L1752" s="112" t="b">
        <v>0</v>
      </c>
    </row>
    <row r="1753" spans="1:12" ht="15">
      <c r="A1753" s="112" t="s">
        <v>2101</v>
      </c>
      <c r="B1753" s="112" t="s">
        <v>2451</v>
      </c>
      <c r="C1753" s="112">
        <v>3</v>
      </c>
      <c r="D1753" s="114">
        <v>0.0028250694038333968</v>
      </c>
      <c r="E1753" s="114">
        <v>1.2189933685320062</v>
      </c>
      <c r="F1753" s="112" t="s">
        <v>2054</v>
      </c>
      <c r="G1753" s="112" t="b">
        <v>0</v>
      </c>
      <c r="H1753" s="112" t="b">
        <v>0</v>
      </c>
      <c r="I1753" s="112" t="b">
        <v>0</v>
      </c>
      <c r="J1753" s="112" t="b">
        <v>0</v>
      </c>
      <c r="K1753" s="112" t="b">
        <v>0</v>
      </c>
      <c r="L1753" s="112" t="b">
        <v>0</v>
      </c>
    </row>
    <row r="1754" spans="1:12" ht="15">
      <c r="A1754" s="112" t="s">
        <v>2087</v>
      </c>
      <c r="B1754" s="112" t="s">
        <v>2097</v>
      </c>
      <c r="C1754" s="112">
        <v>3</v>
      </c>
      <c r="D1754" s="114">
        <v>0.0035025562657928443</v>
      </c>
      <c r="E1754" s="114">
        <v>0.9804668215785224</v>
      </c>
      <c r="F1754" s="112" t="s">
        <v>2054</v>
      </c>
      <c r="G1754" s="112" t="b">
        <v>0</v>
      </c>
      <c r="H1754" s="112" t="b">
        <v>0</v>
      </c>
      <c r="I1754" s="112" t="b">
        <v>0</v>
      </c>
      <c r="J1754" s="112" t="b">
        <v>0</v>
      </c>
      <c r="K1754" s="112" t="b">
        <v>0</v>
      </c>
      <c r="L1754" s="112" t="b">
        <v>0</v>
      </c>
    </row>
    <row r="1755" spans="1:12" ht="15">
      <c r="A1755" s="112" t="s">
        <v>2194</v>
      </c>
      <c r="B1755" s="112" t="s">
        <v>2194</v>
      </c>
      <c r="C1755" s="112">
        <v>3</v>
      </c>
      <c r="D1755" s="114">
        <v>0.0028250694038333968</v>
      </c>
      <c r="E1755" s="114">
        <v>1.2098499890921366</v>
      </c>
      <c r="F1755" s="112" t="s">
        <v>2054</v>
      </c>
      <c r="G1755" s="112" t="b">
        <v>0</v>
      </c>
      <c r="H1755" s="112" t="b">
        <v>0</v>
      </c>
      <c r="I1755" s="112" t="b">
        <v>0</v>
      </c>
      <c r="J1755" s="112" t="b">
        <v>0</v>
      </c>
      <c r="K1755" s="112" t="b">
        <v>0</v>
      </c>
      <c r="L1755" s="112" t="b">
        <v>0</v>
      </c>
    </row>
    <row r="1756" spans="1:12" ht="15">
      <c r="A1756" s="112" t="s">
        <v>2208</v>
      </c>
      <c r="B1756" s="112" t="s">
        <v>2194</v>
      </c>
      <c r="C1756" s="112">
        <v>3</v>
      </c>
      <c r="D1756" s="114">
        <v>0.0028250694038333968</v>
      </c>
      <c r="E1756" s="114">
        <v>1.271997895840981</v>
      </c>
      <c r="F1756" s="112" t="s">
        <v>2054</v>
      </c>
      <c r="G1756" s="112" t="b">
        <v>0</v>
      </c>
      <c r="H1756" s="112" t="b">
        <v>0</v>
      </c>
      <c r="I1756" s="112" t="b">
        <v>0</v>
      </c>
      <c r="J1756" s="112" t="b">
        <v>0</v>
      </c>
      <c r="K1756" s="112" t="b">
        <v>0</v>
      </c>
      <c r="L1756" s="112" t="b">
        <v>0</v>
      </c>
    </row>
    <row r="1757" spans="1:12" ht="15">
      <c r="A1757" s="112" t="s">
        <v>2091</v>
      </c>
      <c r="B1757" s="112" t="s">
        <v>2200</v>
      </c>
      <c r="C1757" s="112">
        <v>3</v>
      </c>
      <c r="D1757" s="114">
        <v>0.0035025562657928443</v>
      </c>
      <c r="E1757" s="114">
        <v>0.5944260362061926</v>
      </c>
      <c r="F1757" s="112" t="s">
        <v>2054</v>
      </c>
      <c r="G1757" s="112" t="b">
        <v>0</v>
      </c>
      <c r="H1757" s="112" t="b">
        <v>0</v>
      </c>
      <c r="I1757" s="112" t="b">
        <v>0</v>
      </c>
      <c r="J1757" s="112" t="b">
        <v>0</v>
      </c>
      <c r="K1757" s="112" t="b">
        <v>0</v>
      </c>
      <c r="L1757" s="112" t="b">
        <v>0</v>
      </c>
    </row>
    <row r="1758" spans="1:12" ht="15">
      <c r="A1758" s="112" t="s">
        <v>2542</v>
      </c>
      <c r="B1758" s="112" t="s">
        <v>2542</v>
      </c>
      <c r="C1758" s="112">
        <v>3</v>
      </c>
      <c r="D1758" s="114">
        <v>0.0035025562657928443</v>
      </c>
      <c r="E1758" s="114">
        <v>2.3859412481478177</v>
      </c>
      <c r="F1758" s="112" t="s">
        <v>2054</v>
      </c>
      <c r="G1758" s="112" t="b">
        <v>0</v>
      </c>
      <c r="H1758" s="112" t="b">
        <v>0</v>
      </c>
      <c r="I1758" s="112" t="b">
        <v>0</v>
      </c>
      <c r="J1758" s="112" t="b">
        <v>0</v>
      </c>
      <c r="K1758" s="112" t="b">
        <v>0</v>
      </c>
      <c r="L1758" s="112" t="b">
        <v>0</v>
      </c>
    </row>
    <row r="1759" spans="1:12" ht="15">
      <c r="A1759" s="112" t="s">
        <v>2540</v>
      </c>
      <c r="B1759" s="112" t="s">
        <v>2360</v>
      </c>
      <c r="C1759" s="112">
        <v>3</v>
      </c>
      <c r="D1759" s="114">
        <v>0.0035025562657928443</v>
      </c>
      <c r="E1759" s="114">
        <v>2.5108799847561176</v>
      </c>
      <c r="F1759" s="112" t="s">
        <v>2054</v>
      </c>
      <c r="G1759" s="112" t="b">
        <v>0</v>
      </c>
      <c r="H1759" s="112" t="b">
        <v>0</v>
      </c>
      <c r="I1759" s="112" t="b">
        <v>0</v>
      </c>
      <c r="J1759" s="112" t="b">
        <v>0</v>
      </c>
      <c r="K1759" s="112" t="b">
        <v>0</v>
      </c>
      <c r="L1759" s="112" t="b">
        <v>0</v>
      </c>
    </row>
    <row r="1760" spans="1:12" ht="15">
      <c r="A1760" s="112" t="s">
        <v>2324</v>
      </c>
      <c r="B1760" s="112" t="s">
        <v>2324</v>
      </c>
      <c r="C1760" s="112">
        <v>3</v>
      </c>
      <c r="D1760" s="114">
        <v>0.0035025562657928443</v>
      </c>
      <c r="E1760" s="114">
        <v>1.7838812568198554</v>
      </c>
      <c r="F1760" s="112" t="s">
        <v>2054</v>
      </c>
      <c r="G1760" s="112" t="b">
        <v>0</v>
      </c>
      <c r="H1760" s="112" t="b">
        <v>0</v>
      </c>
      <c r="I1760" s="112" t="b">
        <v>0</v>
      </c>
      <c r="J1760" s="112" t="b">
        <v>0</v>
      </c>
      <c r="K1760" s="112" t="b">
        <v>0</v>
      </c>
      <c r="L1760" s="112" t="b">
        <v>0</v>
      </c>
    </row>
    <row r="1761" spans="1:12" ht="15">
      <c r="A1761" s="112" t="s">
        <v>2541</v>
      </c>
      <c r="B1761" s="112" t="s">
        <v>2091</v>
      </c>
      <c r="C1761" s="112">
        <v>3</v>
      </c>
      <c r="D1761" s="114">
        <v>0.0035025562657928443</v>
      </c>
      <c r="E1761" s="114">
        <v>1.3000266194412244</v>
      </c>
      <c r="F1761" s="112" t="s">
        <v>2054</v>
      </c>
      <c r="G1761" s="112" t="b">
        <v>0</v>
      </c>
      <c r="H1761" s="112" t="b">
        <v>1</v>
      </c>
      <c r="I1761" s="112" t="b">
        <v>0</v>
      </c>
      <c r="J1761" s="112" t="b">
        <v>0</v>
      </c>
      <c r="K1761" s="112" t="b">
        <v>0</v>
      </c>
      <c r="L1761" s="112" t="b">
        <v>0</v>
      </c>
    </row>
    <row r="1762" spans="1:12" ht="15">
      <c r="A1762" s="112" t="s">
        <v>2174</v>
      </c>
      <c r="B1762" s="112" t="s">
        <v>2136</v>
      </c>
      <c r="C1762" s="112">
        <v>3</v>
      </c>
      <c r="D1762" s="114">
        <v>0.0028250694038333968</v>
      </c>
      <c r="E1762" s="114">
        <v>0.9034249615414492</v>
      </c>
      <c r="F1762" s="112" t="s">
        <v>2054</v>
      </c>
      <c r="G1762" s="112" t="b">
        <v>0</v>
      </c>
      <c r="H1762" s="112" t="b">
        <v>0</v>
      </c>
      <c r="I1762" s="112" t="b">
        <v>0</v>
      </c>
      <c r="J1762" s="112" t="b">
        <v>0</v>
      </c>
      <c r="K1762" s="112" t="b">
        <v>1</v>
      </c>
      <c r="L1762" s="112" t="b">
        <v>0</v>
      </c>
    </row>
    <row r="1763" spans="1:12" ht="15">
      <c r="A1763" s="112" t="s">
        <v>2136</v>
      </c>
      <c r="B1763" s="112" t="s">
        <v>2265</v>
      </c>
      <c r="C1763" s="112">
        <v>3</v>
      </c>
      <c r="D1763" s="114">
        <v>0.0028250694038333968</v>
      </c>
      <c r="E1763" s="114">
        <v>1.2044549572054304</v>
      </c>
      <c r="F1763" s="112" t="s">
        <v>2054</v>
      </c>
      <c r="G1763" s="112" t="b">
        <v>0</v>
      </c>
      <c r="H1763" s="112" t="b">
        <v>1</v>
      </c>
      <c r="I1763" s="112" t="b">
        <v>0</v>
      </c>
      <c r="J1763" s="112" t="b">
        <v>0</v>
      </c>
      <c r="K1763" s="112" t="b">
        <v>0</v>
      </c>
      <c r="L1763" s="112" t="b">
        <v>0</v>
      </c>
    </row>
    <row r="1764" spans="1:12" ht="15">
      <c r="A1764" s="112" t="s">
        <v>2146</v>
      </c>
      <c r="B1764" s="112" t="s">
        <v>2136</v>
      </c>
      <c r="C1764" s="112">
        <v>3</v>
      </c>
      <c r="D1764" s="114">
        <v>0.0028250694038333968</v>
      </c>
      <c r="E1764" s="114">
        <v>0.7784862249331491</v>
      </c>
      <c r="F1764" s="112" t="s">
        <v>2054</v>
      </c>
      <c r="G1764" s="112" t="b">
        <v>0</v>
      </c>
      <c r="H1764" s="112" t="b">
        <v>1</v>
      </c>
      <c r="I1764" s="112" t="b">
        <v>0</v>
      </c>
      <c r="J1764" s="112" t="b">
        <v>0</v>
      </c>
      <c r="K1764" s="112" t="b">
        <v>1</v>
      </c>
      <c r="L1764" s="112" t="b">
        <v>0</v>
      </c>
    </row>
    <row r="1765" spans="1:12" ht="15">
      <c r="A1765" s="112" t="s">
        <v>2180</v>
      </c>
      <c r="B1765" s="112" t="s">
        <v>2112</v>
      </c>
      <c r="C1765" s="112">
        <v>3</v>
      </c>
      <c r="D1765" s="114">
        <v>0.00242876499485587</v>
      </c>
      <c r="E1765" s="114">
        <v>0.706399795650125</v>
      </c>
      <c r="F1765" s="112" t="s">
        <v>2054</v>
      </c>
      <c r="G1765" s="112" t="b">
        <v>0</v>
      </c>
      <c r="H1765" s="112" t="b">
        <v>0</v>
      </c>
      <c r="I1765" s="112" t="b">
        <v>0</v>
      </c>
      <c r="J1765" s="112" t="b">
        <v>0</v>
      </c>
      <c r="K1765" s="112" t="b">
        <v>0</v>
      </c>
      <c r="L1765" s="112" t="b">
        <v>0</v>
      </c>
    </row>
    <row r="1766" spans="1:12" ht="15">
      <c r="A1766" s="112" t="s">
        <v>2112</v>
      </c>
      <c r="B1766" s="112" t="s">
        <v>2308</v>
      </c>
      <c r="C1766" s="112">
        <v>3</v>
      </c>
      <c r="D1766" s="114">
        <v>0.00242876499485587</v>
      </c>
      <c r="E1766" s="114">
        <v>1.1684573039339115</v>
      </c>
      <c r="F1766" s="112" t="s">
        <v>2054</v>
      </c>
      <c r="G1766" s="112" t="b">
        <v>0</v>
      </c>
      <c r="H1766" s="112" t="b">
        <v>0</v>
      </c>
      <c r="I1766" s="112" t="b">
        <v>0</v>
      </c>
      <c r="J1766" s="112" t="b">
        <v>0</v>
      </c>
      <c r="K1766" s="112" t="b">
        <v>0</v>
      </c>
      <c r="L1766" s="112" t="b">
        <v>0</v>
      </c>
    </row>
    <row r="1767" spans="1:12" ht="15">
      <c r="A1767" s="112" t="s">
        <v>2109</v>
      </c>
      <c r="B1767" s="112" t="s">
        <v>2667</v>
      </c>
      <c r="C1767" s="112">
        <v>3</v>
      </c>
      <c r="D1767" s="114">
        <v>0.00242876499485587</v>
      </c>
      <c r="E1767" s="114">
        <v>1.5331563794672698</v>
      </c>
      <c r="F1767" s="112" t="s">
        <v>2054</v>
      </c>
      <c r="G1767" s="112" t="b">
        <v>0</v>
      </c>
      <c r="H1767" s="112" t="b">
        <v>0</v>
      </c>
      <c r="I1767" s="112" t="b">
        <v>0</v>
      </c>
      <c r="J1767" s="112" t="b">
        <v>0</v>
      </c>
      <c r="K1767" s="112" t="b">
        <v>0</v>
      </c>
      <c r="L1767" s="112" t="b">
        <v>0</v>
      </c>
    </row>
    <row r="1768" spans="1:12" ht="15">
      <c r="A1768" s="112" t="s">
        <v>2667</v>
      </c>
      <c r="B1768" s="112" t="s">
        <v>2217</v>
      </c>
      <c r="C1768" s="112">
        <v>3</v>
      </c>
      <c r="D1768" s="114">
        <v>0.00242876499485587</v>
      </c>
      <c r="E1768" s="114">
        <v>2.6358187213644175</v>
      </c>
      <c r="F1768" s="112" t="s">
        <v>2054</v>
      </c>
      <c r="G1768" s="112" t="b">
        <v>0</v>
      </c>
      <c r="H1768" s="112" t="b">
        <v>0</v>
      </c>
      <c r="I1768" s="112" t="b">
        <v>0</v>
      </c>
      <c r="J1768" s="112" t="b">
        <v>0</v>
      </c>
      <c r="K1768" s="112" t="b">
        <v>1</v>
      </c>
      <c r="L1768" s="112" t="b">
        <v>0</v>
      </c>
    </row>
    <row r="1769" spans="1:12" ht="15">
      <c r="A1769" s="112" t="s">
        <v>2217</v>
      </c>
      <c r="B1769" s="112" t="s">
        <v>2537</v>
      </c>
      <c r="C1769" s="112">
        <v>3</v>
      </c>
      <c r="D1769" s="114">
        <v>0.00242876499485587</v>
      </c>
      <c r="E1769" s="114">
        <v>2.5108799847561176</v>
      </c>
      <c r="F1769" s="112" t="s">
        <v>2054</v>
      </c>
      <c r="G1769" s="112" t="b">
        <v>0</v>
      </c>
      <c r="H1769" s="112" t="b">
        <v>1</v>
      </c>
      <c r="I1769" s="112" t="b">
        <v>0</v>
      </c>
      <c r="J1769" s="112" t="b">
        <v>0</v>
      </c>
      <c r="K1769" s="112" t="b">
        <v>0</v>
      </c>
      <c r="L1769" s="112" t="b">
        <v>0</v>
      </c>
    </row>
    <row r="1770" spans="1:12" ht="15">
      <c r="A1770" s="112" t="s">
        <v>2537</v>
      </c>
      <c r="B1770" s="112" t="s">
        <v>2216</v>
      </c>
      <c r="C1770" s="112">
        <v>3</v>
      </c>
      <c r="D1770" s="114">
        <v>0.00242876499485587</v>
      </c>
      <c r="E1770" s="114">
        <v>1.8740578871689433</v>
      </c>
      <c r="F1770" s="112" t="s">
        <v>2054</v>
      </c>
      <c r="G1770" s="112" t="b">
        <v>0</v>
      </c>
      <c r="H1770" s="112" t="b">
        <v>0</v>
      </c>
      <c r="I1770" s="112" t="b">
        <v>0</v>
      </c>
      <c r="J1770" s="112" t="b">
        <v>0</v>
      </c>
      <c r="K1770" s="112" t="b">
        <v>1</v>
      </c>
      <c r="L1770" s="112" t="b">
        <v>0</v>
      </c>
    </row>
    <row r="1771" spans="1:12" ht="15">
      <c r="A1771" s="112" t="s">
        <v>2536</v>
      </c>
      <c r="B1771" s="112" t="s">
        <v>2216</v>
      </c>
      <c r="C1771" s="112">
        <v>3</v>
      </c>
      <c r="D1771" s="114">
        <v>0.0028250694038333968</v>
      </c>
      <c r="E1771" s="114">
        <v>1.9989966237772434</v>
      </c>
      <c r="F1771" s="112" t="s">
        <v>2054</v>
      </c>
      <c r="G1771" s="112" t="b">
        <v>0</v>
      </c>
      <c r="H1771" s="112" t="b">
        <v>0</v>
      </c>
      <c r="I1771" s="112" t="b">
        <v>0</v>
      </c>
      <c r="J1771" s="112" t="b">
        <v>0</v>
      </c>
      <c r="K1771" s="112" t="b">
        <v>1</v>
      </c>
      <c r="L1771" s="112" t="b">
        <v>0</v>
      </c>
    </row>
    <row r="1772" spans="1:12" ht="15">
      <c r="A1772" s="112" t="s">
        <v>2112</v>
      </c>
      <c r="B1772" s="112" t="s">
        <v>2666</v>
      </c>
      <c r="C1772" s="112">
        <v>3</v>
      </c>
      <c r="D1772" s="114">
        <v>0.00242876499485587</v>
      </c>
      <c r="E1772" s="114">
        <v>1.4694872995978925</v>
      </c>
      <c r="F1772" s="112" t="s">
        <v>2054</v>
      </c>
      <c r="G1772" s="112" t="b">
        <v>0</v>
      </c>
      <c r="H1772" s="112" t="b">
        <v>0</v>
      </c>
      <c r="I1772" s="112" t="b">
        <v>0</v>
      </c>
      <c r="J1772" s="112" t="b">
        <v>0</v>
      </c>
      <c r="K1772" s="112" t="b">
        <v>1</v>
      </c>
      <c r="L1772" s="112" t="b">
        <v>0</v>
      </c>
    </row>
    <row r="1773" spans="1:12" ht="15">
      <c r="A1773" s="112" t="s">
        <v>2112</v>
      </c>
      <c r="B1773" s="112" t="s">
        <v>2216</v>
      </c>
      <c r="C1773" s="112">
        <v>3</v>
      </c>
      <c r="D1773" s="114">
        <v>0.00242876499485587</v>
      </c>
      <c r="E1773" s="114">
        <v>0.8326652020107184</v>
      </c>
      <c r="F1773" s="112" t="s">
        <v>2054</v>
      </c>
      <c r="G1773" s="112" t="b">
        <v>0</v>
      </c>
      <c r="H1773" s="112" t="b">
        <v>0</v>
      </c>
      <c r="I1773" s="112" t="b">
        <v>0</v>
      </c>
      <c r="J1773" s="112" t="b">
        <v>0</v>
      </c>
      <c r="K1773" s="112" t="b">
        <v>1</v>
      </c>
      <c r="L1773" s="112" t="b">
        <v>0</v>
      </c>
    </row>
    <row r="1774" spans="1:12" ht="15">
      <c r="A1774" s="112" t="s">
        <v>2126</v>
      </c>
      <c r="B1774" s="112" t="s">
        <v>2080</v>
      </c>
      <c r="C1774" s="112">
        <v>3</v>
      </c>
      <c r="D1774" s="114">
        <v>0.00242876499485587</v>
      </c>
      <c r="E1774" s="114">
        <v>0.9226082779137885</v>
      </c>
      <c r="F1774" s="112" t="s">
        <v>2054</v>
      </c>
      <c r="G1774" s="112" t="b">
        <v>0</v>
      </c>
      <c r="H1774" s="112" t="b">
        <v>0</v>
      </c>
      <c r="I1774" s="112" t="b">
        <v>0</v>
      </c>
      <c r="J1774" s="112" t="b">
        <v>0</v>
      </c>
      <c r="K1774" s="112" t="b">
        <v>0</v>
      </c>
      <c r="L1774" s="112" t="b">
        <v>0</v>
      </c>
    </row>
    <row r="1775" spans="1:12" ht="15">
      <c r="A1775" s="112" t="s">
        <v>2107</v>
      </c>
      <c r="B1775" s="112" t="s">
        <v>2539</v>
      </c>
      <c r="C1775" s="112">
        <v>3</v>
      </c>
      <c r="D1775" s="114">
        <v>0.0028250694038333968</v>
      </c>
      <c r="E1775" s="114">
        <v>1.306760002100193</v>
      </c>
      <c r="F1775" s="112" t="s">
        <v>2054</v>
      </c>
      <c r="G1775" s="112" t="b">
        <v>0</v>
      </c>
      <c r="H1775" s="112" t="b">
        <v>0</v>
      </c>
      <c r="I1775" s="112" t="b">
        <v>0</v>
      </c>
      <c r="J1775" s="112" t="b">
        <v>0</v>
      </c>
      <c r="K1775" s="112" t="b">
        <v>0</v>
      </c>
      <c r="L1775" s="112" t="b">
        <v>0</v>
      </c>
    </row>
    <row r="1776" spans="1:12" ht="15">
      <c r="A1776" s="112" t="s">
        <v>2084</v>
      </c>
      <c r="B1776" s="112" t="s">
        <v>2107</v>
      </c>
      <c r="C1776" s="112">
        <v>3</v>
      </c>
      <c r="D1776" s="114">
        <v>0.0028250694038333968</v>
      </c>
      <c r="E1776" s="114">
        <v>0.6300663924753263</v>
      </c>
      <c r="F1776" s="112" t="s">
        <v>2054</v>
      </c>
      <c r="G1776" s="112" t="b">
        <v>0</v>
      </c>
      <c r="H1776" s="112" t="b">
        <v>1</v>
      </c>
      <c r="I1776" s="112" t="b">
        <v>0</v>
      </c>
      <c r="J1776" s="112" t="b">
        <v>0</v>
      </c>
      <c r="K1776" s="112" t="b">
        <v>0</v>
      </c>
      <c r="L1776" s="112" t="b">
        <v>0</v>
      </c>
    </row>
    <row r="1777" spans="1:12" ht="15">
      <c r="A1777" s="112" t="s">
        <v>2539</v>
      </c>
      <c r="B1777" s="112" t="s">
        <v>2107</v>
      </c>
      <c r="C1777" s="112">
        <v>3</v>
      </c>
      <c r="D1777" s="114">
        <v>0.0028250694038333968</v>
      </c>
      <c r="E1777" s="114">
        <v>1.306760002100193</v>
      </c>
      <c r="F1777" s="112" t="s">
        <v>2054</v>
      </c>
      <c r="G1777" s="112" t="b">
        <v>0</v>
      </c>
      <c r="H1777" s="112" t="b">
        <v>0</v>
      </c>
      <c r="I1777" s="112" t="b">
        <v>0</v>
      </c>
      <c r="J1777" s="112" t="b">
        <v>0</v>
      </c>
      <c r="K1777" s="112" t="b">
        <v>0</v>
      </c>
      <c r="L1777" s="112" t="b">
        <v>0</v>
      </c>
    </row>
    <row r="1778" spans="1:12" ht="15">
      <c r="A1778" s="112" t="s">
        <v>2225</v>
      </c>
      <c r="B1778" s="112" t="s">
        <v>2083</v>
      </c>
      <c r="C1778" s="112">
        <v>2</v>
      </c>
      <c r="D1778" s="114">
        <v>0.001883379602555598</v>
      </c>
      <c r="E1778" s="114">
        <v>1.4139699717480612</v>
      </c>
      <c r="F1778" s="112" t="s">
        <v>2054</v>
      </c>
      <c r="G1778" s="112" t="b">
        <v>0</v>
      </c>
      <c r="H1778" s="112" t="b">
        <v>0</v>
      </c>
      <c r="I1778" s="112" t="b">
        <v>0</v>
      </c>
      <c r="J1778" s="112" t="b">
        <v>0</v>
      </c>
      <c r="K1778" s="112" t="b">
        <v>0</v>
      </c>
      <c r="L1778" s="112" t="b">
        <v>0</v>
      </c>
    </row>
    <row r="1779" spans="1:12" ht="15">
      <c r="A1779" s="112" t="s">
        <v>2171</v>
      </c>
      <c r="B1779" s="112" t="s">
        <v>2193</v>
      </c>
      <c r="C1779" s="112">
        <v>2</v>
      </c>
      <c r="D1779" s="114">
        <v>0.001883379602555598</v>
      </c>
      <c r="E1779" s="114">
        <v>2.0337587300364555</v>
      </c>
      <c r="F1779" s="112" t="s">
        <v>2054</v>
      </c>
      <c r="G1779" s="112" t="b">
        <v>0</v>
      </c>
      <c r="H1779" s="112" t="b">
        <v>0</v>
      </c>
      <c r="I1779" s="112" t="b">
        <v>0</v>
      </c>
      <c r="J1779" s="112" t="b">
        <v>0</v>
      </c>
      <c r="K1779" s="112" t="b">
        <v>0</v>
      </c>
      <c r="L1779" s="112" t="b">
        <v>0</v>
      </c>
    </row>
    <row r="1780" spans="1:12" ht="15">
      <c r="A1780" s="112" t="s">
        <v>2193</v>
      </c>
      <c r="B1780" s="112" t="s">
        <v>2171</v>
      </c>
      <c r="C1780" s="112">
        <v>2</v>
      </c>
      <c r="D1780" s="114">
        <v>0.001883379602555598</v>
      </c>
      <c r="E1780" s="114">
        <v>2.23787871269238</v>
      </c>
      <c r="F1780" s="112" t="s">
        <v>2054</v>
      </c>
      <c r="G1780" s="112" t="b">
        <v>0</v>
      </c>
      <c r="H1780" s="112" t="b">
        <v>0</v>
      </c>
      <c r="I1780" s="112" t="b">
        <v>0</v>
      </c>
      <c r="J1780" s="112" t="b">
        <v>0</v>
      </c>
      <c r="K1780" s="112" t="b">
        <v>0</v>
      </c>
      <c r="L1780" s="112" t="b">
        <v>0</v>
      </c>
    </row>
    <row r="1781" spans="1:12" ht="15">
      <c r="A1781" s="112" t="s">
        <v>2171</v>
      </c>
      <c r="B1781" s="112" t="s">
        <v>2326</v>
      </c>
      <c r="C1781" s="112">
        <v>2</v>
      </c>
      <c r="D1781" s="114">
        <v>0.001883379602555598</v>
      </c>
      <c r="E1781" s="114">
        <v>2.3347887257004363</v>
      </c>
      <c r="F1781" s="112" t="s">
        <v>2054</v>
      </c>
      <c r="G1781" s="112" t="b">
        <v>0</v>
      </c>
      <c r="H1781" s="112" t="b">
        <v>0</v>
      </c>
      <c r="I1781" s="112" t="b">
        <v>0</v>
      </c>
      <c r="J1781" s="112" t="b">
        <v>0</v>
      </c>
      <c r="K1781" s="112" t="b">
        <v>0</v>
      </c>
      <c r="L1781" s="112" t="b">
        <v>0</v>
      </c>
    </row>
    <row r="1782" spans="1:12" ht="15">
      <c r="A1782" s="112" t="s">
        <v>2291</v>
      </c>
      <c r="B1782" s="112" t="s">
        <v>2292</v>
      </c>
      <c r="C1782" s="112">
        <v>2</v>
      </c>
      <c r="D1782" s="114">
        <v>0.001883379602555598</v>
      </c>
      <c r="E1782" s="114">
        <v>2.811909980420099</v>
      </c>
      <c r="F1782" s="112" t="s">
        <v>2054</v>
      </c>
      <c r="G1782" s="112" t="b">
        <v>0</v>
      </c>
      <c r="H1782" s="112" t="b">
        <v>0</v>
      </c>
      <c r="I1782" s="112" t="b">
        <v>0</v>
      </c>
      <c r="J1782" s="112" t="b">
        <v>0</v>
      </c>
      <c r="K1782" s="112" t="b">
        <v>0</v>
      </c>
      <c r="L1782" s="112" t="b">
        <v>0</v>
      </c>
    </row>
    <row r="1783" spans="1:12" ht="15">
      <c r="A1783" s="112" t="s">
        <v>2079</v>
      </c>
      <c r="B1783" s="112" t="s">
        <v>2095</v>
      </c>
      <c r="C1783" s="112">
        <v>2</v>
      </c>
      <c r="D1783" s="114">
        <v>0.001883379602555598</v>
      </c>
      <c r="E1783" s="114">
        <v>1.9088199934281553</v>
      </c>
      <c r="F1783" s="112" t="s">
        <v>2054</v>
      </c>
      <c r="G1783" s="112" t="b">
        <v>0</v>
      </c>
      <c r="H1783" s="112" t="b">
        <v>0</v>
      </c>
      <c r="I1783" s="112" t="b">
        <v>0</v>
      </c>
      <c r="J1783" s="112" t="b">
        <v>0</v>
      </c>
      <c r="K1783" s="112" t="b">
        <v>0</v>
      </c>
      <c r="L1783" s="112" t="b">
        <v>0</v>
      </c>
    </row>
    <row r="1784" spans="1:12" ht="15">
      <c r="A1784" s="112" t="s">
        <v>2095</v>
      </c>
      <c r="B1784" s="112" t="s">
        <v>2131</v>
      </c>
      <c r="C1784" s="112">
        <v>2</v>
      </c>
      <c r="D1784" s="114">
        <v>0.001883379602555598</v>
      </c>
      <c r="E1784" s="114">
        <v>2.5108799847561176</v>
      </c>
      <c r="F1784" s="112" t="s">
        <v>2054</v>
      </c>
      <c r="G1784" s="112" t="b">
        <v>0</v>
      </c>
      <c r="H1784" s="112" t="b">
        <v>0</v>
      </c>
      <c r="I1784" s="112" t="b">
        <v>0</v>
      </c>
      <c r="J1784" s="112" t="b">
        <v>0</v>
      </c>
      <c r="K1784" s="112" t="b">
        <v>0</v>
      </c>
      <c r="L1784" s="112" t="b">
        <v>0</v>
      </c>
    </row>
    <row r="1785" spans="1:12" ht="15">
      <c r="A1785" s="112" t="s">
        <v>2131</v>
      </c>
      <c r="B1785" s="112" t="s">
        <v>2095</v>
      </c>
      <c r="C1785" s="112">
        <v>2</v>
      </c>
      <c r="D1785" s="114">
        <v>0.001883379602555598</v>
      </c>
      <c r="E1785" s="114">
        <v>2.5108799847561176</v>
      </c>
      <c r="F1785" s="112" t="s">
        <v>2054</v>
      </c>
      <c r="G1785" s="112" t="b">
        <v>0</v>
      </c>
      <c r="H1785" s="112" t="b">
        <v>0</v>
      </c>
      <c r="I1785" s="112" t="b">
        <v>0</v>
      </c>
      <c r="J1785" s="112" t="b">
        <v>0</v>
      </c>
      <c r="K1785" s="112" t="b">
        <v>0</v>
      </c>
      <c r="L1785" s="112" t="b">
        <v>0</v>
      </c>
    </row>
    <row r="1786" spans="1:12" ht="15">
      <c r="A1786" s="112" t="s">
        <v>2330</v>
      </c>
      <c r="B1786" s="112" t="s">
        <v>2090</v>
      </c>
      <c r="C1786" s="112">
        <v>2</v>
      </c>
      <c r="D1786" s="114">
        <v>0.0023350375105285633</v>
      </c>
      <c r="E1786" s="114">
        <v>1.7907206813501608</v>
      </c>
      <c r="F1786" s="112" t="s">
        <v>2054</v>
      </c>
      <c r="G1786" s="112" t="b">
        <v>0</v>
      </c>
      <c r="H1786" s="112" t="b">
        <v>1</v>
      </c>
      <c r="I1786" s="112" t="b">
        <v>0</v>
      </c>
      <c r="J1786" s="112" t="b">
        <v>0</v>
      </c>
      <c r="K1786" s="112" t="b">
        <v>0</v>
      </c>
      <c r="L1786" s="112" t="b">
        <v>0</v>
      </c>
    </row>
    <row r="1787" spans="1:12" ht="15">
      <c r="A1787" s="112" t="s">
        <v>2083</v>
      </c>
      <c r="B1787" s="112" t="s">
        <v>2078</v>
      </c>
      <c r="C1787" s="112">
        <v>2</v>
      </c>
      <c r="D1787" s="114">
        <v>0.001883379602555598</v>
      </c>
      <c r="E1787" s="114">
        <v>0.9198153777296185</v>
      </c>
      <c r="F1787" s="112" t="s">
        <v>2054</v>
      </c>
      <c r="G1787" s="112" t="b">
        <v>0</v>
      </c>
      <c r="H1787" s="112" t="b">
        <v>0</v>
      </c>
      <c r="I1787" s="112" t="b">
        <v>0</v>
      </c>
      <c r="J1787" s="112" t="b">
        <v>0</v>
      </c>
      <c r="K1787" s="112" t="b">
        <v>0</v>
      </c>
      <c r="L1787" s="112" t="b">
        <v>0</v>
      </c>
    </row>
    <row r="1788" spans="1:12" ht="15">
      <c r="A1788" s="112" t="s">
        <v>2090</v>
      </c>
      <c r="B1788" s="112" t="s">
        <v>2126</v>
      </c>
      <c r="C1788" s="112">
        <v>2</v>
      </c>
      <c r="D1788" s="114">
        <v>0.001883379602555598</v>
      </c>
      <c r="E1788" s="114">
        <v>1.4139699717480612</v>
      </c>
      <c r="F1788" s="112" t="s">
        <v>2054</v>
      </c>
      <c r="G1788" s="112" t="b">
        <v>0</v>
      </c>
      <c r="H1788" s="112" t="b">
        <v>0</v>
      </c>
      <c r="I1788" s="112" t="b">
        <v>0</v>
      </c>
      <c r="J1788" s="112" t="b">
        <v>0</v>
      </c>
      <c r="K1788" s="112" t="b">
        <v>0</v>
      </c>
      <c r="L1788" s="112" t="b">
        <v>0</v>
      </c>
    </row>
    <row r="1789" spans="1:12" ht="15">
      <c r="A1789" s="112" t="s">
        <v>2290</v>
      </c>
      <c r="B1789" s="112" t="s">
        <v>2089</v>
      </c>
      <c r="C1789" s="112">
        <v>2</v>
      </c>
      <c r="D1789" s="114">
        <v>0.001883379602555598</v>
      </c>
      <c r="E1789" s="114">
        <v>2.11293997608408</v>
      </c>
      <c r="F1789" s="112" t="s">
        <v>2054</v>
      </c>
      <c r="G1789" s="112" t="b">
        <v>0</v>
      </c>
      <c r="H1789" s="112" t="b">
        <v>1</v>
      </c>
      <c r="I1789" s="112" t="b">
        <v>0</v>
      </c>
      <c r="J1789" s="112" t="b">
        <v>0</v>
      </c>
      <c r="K1789" s="112" t="b">
        <v>0</v>
      </c>
      <c r="L1789" s="112" t="b">
        <v>0</v>
      </c>
    </row>
    <row r="1790" spans="1:12" ht="15">
      <c r="A1790" s="112" t="s">
        <v>2410</v>
      </c>
      <c r="B1790" s="112" t="s">
        <v>2168</v>
      </c>
      <c r="C1790" s="112">
        <v>2</v>
      </c>
      <c r="D1790" s="114">
        <v>0.0023350375105285633</v>
      </c>
      <c r="E1790" s="114">
        <v>2.0337587300364555</v>
      </c>
      <c r="F1790" s="112" t="s">
        <v>2054</v>
      </c>
      <c r="G1790" s="112" t="b">
        <v>0</v>
      </c>
      <c r="H1790" s="112" t="b">
        <v>0</v>
      </c>
      <c r="I1790" s="112" t="b">
        <v>0</v>
      </c>
      <c r="J1790" s="112" t="b">
        <v>0</v>
      </c>
      <c r="K1790" s="112" t="b">
        <v>1</v>
      </c>
      <c r="L1790" s="112" t="b">
        <v>0</v>
      </c>
    </row>
    <row r="1791" spans="1:12" ht="15">
      <c r="A1791" s="112" t="s">
        <v>2168</v>
      </c>
      <c r="B1791" s="112" t="s">
        <v>2410</v>
      </c>
      <c r="C1791" s="112">
        <v>2</v>
      </c>
      <c r="D1791" s="114">
        <v>0.0023350375105285633</v>
      </c>
      <c r="E1791" s="114">
        <v>2.0337587300364555</v>
      </c>
      <c r="F1791" s="112" t="s">
        <v>2054</v>
      </c>
      <c r="G1791" s="112" t="b">
        <v>0</v>
      </c>
      <c r="H1791" s="112" t="b">
        <v>1</v>
      </c>
      <c r="I1791" s="112" t="b">
        <v>0</v>
      </c>
      <c r="J1791" s="112" t="b">
        <v>0</v>
      </c>
      <c r="K1791" s="112" t="b">
        <v>0</v>
      </c>
      <c r="L1791" s="112" t="b">
        <v>0</v>
      </c>
    </row>
    <row r="1792" spans="1:12" ht="15">
      <c r="A1792" s="112" t="s">
        <v>2117</v>
      </c>
      <c r="B1792" s="112" t="s">
        <v>2077</v>
      </c>
      <c r="C1792" s="112">
        <v>2</v>
      </c>
      <c r="D1792" s="114">
        <v>0.001883379602555598</v>
      </c>
      <c r="E1792" s="114">
        <v>1.0125694309665172</v>
      </c>
      <c r="F1792" s="112" t="s">
        <v>2054</v>
      </c>
      <c r="G1792" s="112" t="b">
        <v>0</v>
      </c>
      <c r="H1792" s="112" t="b">
        <v>0</v>
      </c>
      <c r="I1792" s="112" t="b">
        <v>0</v>
      </c>
      <c r="J1792" s="112" t="b">
        <v>0</v>
      </c>
      <c r="K1792" s="112" t="b">
        <v>0</v>
      </c>
      <c r="L1792" s="112" t="b">
        <v>0</v>
      </c>
    </row>
    <row r="1793" spans="1:12" ht="15">
      <c r="A1793" s="112" t="s">
        <v>2091</v>
      </c>
      <c r="B1793" s="112" t="s">
        <v>2080</v>
      </c>
      <c r="C1793" s="112">
        <v>2</v>
      </c>
      <c r="D1793" s="114">
        <v>0.001883379602555598</v>
      </c>
      <c r="E1793" s="114">
        <v>-0.3740569123477425</v>
      </c>
      <c r="F1793" s="112" t="s">
        <v>2054</v>
      </c>
      <c r="G1793" s="112" t="b">
        <v>0</v>
      </c>
      <c r="H1793" s="112" t="b">
        <v>0</v>
      </c>
      <c r="I1793" s="112" t="b">
        <v>0</v>
      </c>
      <c r="J1793" s="112" t="b">
        <v>0</v>
      </c>
      <c r="K1793" s="112" t="b">
        <v>0</v>
      </c>
      <c r="L1793" s="112" t="b">
        <v>0</v>
      </c>
    </row>
    <row r="1794" spans="1:12" ht="15">
      <c r="A1794" s="112" t="s">
        <v>2127</v>
      </c>
      <c r="B1794" s="112" t="s">
        <v>2403</v>
      </c>
      <c r="C1794" s="112">
        <v>2</v>
      </c>
      <c r="D1794" s="114">
        <v>0.001883379602555598</v>
      </c>
      <c r="E1794" s="114">
        <v>1.7149999674120424</v>
      </c>
      <c r="F1794" s="112" t="s">
        <v>2054</v>
      </c>
      <c r="G1794" s="112" t="b">
        <v>0</v>
      </c>
      <c r="H1794" s="112" t="b">
        <v>0</v>
      </c>
      <c r="I1794" s="112" t="b">
        <v>0</v>
      </c>
      <c r="J1794" s="112" t="b">
        <v>0</v>
      </c>
      <c r="K1794" s="112" t="b">
        <v>0</v>
      </c>
      <c r="L1794" s="112" t="b">
        <v>0</v>
      </c>
    </row>
    <row r="1795" spans="1:12" ht="15">
      <c r="A1795" s="112" t="s">
        <v>2080</v>
      </c>
      <c r="B1795" s="112" t="s">
        <v>2090</v>
      </c>
      <c r="C1795" s="112">
        <v>2</v>
      </c>
      <c r="D1795" s="114">
        <v>0.001883379602555598</v>
      </c>
      <c r="E1795" s="114">
        <v>0.10947944397457356</v>
      </c>
      <c r="F1795" s="112" t="s">
        <v>2054</v>
      </c>
      <c r="G1795" s="112" t="b">
        <v>0</v>
      </c>
      <c r="H1795" s="112" t="b">
        <v>0</v>
      </c>
      <c r="I1795" s="112" t="b">
        <v>0</v>
      </c>
      <c r="J1795" s="112" t="b">
        <v>0</v>
      </c>
      <c r="K1795" s="112" t="b">
        <v>0</v>
      </c>
      <c r="L1795" s="112" t="b">
        <v>0</v>
      </c>
    </row>
    <row r="1796" spans="1:12" ht="15">
      <c r="A1796" s="112" t="s">
        <v>2127</v>
      </c>
      <c r="B1796" s="112" t="s">
        <v>2404</v>
      </c>
      <c r="C1796" s="112">
        <v>2</v>
      </c>
      <c r="D1796" s="114">
        <v>0.001883379602555598</v>
      </c>
      <c r="E1796" s="114">
        <v>1.3170599587400047</v>
      </c>
      <c r="F1796" s="112" t="s">
        <v>2054</v>
      </c>
      <c r="G1796" s="112" t="b">
        <v>0</v>
      </c>
      <c r="H1796" s="112" t="b">
        <v>0</v>
      </c>
      <c r="I1796" s="112" t="b">
        <v>0</v>
      </c>
      <c r="J1796" s="112" t="b">
        <v>0</v>
      </c>
      <c r="K1796" s="112" t="b">
        <v>1</v>
      </c>
      <c r="L1796" s="112" t="b">
        <v>0</v>
      </c>
    </row>
    <row r="1797" spans="1:12" ht="15">
      <c r="A1797" s="112" t="s">
        <v>2887</v>
      </c>
      <c r="B1797" s="112" t="s">
        <v>2888</v>
      </c>
      <c r="C1797" s="112">
        <v>2</v>
      </c>
      <c r="D1797" s="114">
        <v>0.001883379602555598</v>
      </c>
      <c r="E1797" s="114">
        <v>2.811909980420099</v>
      </c>
      <c r="F1797" s="112" t="s">
        <v>2054</v>
      </c>
      <c r="G1797" s="112" t="b">
        <v>1</v>
      </c>
      <c r="H1797" s="112" t="b">
        <v>0</v>
      </c>
      <c r="I1797" s="112" t="b">
        <v>0</v>
      </c>
      <c r="J1797" s="112" t="b">
        <v>0</v>
      </c>
      <c r="K1797" s="112" t="b">
        <v>0</v>
      </c>
      <c r="L1797" s="112" t="b">
        <v>0</v>
      </c>
    </row>
    <row r="1798" spans="1:12" ht="15">
      <c r="A1798" s="112" t="s">
        <v>2888</v>
      </c>
      <c r="B1798" s="112" t="s">
        <v>2080</v>
      </c>
      <c r="C1798" s="112">
        <v>2</v>
      </c>
      <c r="D1798" s="114">
        <v>0.001883379602555598</v>
      </c>
      <c r="E1798" s="114">
        <v>1.1444570275301449</v>
      </c>
      <c r="F1798" s="112" t="s">
        <v>2054</v>
      </c>
      <c r="G1798" s="112" t="b">
        <v>0</v>
      </c>
      <c r="H1798" s="112" t="b">
        <v>0</v>
      </c>
      <c r="I1798" s="112" t="b">
        <v>0</v>
      </c>
      <c r="J1798" s="112" t="b">
        <v>0</v>
      </c>
      <c r="K1798" s="112" t="b">
        <v>0</v>
      </c>
      <c r="L1798" s="112" t="b">
        <v>0</v>
      </c>
    </row>
    <row r="1799" spans="1:12" ht="15">
      <c r="A1799" s="112" t="s">
        <v>2117</v>
      </c>
      <c r="B1799" s="112" t="s">
        <v>2265</v>
      </c>
      <c r="C1799" s="112">
        <v>2</v>
      </c>
      <c r="D1799" s="114">
        <v>0.001883379602555598</v>
      </c>
      <c r="E1799" s="114">
        <v>1.0125694309665172</v>
      </c>
      <c r="F1799" s="112" t="s">
        <v>2054</v>
      </c>
      <c r="G1799" s="112" t="b">
        <v>0</v>
      </c>
      <c r="H1799" s="112" t="b">
        <v>0</v>
      </c>
      <c r="I1799" s="112" t="b">
        <v>0</v>
      </c>
      <c r="J1799" s="112" t="b">
        <v>0</v>
      </c>
      <c r="K1799" s="112" t="b">
        <v>0</v>
      </c>
      <c r="L1799" s="112" t="b">
        <v>0</v>
      </c>
    </row>
    <row r="1800" spans="1:12" ht="15">
      <c r="A1800" s="112" t="s">
        <v>2265</v>
      </c>
      <c r="B1800" s="112" t="s">
        <v>2080</v>
      </c>
      <c r="C1800" s="112">
        <v>2</v>
      </c>
      <c r="D1800" s="114">
        <v>0.001883379602555598</v>
      </c>
      <c r="E1800" s="114">
        <v>0.49124451375480127</v>
      </c>
      <c r="F1800" s="112" t="s">
        <v>2054</v>
      </c>
      <c r="G1800" s="112" t="b">
        <v>0</v>
      </c>
      <c r="H1800" s="112" t="b">
        <v>0</v>
      </c>
      <c r="I1800" s="112" t="b">
        <v>0</v>
      </c>
      <c r="J1800" s="112" t="b">
        <v>0</v>
      </c>
      <c r="K1800" s="112" t="b">
        <v>0</v>
      </c>
      <c r="L1800" s="112" t="b">
        <v>0</v>
      </c>
    </row>
    <row r="1801" spans="1:12" ht="15">
      <c r="A1801" s="112" t="s">
        <v>2139</v>
      </c>
      <c r="B1801" s="112" t="s">
        <v>2090</v>
      </c>
      <c r="C1801" s="112">
        <v>2</v>
      </c>
      <c r="D1801" s="114">
        <v>0.001883379602555598</v>
      </c>
      <c r="E1801" s="114">
        <v>0.9778073247073052</v>
      </c>
      <c r="F1801" s="112" t="s">
        <v>2054</v>
      </c>
      <c r="G1801" s="112" t="b">
        <v>0</v>
      </c>
      <c r="H1801" s="112" t="b">
        <v>0</v>
      </c>
      <c r="I1801" s="112" t="b">
        <v>0</v>
      </c>
      <c r="J1801" s="112" t="b">
        <v>0</v>
      </c>
      <c r="K1801" s="112" t="b">
        <v>0</v>
      </c>
      <c r="L1801" s="112" t="b">
        <v>0</v>
      </c>
    </row>
    <row r="1802" spans="1:12" ht="15">
      <c r="A1802" s="112" t="s">
        <v>2127</v>
      </c>
      <c r="B1802" s="112" t="s">
        <v>2265</v>
      </c>
      <c r="C1802" s="112">
        <v>2</v>
      </c>
      <c r="D1802" s="114">
        <v>0.001883379602555598</v>
      </c>
      <c r="E1802" s="114">
        <v>1.0617874536366987</v>
      </c>
      <c r="F1802" s="112" t="s">
        <v>2054</v>
      </c>
      <c r="G1802" s="112" t="b">
        <v>0</v>
      </c>
      <c r="H1802" s="112" t="b">
        <v>0</v>
      </c>
      <c r="I1802" s="112" t="b">
        <v>0</v>
      </c>
      <c r="J1802" s="112" t="b">
        <v>0</v>
      </c>
      <c r="K1802" s="112" t="b">
        <v>0</v>
      </c>
      <c r="L1802" s="112" t="b">
        <v>0</v>
      </c>
    </row>
    <row r="1803" spans="1:12" ht="15">
      <c r="A1803" s="112" t="s">
        <v>2265</v>
      </c>
      <c r="B1803" s="112" t="s">
        <v>2285</v>
      </c>
      <c r="C1803" s="112">
        <v>2</v>
      </c>
      <c r="D1803" s="114">
        <v>0.001883379602555598</v>
      </c>
      <c r="E1803" s="114">
        <v>1.5566374753167929</v>
      </c>
      <c r="F1803" s="112" t="s">
        <v>2054</v>
      </c>
      <c r="G1803" s="112" t="b">
        <v>0</v>
      </c>
      <c r="H1803" s="112" t="b">
        <v>0</v>
      </c>
      <c r="I1803" s="112" t="b">
        <v>0</v>
      </c>
      <c r="J1803" s="112" t="b">
        <v>0</v>
      </c>
      <c r="K1803" s="112" t="b">
        <v>1</v>
      </c>
      <c r="L1803" s="112" t="b">
        <v>0</v>
      </c>
    </row>
    <row r="1804" spans="1:12" ht="15">
      <c r="A1804" s="112" t="s">
        <v>2285</v>
      </c>
      <c r="B1804" s="112" t="s">
        <v>2080</v>
      </c>
      <c r="C1804" s="112">
        <v>2</v>
      </c>
      <c r="D1804" s="114">
        <v>0.001883379602555598</v>
      </c>
      <c r="E1804" s="114">
        <v>0.5423970362021826</v>
      </c>
      <c r="F1804" s="112" t="s">
        <v>2054</v>
      </c>
      <c r="G1804" s="112" t="b">
        <v>0</v>
      </c>
      <c r="H1804" s="112" t="b">
        <v>1</v>
      </c>
      <c r="I1804" s="112" t="b">
        <v>0</v>
      </c>
      <c r="J1804" s="112" t="b">
        <v>0</v>
      </c>
      <c r="K1804" s="112" t="b">
        <v>0</v>
      </c>
      <c r="L1804" s="112" t="b">
        <v>0</v>
      </c>
    </row>
    <row r="1805" spans="1:12" ht="15">
      <c r="A1805" s="112" t="s">
        <v>2089</v>
      </c>
      <c r="B1805" s="112" t="s">
        <v>2080</v>
      </c>
      <c r="C1805" s="112">
        <v>2</v>
      </c>
      <c r="D1805" s="114">
        <v>0.001883379602555598</v>
      </c>
      <c r="E1805" s="114">
        <v>0.4454870231941261</v>
      </c>
      <c r="F1805" s="112" t="s">
        <v>2054</v>
      </c>
      <c r="G1805" s="112" t="b">
        <v>0</v>
      </c>
      <c r="H1805" s="112" t="b">
        <v>0</v>
      </c>
      <c r="I1805" s="112" t="b">
        <v>0</v>
      </c>
      <c r="J1805" s="112" t="b">
        <v>0</v>
      </c>
      <c r="K1805" s="112" t="b">
        <v>0</v>
      </c>
      <c r="L1805" s="112" t="b">
        <v>0</v>
      </c>
    </row>
    <row r="1806" spans="1:12" ht="15">
      <c r="A1806" s="112" t="s">
        <v>2117</v>
      </c>
      <c r="B1806" s="112" t="s">
        <v>2277</v>
      </c>
      <c r="C1806" s="112">
        <v>2</v>
      </c>
      <c r="D1806" s="114">
        <v>0.001883379602555598</v>
      </c>
      <c r="E1806" s="114">
        <v>1.665781944741861</v>
      </c>
      <c r="F1806" s="112" t="s">
        <v>2054</v>
      </c>
      <c r="G1806" s="112" t="b">
        <v>0</v>
      </c>
      <c r="H1806" s="112" t="b">
        <v>0</v>
      </c>
      <c r="I1806" s="112" t="b">
        <v>0</v>
      </c>
      <c r="J1806" s="112" t="b">
        <v>0</v>
      </c>
      <c r="K1806" s="112" t="b">
        <v>0</v>
      </c>
      <c r="L1806" s="112" t="b">
        <v>0</v>
      </c>
    </row>
    <row r="1807" spans="1:12" ht="15">
      <c r="A1807" s="112" t="s">
        <v>2091</v>
      </c>
      <c r="B1807" s="112" t="s">
        <v>2199</v>
      </c>
      <c r="C1807" s="112">
        <v>2</v>
      </c>
      <c r="D1807" s="114">
        <v>0.0023350375105285633</v>
      </c>
      <c r="E1807" s="114">
        <v>0.48048268389935583</v>
      </c>
      <c r="F1807" s="112" t="s">
        <v>2054</v>
      </c>
      <c r="G1807" s="112" t="b">
        <v>0</v>
      </c>
      <c r="H1807" s="112" t="b">
        <v>0</v>
      </c>
      <c r="I1807" s="112" t="b">
        <v>0</v>
      </c>
      <c r="J1807" s="112" t="b">
        <v>0</v>
      </c>
      <c r="K1807" s="112" t="b">
        <v>0</v>
      </c>
      <c r="L1807" s="112" t="b">
        <v>0</v>
      </c>
    </row>
    <row r="1808" spans="1:12" ht="15">
      <c r="A1808" s="112" t="s">
        <v>2199</v>
      </c>
      <c r="B1808" s="112" t="s">
        <v>2199</v>
      </c>
      <c r="C1808" s="112">
        <v>2</v>
      </c>
      <c r="D1808" s="114">
        <v>0.001883379602555598</v>
      </c>
      <c r="E1808" s="114">
        <v>1.1860832671343877</v>
      </c>
      <c r="F1808" s="112" t="s">
        <v>2054</v>
      </c>
      <c r="G1808" s="112" t="b">
        <v>0</v>
      </c>
      <c r="H1808" s="112" t="b">
        <v>0</v>
      </c>
      <c r="I1808" s="112" t="b">
        <v>0</v>
      </c>
      <c r="J1808" s="112" t="b">
        <v>0</v>
      </c>
      <c r="K1808" s="112" t="b">
        <v>0</v>
      </c>
      <c r="L1808" s="112" t="b">
        <v>0</v>
      </c>
    </row>
    <row r="1809" spans="1:12" ht="15">
      <c r="A1809" s="112" t="s">
        <v>2357</v>
      </c>
      <c r="B1809" s="112" t="s">
        <v>2091</v>
      </c>
      <c r="C1809" s="112">
        <v>2</v>
      </c>
      <c r="D1809" s="114">
        <v>0.001883379602555598</v>
      </c>
      <c r="E1809" s="114">
        <v>0.7559585750909489</v>
      </c>
      <c r="F1809" s="112" t="s">
        <v>2054</v>
      </c>
      <c r="G1809" s="112" t="b">
        <v>0</v>
      </c>
      <c r="H1809" s="112" t="b">
        <v>0</v>
      </c>
      <c r="I1809" s="112" t="b">
        <v>0</v>
      </c>
      <c r="J1809" s="112" t="b">
        <v>0</v>
      </c>
      <c r="K1809" s="112" t="b">
        <v>0</v>
      </c>
      <c r="L1809" s="112" t="b">
        <v>0</v>
      </c>
    </row>
    <row r="1810" spans="1:12" ht="15">
      <c r="A1810" s="112" t="s">
        <v>2084</v>
      </c>
      <c r="B1810" s="112" t="s">
        <v>2926</v>
      </c>
      <c r="C1810" s="112">
        <v>2</v>
      </c>
      <c r="D1810" s="114">
        <v>0.001883379602555598</v>
      </c>
      <c r="E1810" s="114">
        <v>1.834186375131251</v>
      </c>
      <c r="F1810" s="112" t="s">
        <v>2054</v>
      </c>
      <c r="G1810" s="112" t="b">
        <v>0</v>
      </c>
      <c r="H1810" s="112" t="b">
        <v>1</v>
      </c>
      <c r="I1810" s="112" t="b">
        <v>0</v>
      </c>
      <c r="J1810" s="112" t="b">
        <v>1</v>
      </c>
      <c r="K1810" s="112" t="b">
        <v>0</v>
      </c>
      <c r="L1810" s="112" t="b">
        <v>0</v>
      </c>
    </row>
    <row r="1811" spans="1:12" ht="15">
      <c r="A1811" s="112" t="s">
        <v>2926</v>
      </c>
      <c r="B1811" s="112" t="s">
        <v>2097</v>
      </c>
      <c r="C1811" s="112">
        <v>2</v>
      </c>
      <c r="D1811" s="114">
        <v>0.001883379602555598</v>
      </c>
      <c r="E1811" s="114">
        <v>1.5447382520170851</v>
      </c>
      <c r="F1811" s="112" t="s">
        <v>2054</v>
      </c>
      <c r="G1811" s="112" t="b">
        <v>1</v>
      </c>
      <c r="H1811" s="112" t="b">
        <v>0</v>
      </c>
      <c r="I1811" s="112" t="b">
        <v>0</v>
      </c>
      <c r="J1811" s="112" t="b">
        <v>0</v>
      </c>
      <c r="K1811" s="112" t="b">
        <v>0</v>
      </c>
      <c r="L1811" s="112" t="b">
        <v>0</v>
      </c>
    </row>
    <row r="1812" spans="1:12" ht="15">
      <c r="A1812" s="112" t="s">
        <v>2091</v>
      </c>
      <c r="B1812" s="112" t="s">
        <v>2285</v>
      </c>
      <c r="C1812" s="112">
        <v>2</v>
      </c>
      <c r="D1812" s="114">
        <v>0.001883379602555598</v>
      </c>
      <c r="E1812" s="114">
        <v>0.6913360492142491</v>
      </c>
      <c r="F1812" s="112" t="s">
        <v>2054</v>
      </c>
      <c r="G1812" s="112" t="b">
        <v>0</v>
      </c>
      <c r="H1812" s="112" t="b">
        <v>0</v>
      </c>
      <c r="I1812" s="112" t="b">
        <v>0</v>
      </c>
      <c r="J1812" s="112" t="b">
        <v>0</v>
      </c>
      <c r="K1812" s="112" t="b">
        <v>1</v>
      </c>
      <c r="L1812" s="112" t="b">
        <v>0</v>
      </c>
    </row>
    <row r="1813" spans="1:12" ht="15">
      <c r="A1813" s="112" t="s">
        <v>2180</v>
      </c>
      <c r="B1813" s="112" t="s">
        <v>2101</v>
      </c>
      <c r="C1813" s="112">
        <v>2</v>
      </c>
      <c r="D1813" s="114">
        <v>0.001883379602555598</v>
      </c>
      <c r="E1813" s="114">
        <v>0.5114231924340699</v>
      </c>
      <c r="F1813" s="112" t="s">
        <v>2054</v>
      </c>
      <c r="G1813" s="112" t="b">
        <v>0</v>
      </c>
      <c r="H1813" s="112" t="b">
        <v>0</v>
      </c>
      <c r="I1813" s="112" t="b">
        <v>0</v>
      </c>
      <c r="J1813" s="112" t="b">
        <v>0</v>
      </c>
      <c r="K1813" s="112" t="b">
        <v>0</v>
      </c>
      <c r="L1813" s="112" t="b">
        <v>0</v>
      </c>
    </row>
    <row r="1814" spans="1:12" ht="15">
      <c r="A1814" s="112" t="s">
        <v>2101</v>
      </c>
      <c r="B1814" s="112" t="s">
        <v>2910</v>
      </c>
      <c r="C1814" s="112">
        <v>2</v>
      </c>
      <c r="D1814" s="114">
        <v>0.001883379602555598</v>
      </c>
      <c r="E1814" s="114">
        <v>1.4408421181483626</v>
      </c>
      <c r="F1814" s="112" t="s">
        <v>2054</v>
      </c>
      <c r="G1814" s="112" t="b">
        <v>0</v>
      </c>
      <c r="H1814" s="112" t="b">
        <v>0</v>
      </c>
      <c r="I1814" s="112" t="b">
        <v>0</v>
      </c>
      <c r="J1814" s="112" t="b">
        <v>1</v>
      </c>
      <c r="K1814" s="112" t="b">
        <v>0</v>
      </c>
      <c r="L1814" s="112" t="b">
        <v>0</v>
      </c>
    </row>
    <row r="1815" spans="1:12" ht="15">
      <c r="A1815" s="112" t="s">
        <v>2101</v>
      </c>
      <c r="B1815" s="112" t="s">
        <v>2913</v>
      </c>
      <c r="C1815" s="112">
        <v>2</v>
      </c>
      <c r="D1815" s="114">
        <v>0.001883379602555598</v>
      </c>
      <c r="E1815" s="114">
        <v>1.4408421181483626</v>
      </c>
      <c r="F1815" s="112" t="s">
        <v>2054</v>
      </c>
      <c r="G1815" s="112" t="b">
        <v>0</v>
      </c>
      <c r="H1815" s="112" t="b">
        <v>0</v>
      </c>
      <c r="I1815" s="112" t="b">
        <v>0</v>
      </c>
      <c r="J1815" s="112" t="b">
        <v>0</v>
      </c>
      <c r="K1815" s="112" t="b">
        <v>1</v>
      </c>
      <c r="L1815" s="112" t="b">
        <v>0</v>
      </c>
    </row>
    <row r="1816" spans="1:12" ht="15">
      <c r="A1816" s="112" t="s">
        <v>2101</v>
      </c>
      <c r="B1816" s="112" t="s">
        <v>2130</v>
      </c>
      <c r="C1816" s="112">
        <v>2</v>
      </c>
      <c r="D1816" s="114">
        <v>0.001883379602555598</v>
      </c>
      <c r="E1816" s="114">
        <v>1.4408421181483626</v>
      </c>
      <c r="F1816" s="112" t="s">
        <v>2054</v>
      </c>
      <c r="G1816" s="112" t="b">
        <v>0</v>
      </c>
      <c r="H1816" s="112" t="b">
        <v>0</v>
      </c>
      <c r="I1816" s="112" t="b">
        <v>0</v>
      </c>
      <c r="J1816" s="112" t="b">
        <v>0</v>
      </c>
      <c r="K1816" s="112" t="b">
        <v>0</v>
      </c>
      <c r="L1816" s="112" t="b">
        <v>0</v>
      </c>
    </row>
    <row r="1817" spans="1:12" ht="15">
      <c r="A1817" s="112" t="s">
        <v>2451</v>
      </c>
      <c r="B1817" s="112" t="s">
        <v>2112</v>
      </c>
      <c r="C1817" s="112">
        <v>2</v>
      </c>
      <c r="D1817" s="114">
        <v>0.001883379602555598</v>
      </c>
      <c r="E1817" s="114">
        <v>1.1586974666447551</v>
      </c>
      <c r="F1817" s="112" t="s">
        <v>2054</v>
      </c>
      <c r="G1817" s="112" t="b">
        <v>0</v>
      </c>
      <c r="H1817" s="112" t="b">
        <v>0</v>
      </c>
      <c r="I1817" s="112" t="b">
        <v>0</v>
      </c>
      <c r="J1817" s="112" t="b">
        <v>0</v>
      </c>
      <c r="K1817" s="112" t="b">
        <v>0</v>
      </c>
      <c r="L1817" s="112" t="b">
        <v>0</v>
      </c>
    </row>
    <row r="1818" spans="1:12" ht="15">
      <c r="A1818" s="112" t="s">
        <v>2101</v>
      </c>
      <c r="B1818" s="112" t="s">
        <v>2673</v>
      </c>
      <c r="C1818" s="112">
        <v>2</v>
      </c>
      <c r="D1818" s="114">
        <v>0.001883379602555598</v>
      </c>
      <c r="E1818" s="114">
        <v>1.4408421181483626</v>
      </c>
      <c r="F1818" s="112" t="s">
        <v>2054</v>
      </c>
      <c r="G1818" s="112" t="b">
        <v>0</v>
      </c>
      <c r="H1818" s="112" t="b">
        <v>0</v>
      </c>
      <c r="I1818" s="112" t="b">
        <v>0</v>
      </c>
      <c r="J1818" s="112" t="b">
        <v>0</v>
      </c>
      <c r="K1818" s="112" t="b">
        <v>0</v>
      </c>
      <c r="L1818" s="112" t="b">
        <v>0</v>
      </c>
    </row>
    <row r="1819" spans="1:12" ht="15">
      <c r="A1819" s="112" t="s">
        <v>2673</v>
      </c>
      <c r="B1819" s="112" t="s">
        <v>2912</v>
      </c>
      <c r="C1819" s="112">
        <v>2</v>
      </c>
      <c r="D1819" s="114">
        <v>0.001883379602555598</v>
      </c>
      <c r="E1819" s="114">
        <v>2.811909980420099</v>
      </c>
      <c r="F1819" s="112" t="s">
        <v>2054</v>
      </c>
      <c r="G1819" s="112" t="b">
        <v>0</v>
      </c>
      <c r="H1819" s="112" t="b">
        <v>0</v>
      </c>
      <c r="I1819" s="112" t="b">
        <v>0</v>
      </c>
      <c r="J1819" s="112" t="b">
        <v>0</v>
      </c>
      <c r="K1819" s="112" t="b">
        <v>0</v>
      </c>
      <c r="L1819" s="112" t="b">
        <v>0</v>
      </c>
    </row>
    <row r="1820" spans="1:12" ht="15">
      <c r="A1820" s="112" t="s">
        <v>2912</v>
      </c>
      <c r="B1820" s="112" t="s">
        <v>2101</v>
      </c>
      <c r="C1820" s="112">
        <v>2</v>
      </c>
      <c r="D1820" s="114">
        <v>0.001883379602555598</v>
      </c>
      <c r="E1820" s="114">
        <v>1.4408421181483626</v>
      </c>
      <c r="F1820" s="112" t="s">
        <v>2054</v>
      </c>
      <c r="G1820" s="112" t="b">
        <v>0</v>
      </c>
      <c r="H1820" s="112" t="b">
        <v>0</v>
      </c>
      <c r="I1820" s="112" t="b">
        <v>0</v>
      </c>
      <c r="J1820" s="112" t="b">
        <v>0</v>
      </c>
      <c r="K1820" s="112" t="b">
        <v>0</v>
      </c>
      <c r="L1820" s="112" t="b">
        <v>0</v>
      </c>
    </row>
    <row r="1821" spans="1:12" ht="15">
      <c r="A1821" s="112" t="s">
        <v>2101</v>
      </c>
      <c r="B1821" s="112" t="s">
        <v>2132</v>
      </c>
      <c r="C1821" s="112">
        <v>2</v>
      </c>
      <c r="D1821" s="114">
        <v>0.001883379602555598</v>
      </c>
      <c r="E1821" s="114">
        <v>1.4408421181483626</v>
      </c>
      <c r="F1821" s="112" t="s">
        <v>2054</v>
      </c>
      <c r="G1821" s="112" t="b">
        <v>0</v>
      </c>
      <c r="H1821" s="112" t="b">
        <v>0</v>
      </c>
      <c r="I1821" s="112" t="b">
        <v>0</v>
      </c>
      <c r="J1821" s="112" t="b">
        <v>0</v>
      </c>
      <c r="K1821" s="112" t="b">
        <v>0</v>
      </c>
      <c r="L1821" s="112" t="b">
        <v>0</v>
      </c>
    </row>
    <row r="1822" spans="1:12" ht="15">
      <c r="A1822" s="112" t="s">
        <v>2101</v>
      </c>
      <c r="B1822" s="112" t="s">
        <v>2671</v>
      </c>
      <c r="C1822" s="112">
        <v>2</v>
      </c>
      <c r="D1822" s="114">
        <v>0.0023350375105285633</v>
      </c>
      <c r="E1822" s="114">
        <v>1.2647508590926813</v>
      </c>
      <c r="F1822" s="112" t="s">
        <v>2054</v>
      </c>
      <c r="G1822" s="112" t="b">
        <v>0</v>
      </c>
      <c r="H1822" s="112" t="b">
        <v>0</v>
      </c>
      <c r="I1822" s="112" t="b">
        <v>0</v>
      </c>
      <c r="J1822" s="112" t="b">
        <v>0</v>
      </c>
      <c r="K1822" s="112" t="b">
        <v>0</v>
      </c>
      <c r="L1822" s="112" t="b">
        <v>0</v>
      </c>
    </row>
    <row r="1823" spans="1:12" ht="15">
      <c r="A1823" s="112" t="s">
        <v>2101</v>
      </c>
      <c r="B1823" s="112" t="s">
        <v>2672</v>
      </c>
      <c r="C1823" s="112">
        <v>2</v>
      </c>
      <c r="D1823" s="114">
        <v>0.001883379602555598</v>
      </c>
      <c r="E1823" s="114">
        <v>1.4408421181483626</v>
      </c>
      <c r="F1823" s="112" t="s">
        <v>2054</v>
      </c>
      <c r="G1823" s="112" t="b">
        <v>0</v>
      </c>
      <c r="H1823" s="112" t="b">
        <v>0</v>
      </c>
      <c r="I1823" s="112" t="b">
        <v>0</v>
      </c>
      <c r="J1823" s="112" t="b">
        <v>0</v>
      </c>
      <c r="K1823" s="112" t="b">
        <v>1</v>
      </c>
      <c r="L1823" s="112" t="b">
        <v>0</v>
      </c>
    </row>
    <row r="1824" spans="1:12" ht="15">
      <c r="A1824" s="112" t="s">
        <v>2672</v>
      </c>
      <c r="B1824" s="112" t="s">
        <v>2101</v>
      </c>
      <c r="C1824" s="112">
        <v>2</v>
      </c>
      <c r="D1824" s="114">
        <v>0.001883379602555598</v>
      </c>
      <c r="E1824" s="114">
        <v>1.4408421181483626</v>
      </c>
      <c r="F1824" s="112" t="s">
        <v>2054</v>
      </c>
      <c r="G1824" s="112" t="b">
        <v>0</v>
      </c>
      <c r="H1824" s="112" t="b">
        <v>1</v>
      </c>
      <c r="I1824" s="112" t="b">
        <v>0</v>
      </c>
      <c r="J1824" s="112" t="b">
        <v>0</v>
      </c>
      <c r="K1824" s="112" t="b">
        <v>0</v>
      </c>
      <c r="L1824" s="112" t="b">
        <v>0</v>
      </c>
    </row>
    <row r="1825" spans="1:12" ht="15">
      <c r="A1825" s="112" t="s">
        <v>2676</v>
      </c>
      <c r="B1825" s="112" t="s">
        <v>2101</v>
      </c>
      <c r="C1825" s="112">
        <v>2</v>
      </c>
      <c r="D1825" s="114">
        <v>0.0023350375105285633</v>
      </c>
      <c r="E1825" s="114">
        <v>1.2647508590926813</v>
      </c>
      <c r="F1825" s="112" t="s">
        <v>2054</v>
      </c>
      <c r="G1825" s="112" t="b">
        <v>0</v>
      </c>
      <c r="H1825" s="112" t="b">
        <v>0</v>
      </c>
      <c r="I1825" s="112" t="b">
        <v>0</v>
      </c>
      <c r="J1825" s="112" t="b">
        <v>0</v>
      </c>
      <c r="K1825" s="112" t="b">
        <v>0</v>
      </c>
      <c r="L1825" s="112" t="b">
        <v>0</v>
      </c>
    </row>
    <row r="1826" spans="1:12" ht="15">
      <c r="A1826" s="112" t="s">
        <v>2408</v>
      </c>
      <c r="B1826" s="112" t="s">
        <v>2266</v>
      </c>
      <c r="C1826" s="112">
        <v>2</v>
      </c>
      <c r="D1826" s="114">
        <v>0.0023350375105285633</v>
      </c>
      <c r="E1826" s="114">
        <v>1.9368487170283988</v>
      </c>
      <c r="F1826" s="112" t="s">
        <v>2054</v>
      </c>
      <c r="G1826" s="112" t="b">
        <v>0</v>
      </c>
      <c r="H1826" s="112" t="b">
        <v>0</v>
      </c>
      <c r="I1826" s="112" t="b">
        <v>0</v>
      </c>
      <c r="J1826" s="112" t="b">
        <v>0</v>
      </c>
      <c r="K1826" s="112" t="b">
        <v>0</v>
      </c>
      <c r="L1826" s="112" t="b">
        <v>0</v>
      </c>
    </row>
    <row r="1827" spans="1:12" ht="15">
      <c r="A1827" s="112" t="s">
        <v>2157</v>
      </c>
      <c r="B1827" s="112" t="s">
        <v>2152</v>
      </c>
      <c r="C1827" s="112">
        <v>2</v>
      </c>
      <c r="D1827" s="114">
        <v>0.0023350375105285633</v>
      </c>
      <c r="E1827" s="114">
        <v>1.982606207589074</v>
      </c>
      <c r="F1827" s="112" t="s">
        <v>2054</v>
      </c>
      <c r="G1827" s="112" t="b">
        <v>0</v>
      </c>
      <c r="H1827" s="112" t="b">
        <v>0</v>
      </c>
      <c r="I1827" s="112" t="b">
        <v>0</v>
      </c>
      <c r="J1827" s="112" t="b">
        <v>0</v>
      </c>
      <c r="K1827" s="112" t="b">
        <v>0</v>
      </c>
      <c r="L1827" s="112" t="b">
        <v>0</v>
      </c>
    </row>
    <row r="1828" spans="1:12" ht="15">
      <c r="A1828" s="112" t="s">
        <v>2152</v>
      </c>
      <c r="B1828" s="112" t="s">
        <v>2087</v>
      </c>
      <c r="C1828" s="112">
        <v>2</v>
      </c>
      <c r="D1828" s="114">
        <v>0.0023350375105285633</v>
      </c>
      <c r="E1828" s="114">
        <v>1.9368487170283988</v>
      </c>
      <c r="F1828" s="112" t="s">
        <v>2054</v>
      </c>
      <c r="G1828" s="112" t="b">
        <v>0</v>
      </c>
      <c r="H1828" s="112" t="b">
        <v>0</v>
      </c>
      <c r="I1828" s="112" t="b">
        <v>0</v>
      </c>
      <c r="J1828" s="112" t="b">
        <v>0</v>
      </c>
      <c r="K1828" s="112" t="b">
        <v>0</v>
      </c>
      <c r="L1828" s="112" t="b">
        <v>0</v>
      </c>
    </row>
    <row r="1829" spans="1:12" ht="15">
      <c r="A1829" s="112" t="s">
        <v>2097</v>
      </c>
      <c r="B1829" s="112" t="s">
        <v>2105</v>
      </c>
      <c r="C1829" s="112">
        <v>2</v>
      </c>
      <c r="D1829" s="114">
        <v>0.001883379602555598</v>
      </c>
      <c r="E1829" s="114">
        <v>1.0560351247476074</v>
      </c>
      <c r="F1829" s="112" t="s">
        <v>2054</v>
      </c>
      <c r="G1829" s="112" t="b">
        <v>0</v>
      </c>
      <c r="H1829" s="112" t="b">
        <v>0</v>
      </c>
      <c r="I1829" s="112" t="b">
        <v>0</v>
      </c>
      <c r="J1829" s="112" t="b">
        <v>0</v>
      </c>
      <c r="K1829" s="112" t="b">
        <v>0</v>
      </c>
      <c r="L1829" s="112" t="b">
        <v>0</v>
      </c>
    </row>
    <row r="1830" spans="1:12" ht="15">
      <c r="A1830" s="112" t="s">
        <v>2098</v>
      </c>
      <c r="B1830" s="112" t="s">
        <v>2078</v>
      </c>
      <c r="C1830" s="112">
        <v>2</v>
      </c>
      <c r="D1830" s="114">
        <v>0.0023350375105285633</v>
      </c>
      <c r="E1830" s="114">
        <v>1.4896906856861796</v>
      </c>
      <c r="F1830" s="112" t="s">
        <v>2054</v>
      </c>
      <c r="G1830" s="112" t="b">
        <v>1</v>
      </c>
      <c r="H1830" s="112" t="b">
        <v>0</v>
      </c>
      <c r="I1830" s="112" t="b">
        <v>0</v>
      </c>
      <c r="J1830" s="112" t="b">
        <v>0</v>
      </c>
      <c r="K1830" s="112" t="b">
        <v>0</v>
      </c>
      <c r="L1830" s="112" t="b">
        <v>0</v>
      </c>
    </row>
    <row r="1831" spans="1:12" ht="15">
      <c r="A1831" s="112" t="s">
        <v>2078</v>
      </c>
      <c r="B1831" s="112" t="s">
        <v>2097</v>
      </c>
      <c r="C1831" s="112">
        <v>2</v>
      </c>
      <c r="D1831" s="114">
        <v>0.0023350375105285633</v>
      </c>
      <c r="E1831" s="114">
        <v>0.7665870016334414</v>
      </c>
      <c r="F1831" s="112" t="s">
        <v>2054</v>
      </c>
      <c r="G1831" s="112" t="b">
        <v>0</v>
      </c>
      <c r="H1831" s="112" t="b">
        <v>0</v>
      </c>
      <c r="I1831" s="112" t="b">
        <v>0</v>
      </c>
      <c r="J1831" s="112" t="b">
        <v>0</v>
      </c>
      <c r="K1831" s="112" t="b">
        <v>0</v>
      </c>
      <c r="L1831" s="112" t="b">
        <v>0</v>
      </c>
    </row>
    <row r="1832" spans="1:12" ht="15">
      <c r="A1832" s="112" t="s">
        <v>2157</v>
      </c>
      <c r="B1832" s="112" t="s">
        <v>2178</v>
      </c>
      <c r="C1832" s="112">
        <v>2</v>
      </c>
      <c r="D1832" s="114">
        <v>0.001883379602555598</v>
      </c>
      <c r="E1832" s="114">
        <v>1.3457841100018997</v>
      </c>
      <c r="F1832" s="112" t="s">
        <v>2054</v>
      </c>
      <c r="G1832" s="112" t="b">
        <v>0</v>
      </c>
      <c r="H1832" s="112" t="b">
        <v>0</v>
      </c>
      <c r="I1832" s="112" t="b">
        <v>0</v>
      </c>
      <c r="J1832" s="112" t="b">
        <v>0</v>
      </c>
      <c r="K1832" s="112" t="b">
        <v>0</v>
      </c>
      <c r="L1832" s="112" t="b">
        <v>0</v>
      </c>
    </row>
    <row r="1833" spans="1:12" ht="15">
      <c r="A1833" s="112" t="s">
        <v>2180</v>
      </c>
      <c r="B1833" s="112" t="s">
        <v>2194</v>
      </c>
      <c r="C1833" s="112">
        <v>2</v>
      </c>
      <c r="D1833" s="114">
        <v>0.001883379602555598</v>
      </c>
      <c r="E1833" s="114">
        <v>0.9794010677138626</v>
      </c>
      <c r="F1833" s="112" t="s">
        <v>2054</v>
      </c>
      <c r="G1833" s="112" t="b">
        <v>0</v>
      </c>
      <c r="H1833" s="112" t="b">
        <v>0</v>
      </c>
      <c r="I1833" s="112" t="b">
        <v>0</v>
      </c>
      <c r="J1833" s="112" t="b">
        <v>0</v>
      </c>
      <c r="K1833" s="112" t="b">
        <v>0</v>
      </c>
      <c r="L1833" s="112" t="b">
        <v>0</v>
      </c>
    </row>
    <row r="1834" spans="1:12" ht="15">
      <c r="A1834" s="112" t="s">
        <v>2208</v>
      </c>
      <c r="B1834" s="112" t="s">
        <v>2208</v>
      </c>
      <c r="C1834" s="112">
        <v>2</v>
      </c>
      <c r="D1834" s="114">
        <v>0.001883379602555598</v>
      </c>
      <c r="E1834" s="114">
        <v>1.1538985837629865</v>
      </c>
      <c r="F1834" s="112" t="s">
        <v>2054</v>
      </c>
      <c r="G1834" s="112" t="b">
        <v>0</v>
      </c>
      <c r="H1834" s="112" t="b">
        <v>0</v>
      </c>
      <c r="I1834" s="112" t="b">
        <v>0</v>
      </c>
      <c r="J1834" s="112" t="b">
        <v>0</v>
      </c>
      <c r="K1834" s="112" t="b">
        <v>0</v>
      </c>
      <c r="L1834" s="112" t="b">
        <v>0</v>
      </c>
    </row>
    <row r="1835" spans="1:12" ht="15">
      <c r="A1835" s="112" t="s">
        <v>2208</v>
      </c>
      <c r="B1835" s="112" t="s">
        <v>2229</v>
      </c>
      <c r="C1835" s="112">
        <v>2</v>
      </c>
      <c r="D1835" s="114">
        <v>0.001883379602555598</v>
      </c>
      <c r="E1835" s="114">
        <v>1.2208453733935998</v>
      </c>
      <c r="F1835" s="112" t="s">
        <v>2054</v>
      </c>
      <c r="G1835" s="112" t="b">
        <v>0</v>
      </c>
      <c r="H1835" s="112" t="b">
        <v>0</v>
      </c>
      <c r="I1835" s="112" t="b">
        <v>0</v>
      </c>
      <c r="J1835" s="112" t="b">
        <v>0</v>
      </c>
      <c r="K1835" s="112" t="b">
        <v>0</v>
      </c>
      <c r="L1835" s="112" t="b">
        <v>0</v>
      </c>
    </row>
    <row r="1836" spans="1:12" ht="15">
      <c r="A1836" s="112" t="s">
        <v>2091</v>
      </c>
      <c r="B1836" s="112" t="s">
        <v>2229</v>
      </c>
      <c r="C1836" s="112">
        <v>2</v>
      </c>
      <c r="D1836" s="114">
        <v>0.001883379602555598</v>
      </c>
      <c r="E1836" s="114">
        <v>0.5152447901585677</v>
      </c>
      <c r="F1836" s="112" t="s">
        <v>2054</v>
      </c>
      <c r="G1836" s="112" t="b">
        <v>0</v>
      </c>
      <c r="H1836" s="112" t="b">
        <v>0</v>
      </c>
      <c r="I1836" s="112" t="b">
        <v>0</v>
      </c>
      <c r="J1836" s="112" t="b">
        <v>0</v>
      </c>
      <c r="K1836" s="112" t="b">
        <v>0</v>
      </c>
      <c r="L1836" s="112" t="b">
        <v>0</v>
      </c>
    </row>
    <row r="1837" spans="1:12" ht="15">
      <c r="A1837" s="112" t="s">
        <v>2208</v>
      </c>
      <c r="B1837" s="112" t="s">
        <v>2091</v>
      </c>
      <c r="C1837" s="112">
        <v>2</v>
      </c>
      <c r="D1837" s="114">
        <v>0.001883379602555598</v>
      </c>
      <c r="E1837" s="114">
        <v>0.4871132627983689</v>
      </c>
      <c r="F1837" s="112" t="s">
        <v>2054</v>
      </c>
      <c r="G1837" s="112" t="b">
        <v>0</v>
      </c>
      <c r="H1837" s="112" t="b">
        <v>0</v>
      </c>
      <c r="I1837" s="112" t="b">
        <v>0</v>
      </c>
      <c r="J1837" s="112" t="b">
        <v>0</v>
      </c>
      <c r="K1837" s="112" t="b">
        <v>0</v>
      </c>
      <c r="L1837" s="112" t="b">
        <v>0</v>
      </c>
    </row>
    <row r="1838" spans="1:12" ht="15">
      <c r="A1838" s="112" t="s">
        <v>2200</v>
      </c>
      <c r="B1838" s="112" t="s">
        <v>2188</v>
      </c>
      <c r="C1838" s="112">
        <v>2</v>
      </c>
      <c r="D1838" s="114">
        <v>0.001883379602555598</v>
      </c>
      <c r="E1838" s="114">
        <v>1.196486027534155</v>
      </c>
      <c r="F1838" s="112" t="s">
        <v>2054</v>
      </c>
      <c r="G1838" s="112" t="b">
        <v>0</v>
      </c>
      <c r="H1838" s="112" t="b">
        <v>0</v>
      </c>
      <c r="I1838" s="112" t="b">
        <v>0</v>
      </c>
      <c r="J1838" s="112" t="b">
        <v>0</v>
      </c>
      <c r="K1838" s="112" t="b">
        <v>0</v>
      </c>
      <c r="L1838" s="112" t="b">
        <v>0</v>
      </c>
    </row>
    <row r="1839" spans="1:12" ht="15">
      <c r="A1839" s="112" t="s">
        <v>2200</v>
      </c>
      <c r="B1839" s="112" t="s">
        <v>2091</v>
      </c>
      <c r="C1839" s="112">
        <v>2</v>
      </c>
      <c r="D1839" s="114">
        <v>0.0023350375105285633</v>
      </c>
      <c r="E1839" s="114">
        <v>0.4249653560495244</v>
      </c>
      <c r="F1839" s="112" t="s">
        <v>2054</v>
      </c>
      <c r="G1839" s="112" t="b">
        <v>0</v>
      </c>
      <c r="H1839" s="112" t="b">
        <v>0</v>
      </c>
      <c r="I1839" s="112" t="b">
        <v>0</v>
      </c>
      <c r="J1839" s="112" t="b">
        <v>0</v>
      </c>
      <c r="K1839" s="112" t="b">
        <v>0</v>
      </c>
      <c r="L1839" s="112" t="b">
        <v>0</v>
      </c>
    </row>
    <row r="1840" spans="1:12" ht="15">
      <c r="A1840" s="112" t="s">
        <v>2091</v>
      </c>
      <c r="B1840" s="112" t="s">
        <v>2084</v>
      </c>
      <c r="C1840" s="112">
        <v>2</v>
      </c>
      <c r="D1840" s="114">
        <v>0.001883379602555598</v>
      </c>
      <c r="E1840" s="114">
        <v>0.3156724352533636</v>
      </c>
      <c r="F1840" s="112" t="s">
        <v>2054</v>
      </c>
      <c r="G1840" s="112" t="b">
        <v>0</v>
      </c>
      <c r="H1840" s="112" t="b">
        <v>0</v>
      </c>
      <c r="I1840" s="112" t="b">
        <v>0</v>
      </c>
      <c r="J1840" s="112" t="b">
        <v>0</v>
      </c>
      <c r="K1840" s="112" t="b">
        <v>1</v>
      </c>
      <c r="L1840" s="112" t="b">
        <v>0</v>
      </c>
    </row>
    <row r="1841" spans="1:12" ht="15">
      <c r="A1841" s="112" t="s">
        <v>2324</v>
      </c>
      <c r="B1841" s="112" t="s">
        <v>2681</v>
      </c>
      <c r="C1841" s="112">
        <v>2</v>
      </c>
      <c r="D1841" s="114">
        <v>0.0023350375105285633</v>
      </c>
      <c r="E1841" s="114">
        <v>2.0337587300364555</v>
      </c>
      <c r="F1841" s="112" t="s">
        <v>2054</v>
      </c>
      <c r="G1841" s="112" t="b">
        <v>0</v>
      </c>
      <c r="H1841" s="112" t="b">
        <v>0</v>
      </c>
      <c r="I1841" s="112" t="b">
        <v>0</v>
      </c>
      <c r="J1841" s="112" t="b">
        <v>0</v>
      </c>
      <c r="K1841" s="112" t="b">
        <v>0</v>
      </c>
      <c r="L1841" s="112" t="b">
        <v>0</v>
      </c>
    </row>
    <row r="1842" spans="1:12" ht="15">
      <c r="A1842" s="112" t="s">
        <v>2681</v>
      </c>
      <c r="B1842" s="112" t="s">
        <v>2541</v>
      </c>
      <c r="C1842" s="112">
        <v>2</v>
      </c>
      <c r="D1842" s="114">
        <v>0.0023350375105285633</v>
      </c>
      <c r="E1842" s="114">
        <v>2.4597274623087366</v>
      </c>
      <c r="F1842" s="112" t="s">
        <v>2054</v>
      </c>
      <c r="G1842" s="112" t="b">
        <v>0</v>
      </c>
      <c r="H1842" s="112" t="b">
        <v>0</v>
      </c>
      <c r="I1842" s="112" t="b">
        <v>0</v>
      </c>
      <c r="J1842" s="112" t="b">
        <v>0</v>
      </c>
      <c r="K1842" s="112" t="b">
        <v>1</v>
      </c>
      <c r="L1842" s="112" t="b">
        <v>0</v>
      </c>
    </row>
    <row r="1843" spans="1:12" ht="15">
      <c r="A1843" s="112" t="s">
        <v>2188</v>
      </c>
      <c r="B1843" s="112" t="s">
        <v>2091</v>
      </c>
      <c r="C1843" s="112">
        <v>2</v>
      </c>
      <c r="D1843" s="114">
        <v>0.001883379602555598</v>
      </c>
      <c r="E1843" s="114">
        <v>0.5596639299469807</v>
      </c>
      <c r="F1843" s="112" t="s">
        <v>2054</v>
      </c>
      <c r="G1843" s="112" t="b">
        <v>0</v>
      </c>
      <c r="H1843" s="112" t="b">
        <v>0</v>
      </c>
      <c r="I1843" s="112" t="b">
        <v>0</v>
      </c>
      <c r="J1843" s="112" t="b">
        <v>0</v>
      </c>
      <c r="K1843" s="112" t="b">
        <v>0</v>
      </c>
      <c r="L1843" s="112" t="b">
        <v>0</v>
      </c>
    </row>
    <row r="1844" spans="1:12" ht="15">
      <c r="A1844" s="112" t="s">
        <v>2097</v>
      </c>
      <c r="B1844" s="112" t="s">
        <v>2677</v>
      </c>
      <c r="C1844" s="112">
        <v>2</v>
      </c>
      <c r="D1844" s="114">
        <v>0.0023350375105285633</v>
      </c>
      <c r="E1844" s="114">
        <v>1.5331563794672698</v>
      </c>
      <c r="F1844" s="112" t="s">
        <v>2054</v>
      </c>
      <c r="G1844" s="112" t="b">
        <v>0</v>
      </c>
      <c r="H1844" s="112" t="b">
        <v>0</v>
      </c>
      <c r="I1844" s="112" t="b">
        <v>0</v>
      </c>
      <c r="J1844" s="112" t="b">
        <v>1</v>
      </c>
      <c r="K1844" s="112" t="b">
        <v>0</v>
      </c>
      <c r="L1844" s="112" t="b">
        <v>0</v>
      </c>
    </row>
    <row r="1845" spans="1:12" ht="15">
      <c r="A1845" s="112" t="s">
        <v>2678</v>
      </c>
      <c r="B1845" s="112" t="s">
        <v>2097</v>
      </c>
      <c r="C1845" s="112">
        <v>2</v>
      </c>
      <c r="D1845" s="114">
        <v>0.0023350375105285633</v>
      </c>
      <c r="E1845" s="114">
        <v>1.3686469929614038</v>
      </c>
      <c r="F1845" s="112" t="s">
        <v>2054</v>
      </c>
      <c r="G1845" s="112" t="b">
        <v>1</v>
      </c>
      <c r="H1845" s="112" t="b">
        <v>0</v>
      </c>
      <c r="I1845" s="112" t="b">
        <v>0</v>
      </c>
      <c r="J1845" s="112" t="b">
        <v>0</v>
      </c>
      <c r="K1845" s="112" t="b">
        <v>0</v>
      </c>
      <c r="L1845" s="112" t="b">
        <v>0</v>
      </c>
    </row>
    <row r="1846" spans="1:12" ht="15">
      <c r="A1846" s="112" t="s">
        <v>2669</v>
      </c>
      <c r="B1846" s="112" t="s">
        <v>2097</v>
      </c>
      <c r="C1846" s="112">
        <v>2</v>
      </c>
      <c r="D1846" s="114">
        <v>0.001883379602555598</v>
      </c>
      <c r="E1846" s="114">
        <v>1.3686469929614038</v>
      </c>
      <c r="F1846" s="112" t="s">
        <v>2054</v>
      </c>
      <c r="G1846" s="112" t="b">
        <v>0</v>
      </c>
      <c r="H1846" s="112" t="b">
        <v>0</v>
      </c>
      <c r="I1846" s="112" t="b">
        <v>0</v>
      </c>
      <c r="J1846" s="112" t="b">
        <v>0</v>
      </c>
      <c r="K1846" s="112" t="b">
        <v>0</v>
      </c>
      <c r="L1846" s="112" t="b">
        <v>0</v>
      </c>
    </row>
    <row r="1847" spans="1:12" ht="15">
      <c r="A1847" s="112" t="s">
        <v>2097</v>
      </c>
      <c r="B1847" s="112" t="s">
        <v>2178</v>
      </c>
      <c r="C1847" s="112">
        <v>2</v>
      </c>
      <c r="D1847" s="114">
        <v>0.001883379602555598</v>
      </c>
      <c r="E1847" s="114">
        <v>0.7202430228244143</v>
      </c>
      <c r="F1847" s="112" t="s">
        <v>2054</v>
      </c>
      <c r="G1847" s="112" t="b">
        <v>0</v>
      </c>
      <c r="H1847" s="112" t="b">
        <v>0</v>
      </c>
      <c r="I1847" s="112" t="b">
        <v>0</v>
      </c>
      <c r="J1847" s="112" t="b">
        <v>0</v>
      </c>
      <c r="K1847" s="112" t="b">
        <v>0</v>
      </c>
      <c r="L1847" s="112" t="b">
        <v>0</v>
      </c>
    </row>
    <row r="1848" spans="1:12" ht="15">
      <c r="A1848" s="112" t="s">
        <v>2180</v>
      </c>
      <c r="B1848" s="112" t="s">
        <v>2174</v>
      </c>
      <c r="C1848" s="112">
        <v>2</v>
      </c>
      <c r="D1848" s="114">
        <v>0.001883379602555598</v>
      </c>
      <c r="E1848" s="114">
        <v>0.9282485452664814</v>
      </c>
      <c r="F1848" s="112" t="s">
        <v>2054</v>
      </c>
      <c r="G1848" s="112" t="b">
        <v>0</v>
      </c>
      <c r="H1848" s="112" t="b">
        <v>0</v>
      </c>
      <c r="I1848" s="112" t="b">
        <v>0</v>
      </c>
      <c r="J1848" s="112" t="b">
        <v>0</v>
      </c>
      <c r="K1848" s="112" t="b">
        <v>0</v>
      </c>
      <c r="L1848" s="112" t="b">
        <v>0</v>
      </c>
    </row>
    <row r="1849" spans="1:12" ht="15">
      <c r="A1849" s="112" t="s">
        <v>2449</v>
      </c>
      <c r="B1849" s="112" t="s">
        <v>2136</v>
      </c>
      <c r="C1849" s="112">
        <v>2</v>
      </c>
      <c r="D1849" s="114">
        <v>0.001883379602555598</v>
      </c>
      <c r="E1849" s="114">
        <v>1.283636203253055</v>
      </c>
      <c r="F1849" s="112" t="s">
        <v>2054</v>
      </c>
      <c r="G1849" s="112" t="b">
        <v>0</v>
      </c>
      <c r="H1849" s="112" t="b">
        <v>0</v>
      </c>
      <c r="I1849" s="112" t="b">
        <v>0</v>
      </c>
      <c r="J1849" s="112" t="b">
        <v>0</v>
      </c>
      <c r="K1849" s="112" t="b">
        <v>1</v>
      </c>
      <c r="L1849" s="112" t="b">
        <v>0</v>
      </c>
    </row>
    <row r="1850" spans="1:12" ht="15">
      <c r="A1850" s="112" t="s">
        <v>2136</v>
      </c>
      <c r="B1850" s="112" t="s">
        <v>2358</v>
      </c>
      <c r="C1850" s="112">
        <v>2</v>
      </c>
      <c r="D1850" s="114">
        <v>0.001883379602555598</v>
      </c>
      <c r="E1850" s="114">
        <v>1.3805462162611115</v>
      </c>
      <c r="F1850" s="112" t="s">
        <v>2054</v>
      </c>
      <c r="G1850" s="112" t="b">
        <v>0</v>
      </c>
      <c r="H1850" s="112" t="b">
        <v>1</v>
      </c>
      <c r="I1850" s="112" t="b">
        <v>0</v>
      </c>
      <c r="J1850" s="112" t="b">
        <v>0</v>
      </c>
      <c r="K1850" s="112" t="b">
        <v>0</v>
      </c>
      <c r="L1850" s="112" t="b">
        <v>0</v>
      </c>
    </row>
    <row r="1851" spans="1:12" ht="15">
      <c r="A1851" s="112" t="s">
        <v>2091</v>
      </c>
      <c r="B1851" s="112" t="s">
        <v>2136</v>
      </c>
      <c r="C1851" s="112">
        <v>2</v>
      </c>
      <c r="D1851" s="114">
        <v>0.001883379602555598</v>
      </c>
      <c r="E1851" s="114">
        <v>0.16306227204720528</v>
      </c>
      <c r="F1851" s="112" t="s">
        <v>2054</v>
      </c>
      <c r="G1851" s="112" t="b">
        <v>0</v>
      </c>
      <c r="H1851" s="112" t="b">
        <v>0</v>
      </c>
      <c r="I1851" s="112" t="b">
        <v>0</v>
      </c>
      <c r="J1851" s="112" t="b">
        <v>0</v>
      </c>
      <c r="K1851" s="112" t="b">
        <v>1</v>
      </c>
      <c r="L1851" s="112" t="b">
        <v>0</v>
      </c>
    </row>
    <row r="1852" spans="1:12" ht="15">
      <c r="A1852" s="112" t="s">
        <v>2136</v>
      </c>
      <c r="B1852" s="112" t="s">
        <v>2900</v>
      </c>
      <c r="C1852" s="112">
        <v>2</v>
      </c>
      <c r="D1852" s="114">
        <v>0.001883379602555598</v>
      </c>
      <c r="E1852" s="114">
        <v>1.6815762119250928</v>
      </c>
      <c r="F1852" s="112" t="s">
        <v>2054</v>
      </c>
      <c r="G1852" s="112" t="b">
        <v>0</v>
      </c>
      <c r="H1852" s="112" t="b">
        <v>1</v>
      </c>
      <c r="I1852" s="112" t="b">
        <v>0</v>
      </c>
      <c r="J1852" s="112" t="b">
        <v>0</v>
      </c>
      <c r="K1852" s="112" t="b">
        <v>0</v>
      </c>
      <c r="L1852" s="112" t="b">
        <v>0</v>
      </c>
    </row>
    <row r="1853" spans="1:12" ht="15">
      <c r="A1853" s="112" t="s">
        <v>2900</v>
      </c>
      <c r="B1853" s="112" t="s">
        <v>2136</v>
      </c>
      <c r="C1853" s="112">
        <v>2</v>
      </c>
      <c r="D1853" s="114">
        <v>0.001883379602555598</v>
      </c>
      <c r="E1853" s="114">
        <v>1.6815762119250928</v>
      </c>
      <c r="F1853" s="112" t="s">
        <v>2054</v>
      </c>
      <c r="G1853" s="112" t="b">
        <v>0</v>
      </c>
      <c r="H1853" s="112" t="b">
        <v>0</v>
      </c>
      <c r="I1853" s="112" t="b">
        <v>0</v>
      </c>
      <c r="J1853" s="112" t="b">
        <v>0</v>
      </c>
      <c r="K1853" s="112" t="b">
        <v>1</v>
      </c>
      <c r="L1853" s="112" t="b">
        <v>0</v>
      </c>
    </row>
    <row r="1854" spans="1:12" ht="15">
      <c r="A1854" s="112" t="s">
        <v>2136</v>
      </c>
      <c r="B1854" s="112" t="s">
        <v>2146</v>
      </c>
      <c r="C1854" s="112">
        <v>2</v>
      </c>
      <c r="D1854" s="114">
        <v>0.001883379602555598</v>
      </c>
      <c r="E1854" s="114">
        <v>0.5846661989170363</v>
      </c>
      <c r="F1854" s="112" t="s">
        <v>2054</v>
      </c>
      <c r="G1854" s="112" t="b">
        <v>0</v>
      </c>
      <c r="H1854" s="112" t="b">
        <v>1</v>
      </c>
      <c r="I1854" s="112" t="b">
        <v>0</v>
      </c>
      <c r="J1854" s="112" t="b">
        <v>0</v>
      </c>
      <c r="K1854" s="112" t="b">
        <v>1</v>
      </c>
      <c r="L1854" s="112" t="b">
        <v>0</v>
      </c>
    </row>
    <row r="1855" spans="1:12" ht="15">
      <c r="A1855" s="112" t="s">
        <v>2136</v>
      </c>
      <c r="B1855" s="112" t="s">
        <v>2109</v>
      </c>
      <c r="C1855" s="112">
        <v>2</v>
      </c>
      <c r="D1855" s="114">
        <v>0.001883379602555598</v>
      </c>
      <c r="E1855" s="114">
        <v>0.40282261097226374</v>
      </c>
      <c r="F1855" s="112" t="s">
        <v>2054</v>
      </c>
      <c r="G1855" s="112" t="b">
        <v>0</v>
      </c>
      <c r="H1855" s="112" t="b">
        <v>1</v>
      </c>
      <c r="I1855" s="112" t="b">
        <v>0</v>
      </c>
      <c r="J1855" s="112" t="b">
        <v>0</v>
      </c>
      <c r="K1855" s="112" t="b">
        <v>0</v>
      </c>
      <c r="L1855" s="112" t="b">
        <v>0</v>
      </c>
    </row>
    <row r="1856" spans="1:12" ht="15">
      <c r="A1856" s="112" t="s">
        <v>2109</v>
      </c>
      <c r="B1856" s="112" t="s">
        <v>2317</v>
      </c>
      <c r="C1856" s="112">
        <v>2</v>
      </c>
      <c r="D1856" s="114">
        <v>0.001883379602555598</v>
      </c>
      <c r="E1856" s="114">
        <v>1.2321263838032888</v>
      </c>
      <c r="F1856" s="112" t="s">
        <v>2054</v>
      </c>
      <c r="G1856" s="112" t="b">
        <v>0</v>
      </c>
      <c r="H1856" s="112" t="b">
        <v>0</v>
      </c>
      <c r="I1856" s="112" t="b">
        <v>0</v>
      </c>
      <c r="J1856" s="112" t="b">
        <v>0</v>
      </c>
      <c r="K1856" s="112" t="b">
        <v>0</v>
      </c>
      <c r="L1856" s="112" t="b">
        <v>0</v>
      </c>
    </row>
    <row r="1857" spans="1:12" ht="15">
      <c r="A1857" s="112" t="s">
        <v>2136</v>
      </c>
      <c r="B1857" s="112" t="s">
        <v>2901</v>
      </c>
      <c r="C1857" s="112">
        <v>2</v>
      </c>
      <c r="D1857" s="114">
        <v>0.001883379602555598</v>
      </c>
      <c r="E1857" s="114">
        <v>1.6815762119250928</v>
      </c>
      <c r="F1857" s="112" t="s">
        <v>2054</v>
      </c>
      <c r="G1857" s="112" t="b">
        <v>0</v>
      </c>
      <c r="H1857" s="112" t="b">
        <v>1</v>
      </c>
      <c r="I1857" s="112" t="b">
        <v>0</v>
      </c>
      <c r="J1857" s="112" t="b">
        <v>0</v>
      </c>
      <c r="K1857" s="112" t="b">
        <v>1</v>
      </c>
      <c r="L1857" s="112" t="b">
        <v>0</v>
      </c>
    </row>
    <row r="1858" spans="1:12" ht="15">
      <c r="A1858" s="112" t="s">
        <v>2091</v>
      </c>
      <c r="B1858" s="112" t="s">
        <v>2174</v>
      </c>
      <c r="C1858" s="112">
        <v>2</v>
      </c>
      <c r="D1858" s="114">
        <v>0.001883379602555598</v>
      </c>
      <c r="E1858" s="114">
        <v>0.3391535311028865</v>
      </c>
      <c r="F1858" s="112" t="s">
        <v>2054</v>
      </c>
      <c r="G1858" s="112" t="b">
        <v>0</v>
      </c>
      <c r="H1858" s="112" t="b">
        <v>0</v>
      </c>
      <c r="I1858" s="112" t="b">
        <v>0</v>
      </c>
      <c r="J1858" s="112" t="b">
        <v>0</v>
      </c>
      <c r="K1858" s="112" t="b">
        <v>0</v>
      </c>
      <c r="L1858" s="112" t="b">
        <v>0</v>
      </c>
    </row>
    <row r="1859" spans="1:12" ht="15">
      <c r="A1859" s="112" t="s">
        <v>2174</v>
      </c>
      <c r="B1859" s="112" t="s">
        <v>2905</v>
      </c>
      <c r="C1859" s="112">
        <v>2</v>
      </c>
      <c r="D1859" s="114">
        <v>0.001883379602555598</v>
      </c>
      <c r="E1859" s="114">
        <v>1.8576674709807741</v>
      </c>
      <c r="F1859" s="112" t="s">
        <v>2054</v>
      </c>
      <c r="G1859" s="112" t="b">
        <v>0</v>
      </c>
      <c r="H1859" s="112" t="b">
        <v>0</v>
      </c>
      <c r="I1859" s="112" t="b">
        <v>0</v>
      </c>
      <c r="J1859" s="112" t="b">
        <v>0</v>
      </c>
      <c r="K1859" s="112" t="b">
        <v>0</v>
      </c>
      <c r="L1859" s="112" t="b">
        <v>0</v>
      </c>
    </row>
    <row r="1860" spans="1:12" ht="15">
      <c r="A1860" s="112" t="s">
        <v>2449</v>
      </c>
      <c r="B1860" s="112" t="s">
        <v>2146</v>
      </c>
      <c r="C1860" s="112">
        <v>2</v>
      </c>
      <c r="D1860" s="114">
        <v>0.001883379602555598</v>
      </c>
      <c r="E1860" s="114">
        <v>1.3170599587400047</v>
      </c>
      <c r="F1860" s="112" t="s">
        <v>2054</v>
      </c>
      <c r="G1860" s="112" t="b">
        <v>0</v>
      </c>
      <c r="H1860" s="112" t="b">
        <v>0</v>
      </c>
      <c r="I1860" s="112" t="b">
        <v>0</v>
      </c>
      <c r="J1860" s="112" t="b">
        <v>0</v>
      </c>
      <c r="K1860" s="112" t="b">
        <v>1</v>
      </c>
      <c r="L1860" s="112" t="b">
        <v>0</v>
      </c>
    </row>
    <row r="1861" spans="1:12" ht="15">
      <c r="A1861" s="112" t="s">
        <v>2136</v>
      </c>
      <c r="B1861" s="112" t="s">
        <v>2906</v>
      </c>
      <c r="C1861" s="112">
        <v>2</v>
      </c>
      <c r="D1861" s="114">
        <v>0.001883379602555598</v>
      </c>
      <c r="E1861" s="114">
        <v>1.6815762119250928</v>
      </c>
      <c r="F1861" s="112" t="s">
        <v>2054</v>
      </c>
      <c r="G1861" s="112" t="b">
        <v>0</v>
      </c>
      <c r="H1861" s="112" t="b">
        <v>1</v>
      </c>
      <c r="I1861" s="112" t="b">
        <v>0</v>
      </c>
      <c r="J1861" s="112" t="b">
        <v>0</v>
      </c>
      <c r="K1861" s="112" t="b">
        <v>1</v>
      </c>
      <c r="L1861" s="112" t="b">
        <v>0</v>
      </c>
    </row>
    <row r="1862" spans="1:12" ht="15">
      <c r="A1862" s="112" t="s">
        <v>2174</v>
      </c>
      <c r="B1862" s="112" t="s">
        <v>2146</v>
      </c>
      <c r="C1862" s="112">
        <v>2</v>
      </c>
      <c r="D1862" s="114">
        <v>0.001883379602555598</v>
      </c>
      <c r="E1862" s="114">
        <v>0.7607574579727175</v>
      </c>
      <c r="F1862" s="112" t="s">
        <v>2054</v>
      </c>
      <c r="G1862" s="112" t="b">
        <v>0</v>
      </c>
      <c r="H1862" s="112" t="b">
        <v>0</v>
      </c>
      <c r="I1862" s="112" t="b">
        <v>0</v>
      </c>
      <c r="J1862" s="112" t="b">
        <v>0</v>
      </c>
      <c r="K1862" s="112" t="b">
        <v>1</v>
      </c>
      <c r="L1862" s="112" t="b">
        <v>0</v>
      </c>
    </row>
    <row r="1863" spans="1:12" ht="15">
      <c r="A1863" s="112" t="s">
        <v>2405</v>
      </c>
      <c r="B1863" s="112" t="s">
        <v>2317</v>
      </c>
      <c r="C1863" s="112">
        <v>2</v>
      </c>
      <c r="D1863" s="114">
        <v>0.001883379602555598</v>
      </c>
      <c r="E1863" s="114">
        <v>2.2098499890921364</v>
      </c>
      <c r="F1863" s="112" t="s">
        <v>2054</v>
      </c>
      <c r="G1863" s="112" t="b">
        <v>0</v>
      </c>
      <c r="H1863" s="112" t="b">
        <v>0</v>
      </c>
      <c r="I1863" s="112" t="b">
        <v>0</v>
      </c>
      <c r="J1863" s="112" t="b">
        <v>0</v>
      </c>
      <c r="K1863" s="112" t="b">
        <v>0</v>
      </c>
      <c r="L1863" s="112" t="b">
        <v>0</v>
      </c>
    </row>
    <row r="1864" spans="1:12" ht="15">
      <c r="A1864" s="112" t="s">
        <v>2317</v>
      </c>
      <c r="B1864" s="112" t="s">
        <v>2285</v>
      </c>
      <c r="C1864" s="112">
        <v>2</v>
      </c>
      <c r="D1864" s="114">
        <v>0.001883379602555598</v>
      </c>
      <c r="E1864" s="114">
        <v>1.9088199934281553</v>
      </c>
      <c r="F1864" s="112" t="s">
        <v>2054</v>
      </c>
      <c r="G1864" s="112" t="b">
        <v>0</v>
      </c>
      <c r="H1864" s="112" t="b">
        <v>0</v>
      </c>
      <c r="I1864" s="112" t="b">
        <v>0</v>
      </c>
      <c r="J1864" s="112" t="b">
        <v>0</v>
      </c>
      <c r="K1864" s="112" t="b">
        <v>1</v>
      </c>
      <c r="L1864" s="112" t="b">
        <v>0</v>
      </c>
    </row>
    <row r="1865" spans="1:12" ht="15">
      <c r="A1865" s="112" t="s">
        <v>2285</v>
      </c>
      <c r="B1865" s="112" t="s">
        <v>2136</v>
      </c>
      <c r="C1865" s="112">
        <v>2</v>
      </c>
      <c r="D1865" s="114">
        <v>0.001883379602555598</v>
      </c>
      <c r="E1865" s="114">
        <v>1.0795162205971305</v>
      </c>
      <c r="F1865" s="112" t="s">
        <v>2054</v>
      </c>
      <c r="G1865" s="112" t="b">
        <v>0</v>
      </c>
      <c r="H1865" s="112" t="b">
        <v>1</v>
      </c>
      <c r="I1865" s="112" t="b">
        <v>0</v>
      </c>
      <c r="J1865" s="112" t="b">
        <v>0</v>
      </c>
      <c r="K1865" s="112" t="b">
        <v>1</v>
      </c>
      <c r="L1865" s="112" t="b">
        <v>0</v>
      </c>
    </row>
    <row r="1866" spans="1:12" ht="15">
      <c r="A1866" s="112" t="s">
        <v>2136</v>
      </c>
      <c r="B1866" s="112" t="s">
        <v>2904</v>
      </c>
      <c r="C1866" s="112">
        <v>2</v>
      </c>
      <c r="D1866" s="114">
        <v>0.001883379602555598</v>
      </c>
      <c r="E1866" s="114">
        <v>1.6815762119250928</v>
      </c>
      <c r="F1866" s="112" t="s">
        <v>2054</v>
      </c>
      <c r="G1866" s="112" t="b">
        <v>0</v>
      </c>
      <c r="H1866" s="112" t="b">
        <v>1</v>
      </c>
      <c r="I1866" s="112" t="b">
        <v>0</v>
      </c>
      <c r="J1866" s="112" t="b">
        <v>0</v>
      </c>
      <c r="K1866" s="112" t="b">
        <v>0</v>
      </c>
      <c r="L1866" s="112" t="b">
        <v>0</v>
      </c>
    </row>
    <row r="1867" spans="1:12" ht="15">
      <c r="A1867" s="112" t="s">
        <v>2907</v>
      </c>
      <c r="B1867" s="112" t="s">
        <v>2174</v>
      </c>
      <c r="C1867" s="112">
        <v>2</v>
      </c>
      <c r="D1867" s="114">
        <v>0.001883379602555598</v>
      </c>
      <c r="E1867" s="114">
        <v>1.8576674709807741</v>
      </c>
      <c r="F1867" s="112" t="s">
        <v>2054</v>
      </c>
      <c r="G1867" s="112" t="b">
        <v>0</v>
      </c>
      <c r="H1867" s="112" t="b">
        <v>0</v>
      </c>
      <c r="I1867" s="112" t="b">
        <v>0</v>
      </c>
      <c r="J1867" s="112" t="b">
        <v>0</v>
      </c>
      <c r="K1867" s="112" t="b">
        <v>0</v>
      </c>
      <c r="L1867" s="112" t="b">
        <v>0</v>
      </c>
    </row>
    <row r="1868" spans="1:12" ht="15">
      <c r="A1868" s="112" t="s">
        <v>2190</v>
      </c>
      <c r="B1868" s="112" t="s">
        <v>2909</v>
      </c>
      <c r="C1868" s="112">
        <v>2</v>
      </c>
      <c r="D1868" s="114">
        <v>0.001883379602555598</v>
      </c>
      <c r="E1868" s="114">
        <v>2.811909980420099</v>
      </c>
      <c r="F1868" s="112" t="s">
        <v>2054</v>
      </c>
      <c r="G1868" s="112" t="b">
        <v>0</v>
      </c>
      <c r="H1868" s="112" t="b">
        <v>0</v>
      </c>
      <c r="I1868" s="112" t="b">
        <v>0</v>
      </c>
      <c r="J1868" s="112" t="b">
        <v>1</v>
      </c>
      <c r="K1868" s="112" t="b">
        <v>0</v>
      </c>
      <c r="L1868" s="112" t="b">
        <v>0</v>
      </c>
    </row>
    <row r="1869" spans="1:12" ht="15">
      <c r="A1869" s="112" t="s">
        <v>2174</v>
      </c>
      <c r="B1869" s="112" t="s">
        <v>2902</v>
      </c>
      <c r="C1869" s="112">
        <v>2</v>
      </c>
      <c r="D1869" s="114">
        <v>0.001883379602555598</v>
      </c>
      <c r="E1869" s="114">
        <v>1.8576674709807741</v>
      </c>
      <c r="F1869" s="112" t="s">
        <v>2054</v>
      </c>
      <c r="G1869" s="112" t="b">
        <v>0</v>
      </c>
      <c r="H1869" s="112" t="b">
        <v>0</v>
      </c>
      <c r="I1869" s="112" t="b">
        <v>0</v>
      </c>
      <c r="J1869" s="112" t="b">
        <v>0</v>
      </c>
      <c r="K1869" s="112" t="b">
        <v>0</v>
      </c>
      <c r="L1869" s="112" t="b">
        <v>0</v>
      </c>
    </row>
    <row r="1870" spans="1:12" ht="15">
      <c r="A1870" s="112" t="s">
        <v>2178</v>
      </c>
      <c r="B1870" s="112" t="s">
        <v>2908</v>
      </c>
      <c r="C1870" s="112">
        <v>2</v>
      </c>
      <c r="D1870" s="114">
        <v>0.001883379602555598</v>
      </c>
      <c r="E1870" s="114">
        <v>2.0337587300364555</v>
      </c>
      <c r="F1870" s="112" t="s">
        <v>2054</v>
      </c>
      <c r="G1870" s="112" t="b">
        <v>0</v>
      </c>
      <c r="H1870" s="112" t="b">
        <v>0</v>
      </c>
      <c r="I1870" s="112" t="b">
        <v>0</v>
      </c>
      <c r="J1870" s="112" t="b">
        <v>0</v>
      </c>
      <c r="K1870" s="112" t="b">
        <v>0</v>
      </c>
      <c r="L1870" s="112" t="b">
        <v>0</v>
      </c>
    </row>
    <row r="1871" spans="1:12" ht="15">
      <c r="A1871" s="112" t="s">
        <v>2133</v>
      </c>
      <c r="B1871" s="112" t="s">
        <v>2084</v>
      </c>
      <c r="C1871" s="112">
        <v>2</v>
      </c>
      <c r="D1871" s="114">
        <v>0.0023350375105285633</v>
      </c>
      <c r="E1871" s="114">
        <v>1.1809738613559073</v>
      </c>
      <c r="F1871" s="112" t="s">
        <v>2054</v>
      </c>
      <c r="G1871" s="112" t="b">
        <v>0</v>
      </c>
      <c r="H1871" s="112" t="b">
        <v>0</v>
      </c>
      <c r="I1871" s="112" t="b">
        <v>0</v>
      </c>
      <c r="J1871" s="112" t="b">
        <v>0</v>
      </c>
      <c r="K1871" s="112" t="b">
        <v>1</v>
      </c>
      <c r="L1871" s="112" t="b">
        <v>0</v>
      </c>
    </row>
    <row r="1872" spans="1:12" ht="15">
      <c r="A1872" s="112" t="s">
        <v>2097</v>
      </c>
      <c r="B1872" s="112" t="s">
        <v>2138</v>
      </c>
      <c r="C1872" s="112">
        <v>2</v>
      </c>
      <c r="D1872" s="114">
        <v>0.0023350375105285633</v>
      </c>
      <c r="E1872" s="114">
        <v>0.7202430228244143</v>
      </c>
      <c r="F1872" s="112" t="s">
        <v>2054</v>
      </c>
      <c r="G1872" s="112" t="b">
        <v>0</v>
      </c>
      <c r="H1872" s="112" t="b">
        <v>0</v>
      </c>
      <c r="I1872" s="112" t="b">
        <v>0</v>
      </c>
      <c r="J1872" s="112" t="b">
        <v>0</v>
      </c>
      <c r="K1872" s="112" t="b">
        <v>0</v>
      </c>
      <c r="L1872" s="112" t="b">
        <v>0</v>
      </c>
    </row>
    <row r="1873" spans="1:12" ht="15">
      <c r="A1873" s="112" t="s">
        <v>2138</v>
      </c>
      <c r="B1873" s="112" t="s">
        <v>2323</v>
      </c>
      <c r="C1873" s="112">
        <v>2</v>
      </c>
      <c r="D1873" s="114">
        <v>0.0023350375105285633</v>
      </c>
      <c r="E1873" s="114">
        <v>1.9989966237772434</v>
      </c>
      <c r="F1873" s="112" t="s">
        <v>2054</v>
      </c>
      <c r="G1873" s="112" t="b">
        <v>0</v>
      </c>
      <c r="H1873" s="112" t="b">
        <v>0</v>
      </c>
      <c r="I1873" s="112" t="b">
        <v>0</v>
      </c>
      <c r="J1873" s="112" t="b">
        <v>0</v>
      </c>
      <c r="K1873" s="112" t="b">
        <v>0</v>
      </c>
      <c r="L1873" s="112" t="b">
        <v>0</v>
      </c>
    </row>
    <row r="1874" spans="1:12" ht="15">
      <c r="A1874" s="112" t="s">
        <v>2674</v>
      </c>
      <c r="B1874" s="112" t="s">
        <v>2675</v>
      </c>
      <c r="C1874" s="112">
        <v>2</v>
      </c>
      <c r="D1874" s="114">
        <v>0.0023350375105285633</v>
      </c>
      <c r="E1874" s="114">
        <v>2.811909980420099</v>
      </c>
      <c r="F1874" s="112" t="s">
        <v>2054</v>
      </c>
      <c r="G1874" s="112" t="b">
        <v>0</v>
      </c>
      <c r="H1874" s="112" t="b">
        <v>0</v>
      </c>
      <c r="I1874" s="112" t="b">
        <v>0</v>
      </c>
      <c r="J1874" s="112" t="b">
        <v>0</v>
      </c>
      <c r="K1874" s="112" t="b">
        <v>0</v>
      </c>
      <c r="L1874" s="112" t="b">
        <v>0</v>
      </c>
    </row>
    <row r="1875" spans="1:12" ht="15">
      <c r="A1875" s="112" t="s">
        <v>2675</v>
      </c>
      <c r="B1875" s="112" t="s">
        <v>2080</v>
      </c>
      <c r="C1875" s="112">
        <v>2</v>
      </c>
      <c r="D1875" s="114">
        <v>0.0023350375105285633</v>
      </c>
      <c r="E1875" s="114">
        <v>1.1444570275301449</v>
      </c>
      <c r="F1875" s="112" t="s">
        <v>2054</v>
      </c>
      <c r="G1875" s="112" t="b">
        <v>0</v>
      </c>
      <c r="H1875" s="112" t="b">
        <v>0</v>
      </c>
      <c r="I1875" s="112" t="b">
        <v>0</v>
      </c>
      <c r="J1875" s="112" t="b">
        <v>0</v>
      </c>
      <c r="K1875" s="112" t="b">
        <v>0</v>
      </c>
      <c r="L1875" s="112" t="b">
        <v>0</v>
      </c>
    </row>
    <row r="1876" spans="1:12" ht="15">
      <c r="A1876" s="112" t="s">
        <v>2321</v>
      </c>
      <c r="B1876" s="112" t="s">
        <v>2080</v>
      </c>
      <c r="C1876" s="112">
        <v>2</v>
      </c>
      <c r="D1876" s="114">
        <v>0.001883379602555598</v>
      </c>
      <c r="E1876" s="114">
        <v>0.7465170188581073</v>
      </c>
      <c r="F1876" s="112" t="s">
        <v>2054</v>
      </c>
      <c r="G1876" s="112" t="b">
        <v>0</v>
      </c>
      <c r="H1876" s="112" t="b">
        <v>0</v>
      </c>
      <c r="I1876" s="112" t="b">
        <v>0</v>
      </c>
      <c r="J1876" s="112" t="b">
        <v>0</v>
      </c>
      <c r="K1876" s="112" t="b">
        <v>0</v>
      </c>
      <c r="L1876" s="112" t="b">
        <v>0</v>
      </c>
    </row>
    <row r="1877" spans="1:12" ht="15">
      <c r="A1877" s="112" t="s">
        <v>2180</v>
      </c>
      <c r="B1877" s="112" t="s">
        <v>2107</v>
      </c>
      <c r="C1877" s="112">
        <v>2</v>
      </c>
      <c r="D1877" s="114">
        <v>0.001883379602555598</v>
      </c>
      <c r="E1877" s="114">
        <v>0.5022798129942001</v>
      </c>
      <c r="F1877" s="112" t="s">
        <v>2054</v>
      </c>
      <c r="G1877" s="112" t="b">
        <v>0</v>
      </c>
      <c r="H1877" s="112" t="b">
        <v>0</v>
      </c>
      <c r="I1877" s="112" t="b">
        <v>0</v>
      </c>
      <c r="J1877" s="112" t="b">
        <v>0</v>
      </c>
      <c r="K1877" s="112" t="b">
        <v>0</v>
      </c>
      <c r="L1877" s="112" t="b">
        <v>0</v>
      </c>
    </row>
    <row r="1878" spans="1:12" ht="15">
      <c r="A1878" s="112" t="s">
        <v>2107</v>
      </c>
      <c r="B1878" s="112" t="s">
        <v>2157</v>
      </c>
      <c r="C1878" s="112">
        <v>2</v>
      </c>
      <c r="D1878" s="114">
        <v>0.001883379602555598</v>
      </c>
      <c r="E1878" s="114">
        <v>0.7784862249331492</v>
      </c>
      <c r="F1878" s="112" t="s">
        <v>2054</v>
      </c>
      <c r="G1878" s="112" t="b">
        <v>0</v>
      </c>
      <c r="H1878" s="112" t="b">
        <v>0</v>
      </c>
      <c r="I1878" s="112" t="b">
        <v>0</v>
      </c>
      <c r="J1878" s="112" t="b">
        <v>0</v>
      </c>
      <c r="K1878" s="112" t="b">
        <v>0</v>
      </c>
      <c r="L1878" s="112" t="b">
        <v>0</v>
      </c>
    </row>
    <row r="1879" spans="1:12" ht="15">
      <c r="A1879" s="112" t="s">
        <v>2157</v>
      </c>
      <c r="B1879" s="112" t="s">
        <v>2107</v>
      </c>
      <c r="C1879" s="112">
        <v>2</v>
      </c>
      <c r="D1879" s="114">
        <v>0.001883379602555598</v>
      </c>
      <c r="E1879" s="114">
        <v>0.7784862249331492</v>
      </c>
      <c r="F1879" s="112" t="s">
        <v>2054</v>
      </c>
      <c r="G1879" s="112" t="b">
        <v>0</v>
      </c>
      <c r="H1879" s="112" t="b">
        <v>0</v>
      </c>
      <c r="I1879" s="112" t="b">
        <v>0</v>
      </c>
      <c r="J1879" s="112" t="b">
        <v>0</v>
      </c>
      <c r="K1879" s="112" t="b">
        <v>0</v>
      </c>
      <c r="L1879" s="112" t="b">
        <v>0</v>
      </c>
    </row>
    <row r="1880" spans="1:12" ht="15">
      <c r="A1880" s="112" t="s">
        <v>2107</v>
      </c>
      <c r="B1880" s="112" t="s">
        <v>2188</v>
      </c>
      <c r="C1880" s="112">
        <v>2</v>
      </c>
      <c r="D1880" s="114">
        <v>0.001883379602555598</v>
      </c>
      <c r="E1880" s="114">
        <v>0.691336049214249</v>
      </c>
      <c r="F1880" s="112" t="s">
        <v>2054</v>
      </c>
      <c r="G1880" s="112" t="b">
        <v>0</v>
      </c>
      <c r="H1880" s="112" t="b">
        <v>0</v>
      </c>
      <c r="I1880" s="112" t="b">
        <v>0</v>
      </c>
      <c r="J1880" s="112" t="b">
        <v>0</v>
      </c>
      <c r="K1880" s="112" t="b">
        <v>0</v>
      </c>
      <c r="L1880" s="112" t="b">
        <v>0</v>
      </c>
    </row>
    <row r="1881" spans="1:12" ht="15">
      <c r="A1881" s="112" t="s">
        <v>2188</v>
      </c>
      <c r="B1881" s="112" t="s">
        <v>2107</v>
      </c>
      <c r="C1881" s="112">
        <v>2</v>
      </c>
      <c r="D1881" s="114">
        <v>0.001883379602555598</v>
      </c>
      <c r="E1881" s="114">
        <v>0.691336049214249</v>
      </c>
      <c r="F1881" s="112" t="s">
        <v>2054</v>
      </c>
      <c r="G1881" s="112" t="b">
        <v>0</v>
      </c>
      <c r="H1881" s="112" t="b">
        <v>0</v>
      </c>
      <c r="I1881" s="112" t="b">
        <v>0</v>
      </c>
      <c r="J1881" s="112" t="b">
        <v>0</v>
      </c>
      <c r="K1881" s="112" t="b">
        <v>0</v>
      </c>
      <c r="L1881" s="112" t="b">
        <v>0</v>
      </c>
    </row>
    <row r="1882" spans="1:12" ht="15">
      <c r="A1882" s="112" t="s">
        <v>2107</v>
      </c>
      <c r="B1882" s="112" t="s">
        <v>2189</v>
      </c>
      <c r="C1882" s="112">
        <v>2</v>
      </c>
      <c r="D1882" s="114">
        <v>0.001883379602555598</v>
      </c>
      <c r="E1882" s="114">
        <v>1.1306687430445117</v>
      </c>
      <c r="F1882" s="112" t="s">
        <v>2054</v>
      </c>
      <c r="G1882" s="112" t="b">
        <v>0</v>
      </c>
      <c r="H1882" s="112" t="b">
        <v>0</v>
      </c>
      <c r="I1882" s="112" t="b">
        <v>0</v>
      </c>
      <c r="J1882" s="112" t="b">
        <v>0</v>
      </c>
      <c r="K1882" s="112" t="b">
        <v>0</v>
      </c>
      <c r="L1882" s="112" t="b">
        <v>0</v>
      </c>
    </row>
    <row r="1883" spans="1:12" ht="15">
      <c r="A1883" s="112" t="s">
        <v>2189</v>
      </c>
      <c r="B1883" s="112" t="s">
        <v>2107</v>
      </c>
      <c r="C1883" s="112">
        <v>2</v>
      </c>
      <c r="D1883" s="114">
        <v>0.001883379602555598</v>
      </c>
      <c r="E1883" s="114">
        <v>1.1306687430445117</v>
      </c>
      <c r="F1883" s="112" t="s">
        <v>2054</v>
      </c>
      <c r="G1883" s="112" t="b">
        <v>0</v>
      </c>
      <c r="H1883" s="112" t="b">
        <v>0</v>
      </c>
      <c r="I1883" s="112" t="b">
        <v>0</v>
      </c>
      <c r="J1883" s="112" t="b">
        <v>0</v>
      </c>
      <c r="K1883" s="112" t="b">
        <v>0</v>
      </c>
      <c r="L1883" s="112" t="b">
        <v>0</v>
      </c>
    </row>
    <row r="1884" spans="1:12" ht="15">
      <c r="A1884" s="112" t="s">
        <v>2107</v>
      </c>
      <c r="B1884" s="112" t="s">
        <v>2084</v>
      </c>
      <c r="C1884" s="112">
        <v>2</v>
      </c>
      <c r="D1884" s="114">
        <v>0.001883379602555598</v>
      </c>
      <c r="E1884" s="114">
        <v>0.453975133419645</v>
      </c>
      <c r="F1884" s="112" t="s">
        <v>2054</v>
      </c>
      <c r="G1884" s="112" t="b">
        <v>0</v>
      </c>
      <c r="H1884" s="112" t="b">
        <v>0</v>
      </c>
      <c r="I1884" s="112" t="b">
        <v>0</v>
      </c>
      <c r="J1884" s="112" t="b">
        <v>0</v>
      </c>
      <c r="K1884" s="112" t="b">
        <v>1</v>
      </c>
      <c r="L1884" s="112" t="b">
        <v>0</v>
      </c>
    </row>
    <row r="1885" spans="1:12" ht="15">
      <c r="A1885" s="112" t="s">
        <v>2448</v>
      </c>
      <c r="B1885" s="112" t="s">
        <v>2080</v>
      </c>
      <c r="C1885" s="112">
        <v>2</v>
      </c>
      <c r="D1885" s="114">
        <v>0.001883379602555598</v>
      </c>
      <c r="E1885" s="114">
        <v>1.1444570275301449</v>
      </c>
      <c r="F1885" s="112" t="s">
        <v>2054</v>
      </c>
      <c r="G1885" s="112" t="b">
        <v>0</v>
      </c>
      <c r="H1885" s="112" t="b">
        <v>0</v>
      </c>
      <c r="I1885" s="112" t="b">
        <v>0</v>
      </c>
      <c r="J1885" s="112" t="b">
        <v>0</v>
      </c>
      <c r="K1885" s="112" t="b">
        <v>0</v>
      </c>
      <c r="L1885" s="112" t="b">
        <v>0</v>
      </c>
    </row>
    <row r="1886" spans="1:12" ht="15">
      <c r="A1886" s="112" t="s">
        <v>2321</v>
      </c>
      <c r="B1886" s="112" t="s">
        <v>2215</v>
      </c>
      <c r="C1886" s="112">
        <v>2</v>
      </c>
      <c r="D1886" s="114">
        <v>0.001883379602555598</v>
      </c>
      <c r="E1886" s="114">
        <v>1.8119099804200989</v>
      </c>
      <c r="F1886" s="112" t="s">
        <v>2054</v>
      </c>
      <c r="G1886" s="112" t="b">
        <v>0</v>
      </c>
      <c r="H1886" s="112" t="b">
        <v>0</v>
      </c>
      <c r="I1886" s="112" t="b">
        <v>0</v>
      </c>
      <c r="J1886" s="112" t="b">
        <v>0</v>
      </c>
      <c r="K1886" s="112" t="b">
        <v>0</v>
      </c>
      <c r="L1886" s="112" t="b">
        <v>0</v>
      </c>
    </row>
    <row r="1887" spans="1:12" ht="15">
      <c r="A1887" s="112" t="s">
        <v>2666</v>
      </c>
      <c r="B1887" s="112" t="s">
        <v>2109</v>
      </c>
      <c r="C1887" s="112">
        <v>2</v>
      </c>
      <c r="D1887" s="114">
        <v>0.001883379602555598</v>
      </c>
      <c r="E1887" s="114">
        <v>1.3570651204115887</v>
      </c>
      <c r="F1887" s="112" t="s">
        <v>2054</v>
      </c>
      <c r="G1887" s="112" t="b">
        <v>0</v>
      </c>
      <c r="H1887" s="112" t="b">
        <v>1</v>
      </c>
      <c r="I1887" s="112" t="b">
        <v>0</v>
      </c>
      <c r="J1887" s="112" t="b">
        <v>0</v>
      </c>
      <c r="K1887" s="112" t="b">
        <v>0</v>
      </c>
      <c r="L1887" s="112" t="b">
        <v>0</v>
      </c>
    </row>
    <row r="1888" spans="1:12" ht="15">
      <c r="A1888" s="112" t="s">
        <v>2112</v>
      </c>
      <c r="B1888" s="112" t="s">
        <v>2112</v>
      </c>
      <c r="C1888" s="112">
        <v>2</v>
      </c>
      <c r="D1888" s="114">
        <v>0.0023350375105285633</v>
      </c>
      <c r="E1888" s="114">
        <v>0.1173047814865302</v>
      </c>
      <c r="F1888" s="112" t="s">
        <v>2054</v>
      </c>
      <c r="G1888" s="112" t="b">
        <v>0</v>
      </c>
      <c r="H1888" s="112" t="b">
        <v>0</v>
      </c>
      <c r="I1888" s="112" t="b">
        <v>0</v>
      </c>
      <c r="J1888" s="112" t="b">
        <v>0</v>
      </c>
      <c r="K1888" s="112" t="b">
        <v>0</v>
      </c>
      <c r="L1888" s="112" t="b">
        <v>0</v>
      </c>
    </row>
    <row r="1889" spans="1:12" ht="15">
      <c r="A1889" s="112" t="s">
        <v>2080</v>
      </c>
      <c r="B1889" s="112" t="s">
        <v>2094</v>
      </c>
      <c r="C1889" s="112">
        <v>7</v>
      </c>
      <c r="D1889" s="114">
        <v>0.006402587028170419</v>
      </c>
      <c r="E1889" s="114">
        <v>1.1768773126311807</v>
      </c>
      <c r="F1889" s="112" t="s">
        <v>2055</v>
      </c>
      <c r="G1889" s="112" t="b">
        <v>0</v>
      </c>
      <c r="H1889" s="112" t="b">
        <v>0</v>
      </c>
      <c r="I1889" s="112" t="b">
        <v>0</v>
      </c>
      <c r="J1889" s="112" t="b">
        <v>0</v>
      </c>
      <c r="K1889" s="112" t="b">
        <v>0</v>
      </c>
      <c r="L1889" s="112" t="b">
        <v>0</v>
      </c>
    </row>
    <row r="1890" spans="1:12" ht="15">
      <c r="A1890" s="112" t="s">
        <v>2090</v>
      </c>
      <c r="B1890" s="112" t="s">
        <v>2126</v>
      </c>
      <c r="C1890" s="112">
        <v>6</v>
      </c>
      <c r="D1890" s="114">
        <v>0.005487931738431788</v>
      </c>
      <c r="E1890" s="114">
        <v>1.3140505056564922</v>
      </c>
      <c r="F1890" s="112" t="s">
        <v>2055</v>
      </c>
      <c r="G1890" s="112" t="b">
        <v>0</v>
      </c>
      <c r="H1890" s="112" t="b">
        <v>0</v>
      </c>
      <c r="I1890" s="112" t="b">
        <v>0</v>
      </c>
      <c r="J1890" s="112" t="b">
        <v>0</v>
      </c>
      <c r="K1890" s="112" t="b">
        <v>0</v>
      </c>
      <c r="L1890" s="112" t="b">
        <v>0</v>
      </c>
    </row>
    <row r="1891" spans="1:12" ht="15">
      <c r="A1891" s="112" t="s">
        <v>2089</v>
      </c>
      <c r="B1891" s="112" t="s">
        <v>2238</v>
      </c>
      <c r="C1891" s="112">
        <v>5</v>
      </c>
      <c r="D1891" s="114">
        <v>0.004573276448693157</v>
      </c>
      <c r="E1891" s="114">
        <v>1.6188734903376125</v>
      </c>
      <c r="F1891" s="112" t="s">
        <v>2055</v>
      </c>
      <c r="G1891" s="112" t="b">
        <v>0</v>
      </c>
      <c r="H1891" s="112" t="b">
        <v>0</v>
      </c>
      <c r="I1891" s="112" t="b">
        <v>0</v>
      </c>
      <c r="J1891" s="112" t="b">
        <v>0</v>
      </c>
      <c r="K1891" s="112" t="b">
        <v>0</v>
      </c>
      <c r="L1891" s="112" t="b">
        <v>0</v>
      </c>
    </row>
    <row r="1892" spans="1:12" ht="15">
      <c r="A1892" s="112" t="s">
        <v>2080</v>
      </c>
      <c r="B1892" s="112" t="s">
        <v>2083</v>
      </c>
      <c r="C1892" s="112">
        <v>5</v>
      </c>
      <c r="D1892" s="114">
        <v>0.005165635941407438</v>
      </c>
      <c r="E1892" s="114">
        <v>0.8369292509368297</v>
      </c>
      <c r="F1892" s="112" t="s">
        <v>2055</v>
      </c>
      <c r="G1892" s="112" t="b">
        <v>0</v>
      </c>
      <c r="H1892" s="112" t="b">
        <v>0</v>
      </c>
      <c r="I1892" s="112" t="b">
        <v>0</v>
      </c>
      <c r="J1892" s="112" t="b">
        <v>0</v>
      </c>
      <c r="K1892" s="112" t="b">
        <v>0</v>
      </c>
      <c r="L1892" s="112" t="b">
        <v>0</v>
      </c>
    </row>
    <row r="1893" spans="1:12" ht="15">
      <c r="A1893" s="112" t="s">
        <v>2221</v>
      </c>
      <c r="B1893" s="112" t="s">
        <v>2590</v>
      </c>
      <c r="C1893" s="112">
        <v>4</v>
      </c>
      <c r="D1893" s="114">
        <v>0.0041325087531259505</v>
      </c>
      <c r="E1893" s="114">
        <v>1.7836837389836047</v>
      </c>
      <c r="F1893" s="112" t="s">
        <v>2055</v>
      </c>
      <c r="G1893" s="112" t="b">
        <v>0</v>
      </c>
      <c r="H1893" s="112" t="b">
        <v>0</v>
      </c>
      <c r="I1893" s="112" t="b">
        <v>0</v>
      </c>
      <c r="J1893" s="112" t="b">
        <v>0</v>
      </c>
      <c r="K1893" s="112" t="b">
        <v>0</v>
      </c>
      <c r="L1893" s="112" t="b">
        <v>0</v>
      </c>
    </row>
    <row r="1894" spans="1:12" ht="15">
      <c r="A1894" s="112" t="s">
        <v>2590</v>
      </c>
      <c r="B1894" s="112" t="s">
        <v>2089</v>
      </c>
      <c r="C1894" s="112">
        <v>4</v>
      </c>
      <c r="D1894" s="114">
        <v>0.0041325087531259505</v>
      </c>
      <c r="E1894" s="114">
        <v>1.5552044104682352</v>
      </c>
      <c r="F1894" s="112" t="s">
        <v>2055</v>
      </c>
      <c r="G1894" s="112" t="b">
        <v>0</v>
      </c>
      <c r="H1894" s="112" t="b">
        <v>0</v>
      </c>
      <c r="I1894" s="112" t="b">
        <v>0</v>
      </c>
      <c r="J1894" s="112" t="b">
        <v>0</v>
      </c>
      <c r="K1894" s="112" t="b">
        <v>0</v>
      </c>
      <c r="L1894" s="112" t="b">
        <v>0</v>
      </c>
    </row>
    <row r="1895" spans="1:12" ht="15">
      <c r="A1895" s="112" t="s">
        <v>2594</v>
      </c>
      <c r="B1895" s="112" t="s">
        <v>2595</v>
      </c>
      <c r="C1895" s="112">
        <v>4</v>
      </c>
      <c r="D1895" s="114">
        <v>0.0070765673904265</v>
      </c>
      <c r="E1895" s="114">
        <v>2.295567099962479</v>
      </c>
      <c r="F1895" s="112" t="s">
        <v>2055</v>
      </c>
      <c r="G1895" s="112" t="b">
        <v>0</v>
      </c>
      <c r="H1895" s="112" t="b">
        <v>0</v>
      </c>
      <c r="I1895" s="112" t="b">
        <v>0</v>
      </c>
      <c r="J1895" s="112" t="b">
        <v>0</v>
      </c>
      <c r="K1895" s="112" t="b">
        <v>0</v>
      </c>
      <c r="L1895" s="112" t="b">
        <v>0</v>
      </c>
    </row>
    <row r="1896" spans="1:12" ht="15">
      <c r="A1896" s="112" t="s">
        <v>2089</v>
      </c>
      <c r="B1896" s="112" t="s">
        <v>2089</v>
      </c>
      <c r="C1896" s="112">
        <v>4</v>
      </c>
      <c r="D1896" s="114">
        <v>0.005604538071776225</v>
      </c>
      <c r="E1896" s="114">
        <v>0.8785108008433686</v>
      </c>
      <c r="F1896" s="112" t="s">
        <v>2055</v>
      </c>
      <c r="G1896" s="112" t="b">
        <v>0</v>
      </c>
      <c r="H1896" s="112" t="b">
        <v>0</v>
      </c>
      <c r="I1896" s="112" t="b">
        <v>0</v>
      </c>
      <c r="J1896" s="112" t="b">
        <v>0</v>
      </c>
      <c r="K1896" s="112" t="b">
        <v>0</v>
      </c>
      <c r="L1896" s="112" t="b">
        <v>0</v>
      </c>
    </row>
    <row r="1897" spans="1:12" ht="15">
      <c r="A1897" s="112" t="s">
        <v>2421</v>
      </c>
      <c r="B1897" s="112" t="s">
        <v>2372</v>
      </c>
      <c r="C1897" s="112">
        <v>4</v>
      </c>
      <c r="D1897" s="114">
        <v>0.0070765673904265</v>
      </c>
      <c r="E1897" s="114">
        <v>2.295567099962479</v>
      </c>
      <c r="F1897" s="112" t="s">
        <v>2055</v>
      </c>
      <c r="G1897" s="112" t="b">
        <v>0</v>
      </c>
      <c r="H1897" s="112" t="b">
        <v>0</v>
      </c>
      <c r="I1897" s="112" t="b">
        <v>0</v>
      </c>
      <c r="J1897" s="112" t="b">
        <v>0</v>
      </c>
      <c r="K1897" s="112" t="b">
        <v>0</v>
      </c>
      <c r="L1897" s="112" t="b">
        <v>0</v>
      </c>
    </row>
    <row r="1898" spans="1:12" ht="15">
      <c r="A1898" s="112" t="s">
        <v>2094</v>
      </c>
      <c r="B1898" s="112" t="s">
        <v>2083</v>
      </c>
      <c r="C1898" s="112">
        <v>3</v>
      </c>
      <c r="D1898" s="114">
        <v>0.0035575920903027757</v>
      </c>
      <c r="E1898" s="114">
        <v>0.7463594159597923</v>
      </c>
      <c r="F1898" s="112" t="s">
        <v>2055</v>
      </c>
      <c r="G1898" s="112" t="b">
        <v>0</v>
      </c>
      <c r="H1898" s="112" t="b">
        <v>0</v>
      </c>
      <c r="I1898" s="112" t="b">
        <v>0</v>
      </c>
      <c r="J1898" s="112" t="b">
        <v>0</v>
      </c>
      <c r="K1898" s="112" t="b">
        <v>0</v>
      </c>
      <c r="L1898" s="112" t="b">
        <v>0</v>
      </c>
    </row>
    <row r="1899" spans="1:12" ht="15">
      <c r="A1899" s="112" t="s">
        <v>2083</v>
      </c>
      <c r="B1899" s="112" t="s">
        <v>2090</v>
      </c>
      <c r="C1899" s="112">
        <v>3</v>
      </c>
      <c r="D1899" s="114">
        <v>0.0035575920903027757</v>
      </c>
      <c r="E1899" s="114">
        <v>0.598047162021693</v>
      </c>
      <c r="F1899" s="112" t="s">
        <v>2055</v>
      </c>
      <c r="G1899" s="112" t="b">
        <v>0</v>
      </c>
      <c r="H1899" s="112" t="b">
        <v>0</v>
      </c>
      <c r="I1899" s="112" t="b">
        <v>0</v>
      </c>
      <c r="J1899" s="112" t="b">
        <v>0</v>
      </c>
      <c r="K1899" s="112" t="b">
        <v>0</v>
      </c>
      <c r="L1899" s="112" t="b">
        <v>0</v>
      </c>
    </row>
    <row r="1900" spans="1:12" ht="15">
      <c r="A1900" s="112" t="s">
        <v>2090</v>
      </c>
      <c r="B1900" s="112" t="s">
        <v>2080</v>
      </c>
      <c r="C1900" s="112">
        <v>3</v>
      </c>
      <c r="D1900" s="114">
        <v>0.0035575920903027757</v>
      </c>
      <c r="E1900" s="114">
        <v>0.6705978291703047</v>
      </c>
      <c r="F1900" s="112" t="s">
        <v>2055</v>
      </c>
      <c r="G1900" s="112" t="b">
        <v>0</v>
      </c>
      <c r="H1900" s="112" t="b">
        <v>0</v>
      </c>
      <c r="I1900" s="112" t="b">
        <v>0</v>
      </c>
      <c r="J1900" s="112" t="b">
        <v>0</v>
      </c>
      <c r="K1900" s="112" t="b">
        <v>0</v>
      </c>
      <c r="L1900" s="112" t="b">
        <v>0</v>
      </c>
    </row>
    <row r="1901" spans="1:12" ht="15">
      <c r="A1901" s="112" t="s">
        <v>2080</v>
      </c>
      <c r="B1901" s="112" t="s">
        <v>2139</v>
      </c>
      <c r="C1901" s="112">
        <v>3</v>
      </c>
      <c r="D1901" s="114">
        <v>0.004203403553832168</v>
      </c>
      <c r="E1901" s="114">
        <v>1.4109605186645486</v>
      </c>
      <c r="F1901" s="112" t="s">
        <v>2055</v>
      </c>
      <c r="G1901" s="112" t="b">
        <v>0</v>
      </c>
      <c r="H1901" s="112" t="b">
        <v>0</v>
      </c>
      <c r="I1901" s="112" t="b">
        <v>0</v>
      </c>
      <c r="J1901" s="112" t="b">
        <v>0</v>
      </c>
      <c r="K1901" s="112" t="b">
        <v>0</v>
      </c>
      <c r="L1901" s="112" t="b">
        <v>0</v>
      </c>
    </row>
    <row r="1902" spans="1:12" ht="15">
      <c r="A1902" s="112" t="s">
        <v>2181</v>
      </c>
      <c r="B1902" s="112" t="s">
        <v>2181</v>
      </c>
      <c r="C1902" s="112">
        <v>3</v>
      </c>
      <c r="D1902" s="114">
        <v>0.005307425542819875</v>
      </c>
      <c r="E1902" s="114">
        <v>2.170628363354179</v>
      </c>
      <c r="F1902" s="112" t="s">
        <v>2055</v>
      </c>
      <c r="G1902" s="112" t="b">
        <v>1</v>
      </c>
      <c r="H1902" s="112" t="b">
        <v>0</v>
      </c>
      <c r="I1902" s="112" t="b">
        <v>0</v>
      </c>
      <c r="J1902" s="112" t="b">
        <v>1</v>
      </c>
      <c r="K1902" s="112" t="b">
        <v>0</v>
      </c>
      <c r="L1902" s="112" t="b">
        <v>0</v>
      </c>
    </row>
    <row r="1903" spans="1:12" ht="15">
      <c r="A1903" s="112" t="s">
        <v>2765</v>
      </c>
      <c r="B1903" s="112" t="s">
        <v>2766</v>
      </c>
      <c r="C1903" s="112">
        <v>3</v>
      </c>
      <c r="D1903" s="114">
        <v>0.005307425542819875</v>
      </c>
      <c r="E1903" s="114">
        <v>2.4205058365707792</v>
      </c>
      <c r="F1903" s="112" t="s">
        <v>2055</v>
      </c>
      <c r="G1903" s="112" t="b">
        <v>0</v>
      </c>
      <c r="H1903" s="112" t="b">
        <v>0</v>
      </c>
      <c r="I1903" s="112" t="b">
        <v>0</v>
      </c>
      <c r="J1903" s="112" t="b">
        <v>0</v>
      </c>
      <c r="K1903" s="112" t="b">
        <v>0</v>
      </c>
      <c r="L1903" s="112" t="b">
        <v>0</v>
      </c>
    </row>
    <row r="1904" spans="1:12" ht="15">
      <c r="A1904" s="112" t="s">
        <v>2762</v>
      </c>
      <c r="B1904" s="112" t="s">
        <v>2763</v>
      </c>
      <c r="C1904" s="112">
        <v>3</v>
      </c>
      <c r="D1904" s="114">
        <v>0.0035575920903027757</v>
      </c>
      <c r="E1904" s="114">
        <v>2.4205058365707792</v>
      </c>
      <c r="F1904" s="112" t="s">
        <v>2055</v>
      </c>
      <c r="G1904" s="112" t="b">
        <v>0</v>
      </c>
      <c r="H1904" s="112" t="b">
        <v>0</v>
      </c>
      <c r="I1904" s="112" t="b">
        <v>0</v>
      </c>
      <c r="J1904" s="112" t="b">
        <v>0</v>
      </c>
      <c r="K1904" s="112" t="b">
        <v>0</v>
      </c>
      <c r="L1904" s="112" t="b">
        <v>0</v>
      </c>
    </row>
    <row r="1905" spans="1:12" ht="15">
      <c r="A1905" s="112" t="s">
        <v>2294</v>
      </c>
      <c r="B1905" s="112" t="s">
        <v>2295</v>
      </c>
      <c r="C1905" s="112">
        <v>3</v>
      </c>
      <c r="D1905" s="114">
        <v>0.0035575920903027757</v>
      </c>
      <c r="E1905" s="114">
        <v>2.4205058365707792</v>
      </c>
      <c r="F1905" s="112" t="s">
        <v>2055</v>
      </c>
      <c r="G1905" s="112" t="b">
        <v>0</v>
      </c>
      <c r="H1905" s="112" t="b">
        <v>0</v>
      </c>
      <c r="I1905" s="112" t="b">
        <v>0</v>
      </c>
      <c r="J1905" s="112" t="b">
        <v>0</v>
      </c>
      <c r="K1905" s="112" t="b">
        <v>0</v>
      </c>
      <c r="L1905" s="112" t="b">
        <v>0</v>
      </c>
    </row>
    <row r="1906" spans="1:12" ht="15">
      <c r="A1906" s="112" t="s">
        <v>2083</v>
      </c>
      <c r="B1906" s="112" t="s">
        <v>2341</v>
      </c>
      <c r="C1906" s="112">
        <v>3</v>
      </c>
      <c r="D1906" s="114">
        <v>0.0035575920903027757</v>
      </c>
      <c r="E1906" s="114">
        <v>1.4826537433196234</v>
      </c>
      <c r="F1906" s="112" t="s">
        <v>2055</v>
      </c>
      <c r="G1906" s="112" t="b">
        <v>0</v>
      </c>
      <c r="H1906" s="112" t="b">
        <v>0</v>
      </c>
      <c r="I1906" s="112" t="b">
        <v>0</v>
      </c>
      <c r="J1906" s="112" t="b">
        <v>0</v>
      </c>
      <c r="K1906" s="112" t="b">
        <v>0</v>
      </c>
      <c r="L1906" s="112" t="b">
        <v>0</v>
      </c>
    </row>
    <row r="1907" spans="1:12" ht="15">
      <c r="A1907" s="112" t="s">
        <v>2086</v>
      </c>
      <c r="B1907" s="112" t="s">
        <v>2263</v>
      </c>
      <c r="C1907" s="112">
        <v>3</v>
      </c>
      <c r="D1907" s="114">
        <v>0.0035575920903027757</v>
      </c>
      <c r="E1907" s="114">
        <v>1.7514990556122034</v>
      </c>
      <c r="F1907" s="112" t="s">
        <v>2055</v>
      </c>
      <c r="G1907" s="112" t="b">
        <v>0</v>
      </c>
      <c r="H1907" s="112" t="b">
        <v>0</v>
      </c>
      <c r="I1907" s="112" t="b">
        <v>0</v>
      </c>
      <c r="J1907" s="112" t="b">
        <v>0</v>
      </c>
      <c r="K1907" s="112" t="b">
        <v>0</v>
      </c>
      <c r="L1907" s="112" t="b">
        <v>0</v>
      </c>
    </row>
    <row r="1908" spans="1:12" ht="15">
      <c r="A1908" s="112" t="s">
        <v>2257</v>
      </c>
      <c r="B1908" s="112" t="s">
        <v>2239</v>
      </c>
      <c r="C1908" s="112">
        <v>3</v>
      </c>
      <c r="D1908" s="114">
        <v>0.004203403553832168</v>
      </c>
      <c r="E1908" s="114">
        <v>2.4205058365707792</v>
      </c>
      <c r="F1908" s="112" t="s">
        <v>2055</v>
      </c>
      <c r="G1908" s="112" t="b">
        <v>0</v>
      </c>
      <c r="H1908" s="112" t="b">
        <v>0</v>
      </c>
      <c r="I1908" s="112" t="b">
        <v>0</v>
      </c>
      <c r="J1908" s="112" t="b">
        <v>0</v>
      </c>
      <c r="K1908" s="112" t="b">
        <v>0</v>
      </c>
      <c r="L1908" s="112" t="b">
        <v>0</v>
      </c>
    </row>
    <row r="1909" spans="1:12" ht="15">
      <c r="A1909" s="112" t="s">
        <v>2297</v>
      </c>
      <c r="B1909" s="112" t="s">
        <v>2221</v>
      </c>
      <c r="C1909" s="112">
        <v>3</v>
      </c>
      <c r="D1909" s="114">
        <v>0.005307425542819875</v>
      </c>
      <c r="E1909" s="114">
        <v>1.869598367690198</v>
      </c>
      <c r="F1909" s="112" t="s">
        <v>2055</v>
      </c>
      <c r="G1909" s="112" t="b">
        <v>0</v>
      </c>
      <c r="H1909" s="112" t="b">
        <v>0</v>
      </c>
      <c r="I1909" s="112" t="b">
        <v>0</v>
      </c>
      <c r="J1909" s="112" t="b">
        <v>0</v>
      </c>
      <c r="K1909" s="112" t="b">
        <v>0</v>
      </c>
      <c r="L1909" s="112" t="b">
        <v>0</v>
      </c>
    </row>
    <row r="1910" spans="1:12" ht="15">
      <c r="A1910" s="112" t="s">
        <v>2419</v>
      </c>
      <c r="B1910" s="112" t="s">
        <v>2420</v>
      </c>
      <c r="C1910" s="112">
        <v>3</v>
      </c>
      <c r="D1910" s="114">
        <v>0.0035575920903027757</v>
      </c>
      <c r="E1910" s="114">
        <v>2.4205058365707792</v>
      </c>
      <c r="F1910" s="112" t="s">
        <v>2055</v>
      </c>
      <c r="G1910" s="112" t="b">
        <v>0</v>
      </c>
      <c r="H1910" s="112" t="b">
        <v>0</v>
      </c>
      <c r="I1910" s="112" t="b">
        <v>0</v>
      </c>
      <c r="J1910" s="112" t="b">
        <v>0</v>
      </c>
      <c r="K1910" s="112" t="b">
        <v>0</v>
      </c>
      <c r="L1910" s="112" t="b">
        <v>0</v>
      </c>
    </row>
    <row r="1911" spans="1:12" ht="15">
      <c r="A1911" s="112" t="s">
        <v>2080</v>
      </c>
      <c r="B1911" s="112" t="s">
        <v>2321</v>
      </c>
      <c r="C1911" s="112">
        <v>3</v>
      </c>
      <c r="D1911" s="114">
        <v>0.005307425542819875</v>
      </c>
      <c r="E1911" s="114">
        <v>1.5358992552728485</v>
      </c>
      <c r="F1911" s="112" t="s">
        <v>2055</v>
      </c>
      <c r="G1911" s="112" t="b">
        <v>0</v>
      </c>
      <c r="H1911" s="112" t="b">
        <v>0</v>
      </c>
      <c r="I1911" s="112" t="b">
        <v>0</v>
      </c>
      <c r="J1911" s="112" t="b">
        <v>0</v>
      </c>
      <c r="K1911" s="112" t="b">
        <v>0</v>
      </c>
      <c r="L1911" s="112" t="b">
        <v>0</v>
      </c>
    </row>
    <row r="1912" spans="1:12" ht="15">
      <c r="A1912" s="112" t="s">
        <v>2126</v>
      </c>
      <c r="B1912" s="112" t="s">
        <v>2090</v>
      </c>
      <c r="C1912" s="112">
        <v>2</v>
      </c>
      <c r="D1912" s="114">
        <v>0.0028022690358881124</v>
      </c>
      <c r="E1912" s="114">
        <v>0.8369292509368298</v>
      </c>
      <c r="F1912" s="112" t="s">
        <v>2055</v>
      </c>
      <c r="G1912" s="112" t="b">
        <v>0</v>
      </c>
      <c r="H1912" s="112" t="b">
        <v>0</v>
      </c>
      <c r="I1912" s="112" t="b">
        <v>0</v>
      </c>
      <c r="J1912" s="112" t="b">
        <v>0</v>
      </c>
      <c r="K1912" s="112" t="b">
        <v>0</v>
      </c>
      <c r="L1912" s="112" t="b">
        <v>0</v>
      </c>
    </row>
    <row r="1913" spans="1:12" ht="15">
      <c r="A1913" s="112" t="s">
        <v>2090</v>
      </c>
      <c r="B1913" s="112" t="s">
        <v>2342</v>
      </c>
      <c r="C1913" s="112">
        <v>2</v>
      </c>
      <c r="D1913" s="114">
        <v>0.00353828369521325</v>
      </c>
      <c r="E1913" s="114">
        <v>1.5358992552728485</v>
      </c>
      <c r="F1913" s="112" t="s">
        <v>2055</v>
      </c>
      <c r="G1913" s="112" t="b">
        <v>0</v>
      </c>
      <c r="H1913" s="112" t="b">
        <v>0</v>
      </c>
      <c r="I1913" s="112" t="b">
        <v>0</v>
      </c>
      <c r="J1913" s="112" t="b">
        <v>1</v>
      </c>
      <c r="K1913" s="112" t="b">
        <v>0</v>
      </c>
      <c r="L1913" s="112" t="b">
        <v>0</v>
      </c>
    </row>
    <row r="1914" spans="1:12" ht="15">
      <c r="A1914" s="112" t="s">
        <v>2090</v>
      </c>
      <c r="B1914" s="112" t="s">
        <v>2242</v>
      </c>
      <c r="C1914" s="112">
        <v>2</v>
      </c>
      <c r="D1914" s="114">
        <v>0.0028022690358881124</v>
      </c>
      <c r="E1914" s="114">
        <v>1.5358992552728485</v>
      </c>
      <c r="F1914" s="112" t="s">
        <v>2055</v>
      </c>
      <c r="G1914" s="112" t="b">
        <v>0</v>
      </c>
      <c r="H1914" s="112" t="b">
        <v>0</v>
      </c>
      <c r="I1914" s="112" t="b">
        <v>0</v>
      </c>
      <c r="J1914" s="112" t="b">
        <v>0</v>
      </c>
      <c r="K1914" s="112" t="b">
        <v>1</v>
      </c>
      <c r="L1914" s="112" t="b">
        <v>0</v>
      </c>
    </row>
    <row r="1915" spans="1:12" ht="15">
      <c r="A1915" s="112" t="s">
        <v>2268</v>
      </c>
      <c r="B1915" s="112" t="s">
        <v>2332</v>
      </c>
      <c r="C1915" s="112">
        <v>2</v>
      </c>
      <c r="D1915" s="114">
        <v>0.0028022690358881124</v>
      </c>
      <c r="E1915" s="114">
        <v>2.420505836570779</v>
      </c>
      <c r="F1915" s="112" t="s">
        <v>2055</v>
      </c>
      <c r="G1915" s="112" t="b">
        <v>0</v>
      </c>
      <c r="H1915" s="112" t="b">
        <v>0</v>
      </c>
      <c r="I1915" s="112" t="b">
        <v>0</v>
      </c>
      <c r="J1915" s="112" t="b">
        <v>0</v>
      </c>
      <c r="K1915" s="112" t="b">
        <v>0</v>
      </c>
      <c r="L1915" s="112" t="b">
        <v>0</v>
      </c>
    </row>
    <row r="1916" spans="1:12" ht="15">
      <c r="A1916" s="112" t="s">
        <v>2413</v>
      </c>
      <c r="B1916" s="112" t="s">
        <v>2414</v>
      </c>
      <c r="C1916" s="112">
        <v>2</v>
      </c>
      <c r="D1916" s="114">
        <v>0.0028022690358881124</v>
      </c>
      <c r="E1916" s="114">
        <v>2.244414577515098</v>
      </c>
      <c r="F1916" s="112" t="s">
        <v>2055</v>
      </c>
      <c r="G1916" s="112" t="b">
        <v>0</v>
      </c>
      <c r="H1916" s="112" t="b">
        <v>0</v>
      </c>
      <c r="I1916" s="112" t="b">
        <v>0</v>
      </c>
      <c r="J1916" s="112" t="b">
        <v>0</v>
      </c>
      <c r="K1916" s="112" t="b">
        <v>0</v>
      </c>
      <c r="L1916" s="112" t="b">
        <v>0</v>
      </c>
    </row>
    <row r="1917" spans="1:12" ht="15">
      <c r="A1917" s="112" t="s">
        <v>3111</v>
      </c>
      <c r="B1917" s="112" t="s">
        <v>3112</v>
      </c>
      <c r="C1917" s="112">
        <v>2</v>
      </c>
      <c r="D1917" s="114">
        <v>0.00353828369521325</v>
      </c>
      <c r="E1917" s="114">
        <v>2.59659709562646</v>
      </c>
      <c r="F1917" s="112" t="s">
        <v>2055</v>
      </c>
      <c r="G1917" s="112" t="b">
        <v>0</v>
      </c>
      <c r="H1917" s="112" t="b">
        <v>0</v>
      </c>
      <c r="I1917" s="112" t="b">
        <v>0</v>
      </c>
      <c r="J1917" s="112" t="b">
        <v>0</v>
      </c>
      <c r="K1917" s="112" t="b">
        <v>0</v>
      </c>
      <c r="L1917" s="112" t="b">
        <v>0</v>
      </c>
    </row>
    <row r="1918" spans="1:12" ht="15">
      <c r="A1918" s="112" t="s">
        <v>2080</v>
      </c>
      <c r="B1918" s="112" t="s">
        <v>2117</v>
      </c>
      <c r="C1918" s="112">
        <v>2</v>
      </c>
      <c r="D1918" s="114">
        <v>0.0028022690358881124</v>
      </c>
      <c r="E1918" s="114">
        <v>1.3598079962171674</v>
      </c>
      <c r="F1918" s="112" t="s">
        <v>2055</v>
      </c>
      <c r="G1918" s="112" t="b">
        <v>0</v>
      </c>
      <c r="H1918" s="112" t="b">
        <v>0</v>
      </c>
      <c r="I1918" s="112" t="b">
        <v>0</v>
      </c>
      <c r="J1918" s="112" t="b">
        <v>0</v>
      </c>
      <c r="K1918" s="112" t="b">
        <v>0</v>
      </c>
      <c r="L1918" s="112" t="b">
        <v>0</v>
      </c>
    </row>
    <row r="1919" spans="1:12" ht="15">
      <c r="A1919" s="112" t="s">
        <v>2083</v>
      </c>
      <c r="B1919" s="112" t="s">
        <v>2080</v>
      </c>
      <c r="C1919" s="112">
        <v>2</v>
      </c>
      <c r="D1919" s="114">
        <v>0.0028022690358881124</v>
      </c>
      <c r="E1919" s="114">
        <v>0.4412610581613985</v>
      </c>
      <c r="F1919" s="112" t="s">
        <v>2055</v>
      </c>
      <c r="G1919" s="112" t="b">
        <v>0</v>
      </c>
      <c r="H1919" s="112" t="b">
        <v>0</v>
      </c>
      <c r="I1919" s="112" t="b">
        <v>0</v>
      </c>
      <c r="J1919" s="112" t="b">
        <v>0</v>
      </c>
      <c r="K1919" s="112" t="b">
        <v>0</v>
      </c>
      <c r="L1919" s="112" t="b">
        <v>0</v>
      </c>
    </row>
    <row r="1920" spans="1:12" ht="15">
      <c r="A1920" s="112" t="s">
        <v>2094</v>
      </c>
      <c r="B1920" s="112" t="s">
        <v>2204</v>
      </c>
      <c r="C1920" s="112">
        <v>2</v>
      </c>
      <c r="D1920" s="114">
        <v>0.0028022690358881124</v>
      </c>
      <c r="E1920" s="114">
        <v>1.3661481742481862</v>
      </c>
      <c r="F1920" s="112" t="s">
        <v>2055</v>
      </c>
      <c r="G1920" s="112" t="b">
        <v>0</v>
      </c>
      <c r="H1920" s="112" t="b">
        <v>0</v>
      </c>
      <c r="I1920" s="112" t="b">
        <v>0</v>
      </c>
      <c r="J1920" s="112" t="b">
        <v>0</v>
      </c>
      <c r="K1920" s="112" t="b">
        <v>0</v>
      </c>
      <c r="L1920" s="112" t="b">
        <v>0</v>
      </c>
    </row>
    <row r="1921" spans="1:12" ht="15">
      <c r="A1921" s="112" t="s">
        <v>2761</v>
      </c>
      <c r="B1921" s="112" t="s">
        <v>2762</v>
      </c>
      <c r="C1921" s="112">
        <v>2</v>
      </c>
      <c r="D1921" s="114">
        <v>0.0028022690358881124</v>
      </c>
      <c r="E1921" s="114">
        <v>2.244414577515098</v>
      </c>
      <c r="F1921" s="112" t="s">
        <v>2055</v>
      </c>
      <c r="G1921" s="112" t="b">
        <v>0</v>
      </c>
      <c r="H1921" s="112" t="b">
        <v>0</v>
      </c>
      <c r="I1921" s="112" t="b">
        <v>0</v>
      </c>
      <c r="J1921" s="112" t="b">
        <v>0</v>
      </c>
      <c r="K1921" s="112" t="b">
        <v>0</v>
      </c>
      <c r="L1921" s="112" t="b">
        <v>0</v>
      </c>
    </row>
    <row r="1922" spans="1:12" ht="15">
      <c r="A1922" s="112" t="s">
        <v>2763</v>
      </c>
      <c r="B1922" s="112" t="s">
        <v>2203</v>
      </c>
      <c r="C1922" s="112">
        <v>2</v>
      </c>
      <c r="D1922" s="114">
        <v>0.0028022690358881124</v>
      </c>
      <c r="E1922" s="114">
        <v>2.119475840906798</v>
      </c>
      <c r="F1922" s="112" t="s">
        <v>2055</v>
      </c>
      <c r="G1922" s="112" t="b">
        <v>0</v>
      </c>
      <c r="H1922" s="112" t="b">
        <v>0</v>
      </c>
      <c r="I1922" s="112" t="b">
        <v>0</v>
      </c>
      <c r="J1922" s="112" t="b">
        <v>0</v>
      </c>
      <c r="K1922" s="112" t="b">
        <v>0</v>
      </c>
      <c r="L1922" s="112" t="b">
        <v>0</v>
      </c>
    </row>
    <row r="1923" spans="1:12" ht="15">
      <c r="A1923" s="112" t="s">
        <v>2521</v>
      </c>
      <c r="B1923" s="112" t="s">
        <v>2352</v>
      </c>
      <c r="C1923" s="112">
        <v>2</v>
      </c>
      <c r="D1923" s="114">
        <v>0.0028022690358881124</v>
      </c>
      <c r="E1923" s="114">
        <v>2.59659709562646</v>
      </c>
      <c r="F1923" s="112" t="s">
        <v>2055</v>
      </c>
      <c r="G1923" s="112" t="b">
        <v>0</v>
      </c>
      <c r="H1923" s="112" t="b">
        <v>0</v>
      </c>
      <c r="I1923" s="112" t="b">
        <v>0</v>
      </c>
      <c r="J1923" s="112" t="b">
        <v>0</v>
      </c>
      <c r="K1923" s="112" t="b">
        <v>0</v>
      </c>
      <c r="L1923" s="112" t="b">
        <v>0</v>
      </c>
    </row>
    <row r="1924" spans="1:12" ht="15">
      <c r="A1924" s="112" t="s">
        <v>3104</v>
      </c>
      <c r="B1924" s="112" t="s">
        <v>3105</v>
      </c>
      <c r="C1924" s="112">
        <v>2</v>
      </c>
      <c r="D1924" s="114">
        <v>0.00353828369521325</v>
      </c>
      <c r="E1924" s="114">
        <v>2.59659709562646</v>
      </c>
      <c r="F1924" s="112" t="s">
        <v>2055</v>
      </c>
      <c r="G1924" s="112" t="b">
        <v>0</v>
      </c>
      <c r="H1924" s="112" t="b">
        <v>0</v>
      </c>
      <c r="I1924" s="112" t="b">
        <v>0</v>
      </c>
      <c r="J1924" s="112" t="b">
        <v>0</v>
      </c>
      <c r="K1924" s="112" t="b">
        <v>0</v>
      </c>
      <c r="L1924" s="112" t="b">
        <v>0</v>
      </c>
    </row>
    <row r="1925" spans="1:12" ht="15">
      <c r="A1925" s="112" t="s">
        <v>2293</v>
      </c>
      <c r="B1925" s="112" t="s">
        <v>2361</v>
      </c>
      <c r="C1925" s="112">
        <v>2</v>
      </c>
      <c r="D1925" s="114">
        <v>0.0028022690358881124</v>
      </c>
      <c r="E1925" s="114">
        <v>2.119475840906798</v>
      </c>
      <c r="F1925" s="112" t="s">
        <v>2055</v>
      </c>
      <c r="G1925" s="112" t="b">
        <v>0</v>
      </c>
      <c r="H1925" s="112" t="b">
        <v>0</v>
      </c>
      <c r="I1925" s="112" t="b">
        <v>0</v>
      </c>
      <c r="J1925" s="112" t="b">
        <v>0</v>
      </c>
      <c r="K1925" s="112" t="b">
        <v>0</v>
      </c>
      <c r="L1925" s="112" t="b">
        <v>0</v>
      </c>
    </row>
    <row r="1926" spans="1:12" ht="15">
      <c r="A1926" s="112" t="s">
        <v>2159</v>
      </c>
      <c r="B1926" s="112" t="s">
        <v>2096</v>
      </c>
      <c r="C1926" s="112">
        <v>2</v>
      </c>
      <c r="D1926" s="114">
        <v>0.0028022690358881124</v>
      </c>
      <c r="E1926" s="114">
        <v>1.420505836570779</v>
      </c>
      <c r="F1926" s="112" t="s">
        <v>2055</v>
      </c>
      <c r="G1926" s="112" t="b">
        <v>0</v>
      </c>
      <c r="H1926" s="112" t="b">
        <v>0</v>
      </c>
      <c r="I1926" s="112" t="b">
        <v>0</v>
      </c>
      <c r="J1926" s="112" t="b">
        <v>0</v>
      </c>
      <c r="K1926" s="112" t="b">
        <v>0</v>
      </c>
      <c r="L1926" s="112" t="b">
        <v>0</v>
      </c>
    </row>
    <row r="1927" spans="1:12" ht="15">
      <c r="A1927" s="112" t="s">
        <v>2094</v>
      </c>
      <c r="B1927" s="112" t="s">
        <v>2257</v>
      </c>
      <c r="C1927" s="112">
        <v>2</v>
      </c>
      <c r="D1927" s="114">
        <v>0.0028022690358881124</v>
      </c>
      <c r="E1927" s="114">
        <v>1.4910869108564861</v>
      </c>
      <c r="F1927" s="112" t="s">
        <v>2055</v>
      </c>
      <c r="G1927" s="112" t="b">
        <v>0</v>
      </c>
      <c r="H1927" s="112" t="b">
        <v>0</v>
      </c>
      <c r="I1927" s="112" t="b">
        <v>0</v>
      </c>
      <c r="J1927" s="112" t="b">
        <v>0</v>
      </c>
      <c r="K1927" s="112" t="b">
        <v>0</v>
      </c>
      <c r="L1927" s="112" t="b">
        <v>0</v>
      </c>
    </row>
    <row r="1928" spans="1:12" ht="15">
      <c r="A1928" s="112" t="s">
        <v>2221</v>
      </c>
      <c r="B1928" s="112" t="s">
        <v>2297</v>
      </c>
      <c r="C1928" s="112">
        <v>2</v>
      </c>
      <c r="D1928" s="114">
        <v>0.00353828369521325</v>
      </c>
      <c r="E1928" s="114">
        <v>1.385743730311567</v>
      </c>
      <c r="F1928" s="112" t="s">
        <v>2055</v>
      </c>
      <c r="G1928" s="112" t="b">
        <v>0</v>
      </c>
      <c r="H1928" s="112" t="b">
        <v>0</v>
      </c>
      <c r="I1928" s="112" t="b">
        <v>0</v>
      </c>
      <c r="J1928" s="112" t="b">
        <v>0</v>
      </c>
      <c r="K1928" s="112" t="b">
        <v>0</v>
      </c>
      <c r="L1928" s="112" t="b">
        <v>0</v>
      </c>
    </row>
    <row r="1929" spans="1:12" ht="15">
      <c r="A1929" s="112" t="s">
        <v>2221</v>
      </c>
      <c r="B1929" s="112" t="s">
        <v>2221</v>
      </c>
      <c r="C1929" s="112">
        <v>2</v>
      </c>
      <c r="D1929" s="114">
        <v>0.00353828369521325</v>
      </c>
      <c r="E1929" s="114">
        <v>1.1816237476556422</v>
      </c>
      <c r="F1929" s="112" t="s">
        <v>2055</v>
      </c>
      <c r="G1929" s="112" t="b">
        <v>0</v>
      </c>
      <c r="H1929" s="112" t="b">
        <v>0</v>
      </c>
      <c r="I1929" s="112" t="b">
        <v>0</v>
      </c>
      <c r="J1929" s="112" t="b">
        <v>0</v>
      </c>
      <c r="K1929" s="112" t="b">
        <v>0</v>
      </c>
      <c r="L1929" s="112" t="b">
        <v>0</v>
      </c>
    </row>
    <row r="1930" spans="1:12" ht="15">
      <c r="A1930" s="112" t="s">
        <v>2083</v>
      </c>
      <c r="B1930" s="112" t="s">
        <v>2083</v>
      </c>
      <c r="C1930" s="112">
        <v>2</v>
      </c>
      <c r="D1930" s="114">
        <v>0.0028022690358881124</v>
      </c>
      <c r="E1930" s="114">
        <v>0.38574373031156695</v>
      </c>
      <c r="F1930" s="112" t="s">
        <v>2055</v>
      </c>
      <c r="G1930" s="112" t="b">
        <v>0</v>
      </c>
      <c r="H1930" s="112" t="b">
        <v>0</v>
      </c>
      <c r="I1930" s="112" t="b">
        <v>0</v>
      </c>
      <c r="J1930" s="112" t="b">
        <v>0</v>
      </c>
      <c r="K1930" s="112" t="b">
        <v>0</v>
      </c>
      <c r="L1930" s="112" t="b">
        <v>0</v>
      </c>
    </row>
    <row r="1931" spans="1:12" ht="15">
      <c r="A1931" s="112" t="s">
        <v>2096</v>
      </c>
      <c r="B1931" s="112" t="s">
        <v>2293</v>
      </c>
      <c r="C1931" s="112">
        <v>2</v>
      </c>
      <c r="D1931" s="114">
        <v>0.0028022690358881124</v>
      </c>
      <c r="E1931" s="114">
        <v>1.5174158495788355</v>
      </c>
      <c r="F1931" s="112" t="s">
        <v>2055</v>
      </c>
      <c r="G1931" s="112" t="b">
        <v>0</v>
      </c>
      <c r="H1931" s="112" t="b">
        <v>0</v>
      </c>
      <c r="I1931" s="112" t="b">
        <v>0</v>
      </c>
      <c r="J1931" s="112" t="b">
        <v>0</v>
      </c>
      <c r="K1931" s="112" t="b">
        <v>0</v>
      </c>
      <c r="L1931" s="112" t="b">
        <v>0</v>
      </c>
    </row>
    <row r="1932" spans="1:12" ht="15">
      <c r="A1932" s="112" t="s">
        <v>3084</v>
      </c>
      <c r="B1932" s="112" t="s">
        <v>2081</v>
      </c>
      <c r="C1932" s="112">
        <v>2</v>
      </c>
      <c r="D1932" s="114">
        <v>0.00353828369521325</v>
      </c>
      <c r="E1932" s="114">
        <v>1.8976270912904414</v>
      </c>
      <c r="F1932" s="112" t="s">
        <v>2055</v>
      </c>
      <c r="G1932" s="112" t="b">
        <v>0</v>
      </c>
      <c r="H1932" s="112" t="b">
        <v>0</v>
      </c>
      <c r="I1932" s="112" t="b">
        <v>0</v>
      </c>
      <c r="J1932" s="112" t="b">
        <v>0</v>
      </c>
      <c r="K1932" s="112" t="b">
        <v>0</v>
      </c>
      <c r="L1932" s="112" t="b">
        <v>0</v>
      </c>
    </row>
    <row r="1933" spans="1:12" ht="15">
      <c r="A1933" s="112" t="s">
        <v>2412</v>
      </c>
      <c r="B1933" s="112" t="s">
        <v>2362</v>
      </c>
      <c r="C1933" s="112">
        <v>2</v>
      </c>
      <c r="D1933" s="114">
        <v>0.0028022690358881124</v>
      </c>
      <c r="E1933" s="114">
        <v>2.59659709562646</v>
      </c>
      <c r="F1933" s="112" t="s">
        <v>2055</v>
      </c>
      <c r="G1933" s="112" t="b">
        <v>0</v>
      </c>
      <c r="H1933" s="112" t="b">
        <v>0</v>
      </c>
      <c r="I1933" s="112" t="b">
        <v>0</v>
      </c>
      <c r="J1933" s="112" t="b">
        <v>0</v>
      </c>
      <c r="K1933" s="112" t="b">
        <v>0</v>
      </c>
      <c r="L1933" s="112" t="b">
        <v>0</v>
      </c>
    </row>
    <row r="1934" spans="1:12" ht="15">
      <c r="A1934" s="112" t="s">
        <v>2083</v>
      </c>
      <c r="B1934" s="112" t="s">
        <v>2094</v>
      </c>
      <c r="C1934" s="112">
        <v>2</v>
      </c>
      <c r="D1934" s="114">
        <v>0.0028022690358881124</v>
      </c>
      <c r="E1934" s="114">
        <v>0.5795637563276799</v>
      </c>
      <c r="F1934" s="112" t="s">
        <v>2055</v>
      </c>
      <c r="G1934" s="112" t="b">
        <v>0</v>
      </c>
      <c r="H1934" s="112" t="b">
        <v>0</v>
      </c>
      <c r="I1934" s="112" t="b">
        <v>0</v>
      </c>
      <c r="J1934" s="112" t="b">
        <v>0</v>
      </c>
      <c r="K1934" s="112" t="b">
        <v>0</v>
      </c>
      <c r="L1934" s="112" t="b">
        <v>0</v>
      </c>
    </row>
    <row r="1935" spans="1:12" ht="15">
      <c r="A1935" s="112" t="s">
        <v>3067</v>
      </c>
      <c r="B1935" s="112" t="s">
        <v>3068</v>
      </c>
      <c r="C1935" s="112">
        <v>2</v>
      </c>
      <c r="D1935" s="114">
        <v>0.0028022690358881124</v>
      </c>
      <c r="E1935" s="114">
        <v>2.59659709562646</v>
      </c>
      <c r="F1935" s="112" t="s">
        <v>2055</v>
      </c>
      <c r="G1935" s="112" t="b">
        <v>0</v>
      </c>
      <c r="H1935" s="112" t="b">
        <v>0</v>
      </c>
      <c r="I1935" s="112" t="b">
        <v>0</v>
      </c>
      <c r="J1935" s="112" t="b">
        <v>0</v>
      </c>
      <c r="K1935" s="112" t="b">
        <v>0</v>
      </c>
      <c r="L1935" s="112" t="b">
        <v>0</v>
      </c>
    </row>
    <row r="1936" spans="1:12" ht="15">
      <c r="A1936" s="112" t="s">
        <v>2089</v>
      </c>
      <c r="B1936" s="112" t="s">
        <v>2175</v>
      </c>
      <c r="C1936" s="112">
        <v>2</v>
      </c>
      <c r="D1936" s="114">
        <v>0.0028022690358881124</v>
      </c>
      <c r="E1936" s="114">
        <v>1.4427822312819312</v>
      </c>
      <c r="F1936" s="112" t="s">
        <v>2055</v>
      </c>
      <c r="G1936" s="112" t="b">
        <v>0</v>
      </c>
      <c r="H1936" s="112" t="b">
        <v>0</v>
      </c>
      <c r="I1936" s="112" t="b">
        <v>0</v>
      </c>
      <c r="J1936" s="112" t="b">
        <v>0</v>
      </c>
      <c r="K1936" s="112" t="b">
        <v>0</v>
      </c>
      <c r="L1936" s="112" t="b">
        <v>0</v>
      </c>
    </row>
    <row r="1937" spans="1:12" ht="15">
      <c r="A1937" s="112" t="s">
        <v>2090</v>
      </c>
      <c r="B1937" s="112" t="s">
        <v>2086</v>
      </c>
      <c r="C1937" s="112">
        <v>2</v>
      </c>
      <c r="D1937" s="114">
        <v>0.0028022690358881124</v>
      </c>
      <c r="E1937" s="114">
        <v>0.6908012152585917</v>
      </c>
      <c r="F1937" s="112" t="s">
        <v>2055</v>
      </c>
      <c r="G1937" s="112" t="b">
        <v>0</v>
      </c>
      <c r="H1937" s="112" t="b">
        <v>0</v>
      </c>
      <c r="I1937" s="112" t="b">
        <v>0</v>
      </c>
      <c r="J1937" s="112" t="b">
        <v>0</v>
      </c>
      <c r="K1937" s="112" t="b">
        <v>0</v>
      </c>
      <c r="L1937" s="112" t="b">
        <v>0</v>
      </c>
    </row>
    <row r="1938" spans="1:12" ht="15">
      <c r="A1938" s="112" t="s">
        <v>2592</v>
      </c>
      <c r="B1938" s="112" t="s">
        <v>2081</v>
      </c>
      <c r="C1938" s="112">
        <v>2</v>
      </c>
      <c r="D1938" s="114">
        <v>0.00353828369521325</v>
      </c>
      <c r="E1938" s="114">
        <v>1.5965970956264601</v>
      </c>
      <c r="F1938" s="112" t="s">
        <v>2055</v>
      </c>
      <c r="G1938" s="112" t="b">
        <v>0</v>
      </c>
      <c r="H1938" s="112" t="b">
        <v>0</v>
      </c>
      <c r="I1938" s="112" t="b">
        <v>0</v>
      </c>
      <c r="J1938" s="112" t="b">
        <v>0</v>
      </c>
      <c r="K1938" s="112" t="b">
        <v>0</v>
      </c>
      <c r="L1938" s="112" t="b">
        <v>0</v>
      </c>
    </row>
    <row r="1939" spans="1:12" ht="15">
      <c r="A1939" s="112" t="s">
        <v>2081</v>
      </c>
      <c r="B1939" s="112" t="s">
        <v>2079</v>
      </c>
      <c r="C1939" s="112">
        <v>2</v>
      </c>
      <c r="D1939" s="114">
        <v>0.00353828369521325</v>
      </c>
      <c r="E1939" s="114">
        <v>1.4996870826184039</v>
      </c>
      <c r="F1939" s="112" t="s">
        <v>2055</v>
      </c>
      <c r="G1939" s="112" t="b">
        <v>0</v>
      </c>
      <c r="H1939" s="112" t="b">
        <v>0</v>
      </c>
      <c r="I1939" s="112" t="b">
        <v>0</v>
      </c>
      <c r="J1939" s="112" t="b">
        <v>0</v>
      </c>
      <c r="K1939" s="112" t="b">
        <v>0</v>
      </c>
      <c r="L1939" s="112" t="b">
        <v>0</v>
      </c>
    </row>
    <row r="1940" spans="1:12" ht="15">
      <c r="A1940" s="112" t="s">
        <v>2374</v>
      </c>
      <c r="B1940" s="112" t="s">
        <v>2089</v>
      </c>
      <c r="C1940" s="112">
        <v>2</v>
      </c>
      <c r="D1940" s="114">
        <v>0.00353828369521325</v>
      </c>
      <c r="E1940" s="114">
        <v>1.5552044104682352</v>
      </c>
      <c r="F1940" s="112" t="s">
        <v>2055</v>
      </c>
      <c r="G1940" s="112" t="b">
        <v>0</v>
      </c>
      <c r="H1940" s="112" t="b">
        <v>0</v>
      </c>
      <c r="I1940" s="112" t="b">
        <v>0</v>
      </c>
      <c r="J1940" s="112" t="b">
        <v>0</v>
      </c>
      <c r="K1940" s="112" t="b">
        <v>0</v>
      </c>
      <c r="L1940" s="112" t="b">
        <v>0</v>
      </c>
    </row>
    <row r="1941" spans="1:12" ht="15">
      <c r="A1941" s="112" t="s">
        <v>2372</v>
      </c>
      <c r="B1941" s="112" t="s">
        <v>3071</v>
      </c>
      <c r="C1941" s="112">
        <v>2</v>
      </c>
      <c r="D1941" s="114">
        <v>0.00353828369521325</v>
      </c>
      <c r="E1941" s="114">
        <v>2.295567099962479</v>
      </c>
      <c r="F1941" s="112" t="s">
        <v>2055</v>
      </c>
      <c r="G1941" s="112" t="b">
        <v>0</v>
      </c>
      <c r="H1941" s="112" t="b">
        <v>0</v>
      </c>
      <c r="I1941" s="112" t="b">
        <v>0</v>
      </c>
      <c r="J1941" s="112" t="b">
        <v>0</v>
      </c>
      <c r="K1941" s="112" t="b">
        <v>0</v>
      </c>
      <c r="L1941" s="112" t="b">
        <v>0</v>
      </c>
    </row>
    <row r="1942" spans="1:12" ht="15">
      <c r="A1942" s="112" t="s">
        <v>2221</v>
      </c>
      <c r="B1942" s="112" t="s">
        <v>2089</v>
      </c>
      <c r="C1942" s="112">
        <v>2</v>
      </c>
      <c r="D1942" s="114">
        <v>0.00353828369521325</v>
      </c>
      <c r="E1942" s="114">
        <v>0.7422910538253796</v>
      </c>
      <c r="F1942" s="112" t="s">
        <v>2055</v>
      </c>
      <c r="G1942" s="112" t="b">
        <v>0</v>
      </c>
      <c r="H1942" s="112" t="b">
        <v>0</v>
      </c>
      <c r="I1942" s="112" t="b">
        <v>0</v>
      </c>
      <c r="J1942" s="112" t="b">
        <v>0</v>
      </c>
      <c r="K1942" s="112" t="b">
        <v>0</v>
      </c>
      <c r="L1942" s="112" t="b">
        <v>0</v>
      </c>
    </row>
    <row r="1943" spans="1:12" ht="15">
      <c r="A1943" s="112" t="s">
        <v>2219</v>
      </c>
      <c r="B1943" s="112" t="s">
        <v>2083</v>
      </c>
      <c r="C1943" s="112">
        <v>2</v>
      </c>
      <c r="D1943" s="114">
        <v>0.00353828369521325</v>
      </c>
      <c r="E1943" s="114">
        <v>1.1017470739463662</v>
      </c>
      <c r="F1943" s="112" t="s">
        <v>2055</v>
      </c>
      <c r="G1943" s="112" t="b">
        <v>0</v>
      </c>
      <c r="H1943" s="112" t="b">
        <v>0</v>
      </c>
      <c r="I1943" s="112" t="b">
        <v>0</v>
      </c>
      <c r="J1943" s="112" t="b">
        <v>0</v>
      </c>
      <c r="K1943" s="112" t="b">
        <v>0</v>
      </c>
      <c r="L1943" s="112" t="b">
        <v>0</v>
      </c>
    </row>
    <row r="1944" spans="1:12" ht="15">
      <c r="A1944" s="112" t="s">
        <v>3066</v>
      </c>
      <c r="B1944" s="112" t="s">
        <v>2279</v>
      </c>
      <c r="C1944" s="112">
        <v>2</v>
      </c>
      <c r="D1944" s="114">
        <v>0.00353828369521325</v>
      </c>
      <c r="E1944" s="114">
        <v>2.59659709562646</v>
      </c>
      <c r="F1944" s="112" t="s">
        <v>2055</v>
      </c>
      <c r="G1944" s="112" t="b">
        <v>0</v>
      </c>
      <c r="H1944" s="112" t="b">
        <v>0</v>
      </c>
      <c r="I1944" s="112" t="b">
        <v>0</v>
      </c>
      <c r="J1944" s="112" t="b">
        <v>0</v>
      </c>
      <c r="K1944" s="112" t="b">
        <v>0</v>
      </c>
      <c r="L1944" s="112" t="b">
        <v>0</v>
      </c>
    </row>
    <row r="1945" spans="1:12" ht="15">
      <c r="A1945" s="112" t="s">
        <v>2945</v>
      </c>
      <c r="B1945" s="112" t="s">
        <v>2082</v>
      </c>
      <c r="C1945" s="112">
        <v>2</v>
      </c>
      <c r="D1945" s="114">
        <v>0.00353828369521325</v>
      </c>
      <c r="E1945" s="114">
        <v>1.6671781699121675</v>
      </c>
      <c r="F1945" s="112" t="s">
        <v>2055</v>
      </c>
      <c r="G1945" s="112" t="b">
        <v>1</v>
      </c>
      <c r="H1945" s="112" t="b">
        <v>0</v>
      </c>
      <c r="I1945" s="112" t="b">
        <v>0</v>
      </c>
      <c r="J1945" s="112" t="b">
        <v>0</v>
      </c>
      <c r="K1945" s="112" t="b">
        <v>0</v>
      </c>
      <c r="L1945" s="112" t="b">
        <v>0</v>
      </c>
    </row>
    <row r="1946" spans="1:12" ht="15">
      <c r="A1946" s="112" t="s">
        <v>2082</v>
      </c>
      <c r="B1946" s="112" t="s">
        <v>2442</v>
      </c>
      <c r="C1946" s="112">
        <v>2</v>
      </c>
      <c r="D1946" s="114">
        <v>0.00353828369521325</v>
      </c>
      <c r="E1946" s="114">
        <v>1.6671781699121675</v>
      </c>
      <c r="F1946" s="112" t="s">
        <v>2055</v>
      </c>
      <c r="G1946" s="112" t="b">
        <v>0</v>
      </c>
      <c r="H1946" s="112" t="b">
        <v>0</v>
      </c>
      <c r="I1946" s="112" t="b">
        <v>0</v>
      </c>
      <c r="J1946" s="112" t="b">
        <v>0</v>
      </c>
      <c r="K1946" s="112" t="b">
        <v>0</v>
      </c>
      <c r="L1946" s="112" t="b">
        <v>0</v>
      </c>
    </row>
    <row r="1947" spans="1:12" ht="15">
      <c r="A1947" s="112" t="s">
        <v>2270</v>
      </c>
      <c r="B1947" s="112" t="s">
        <v>2082</v>
      </c>
      <c r="C1947" s="112">
        <v>2</v>
      </c>
      <c r="D1947" s="114">
        <v>0.00353828369521325</v>
      </c>
      <c r="E1947" s="114">
        <v>1.1231101255618918</v>
      </c>
      <c r="F1947" s="112" t="s">
        <v>2055</v>
      </c>
      <c r="G1947" s="112" t="b">
        <v>0</v>
      </c>
      <c r="H1947" s="112" t="b">
        <v>0</v>
      </c>
      <c r="I1947" s="112" t="b">
        <v>0</v>
      </c>
      <c r="J1947" s="112" t="b">
        <v>0</v>
      </c>
      <c r="K1947" s="112" t="b">
        <v>0</v>
      </c>
      <c r="L1947" s="112" t="b">
        <v>0</v>
      </c>
    </row>
    <row r="1948" spans="1:12" ht="15">
      <c r="A1948" s="112" t="s">
        <v>2082</v>
      </c>
      <c r="B1948" s="112" t="s">
        <v>2462</v>
      </c>
      <c r="C1948" s="112">
        <v>2</v>
      </c>
      <c r="D1948" s="114">
        <v>0.00353828369521325</v>
      </c>
      <c r="E1948" s="114">
        <v>1.6671781699121675</v>
      </c>
      <c r="F1948" s="112" t="s">
        <v>2055</v>
      </c>
      <c r="G1948" s="112" t="b">
        <v>0</v>
      </c>
      <c r="H1948" s="112" t="b">
        <v>0</v>
      </c>
      <c r="I1948" s="112" t="b">
        <v>0</v>
      </c>
      <c r="J1948" s="112" t="b">
        <v>0</v>
      </c>
      <c r="K1948" s="112" t="b">
        <v>0</v>
      </c>
      <c r="L1948" s="112" t="b">
        <v>0</v>
      </c>
    </row>
    <row r="1949" spans="1:12" ht="15">
      <c r="A1949" s="112" t="s">
        <v>2080</v>
      </c>
      <c r="B1949" s="112" t="s">
        <v>2082</v>
      </c>
      <c r="C1949" s="112">
        <v>2</v>
      </c>
      <c r="D1949" s="114">
        <v>0.00353828369521325</v>
      </c>
      <c r="E1949" s="114">
        <v>0.6064803295585558</v>
      </c>
      <c r="F1949" s="112" t="s">
        <v>2055</v>
      </c>
      <c r="G1949" s="112" t="b">
        <v>0</v>
      </c>
      <c r="H1949" s="112" t="b">
        <v>0</v>
      </c>
      <c r="I1949" s="112" t="b">
        <v>0</v>
      </c>
      <c r="J1949" s="112" t="b">
        <v>0</v>
      </c>
      <c r="K1949" s="112" t="b">
        <v>0</v>
      </c>
      <c r="L1949" s="112" t="b">
        <v>0</v>
      </c>
    </row>
    <row r="1950" spans="1:12" ht="15">
      <c r="A1950" s="112" t="s">
        <v>2686</v>
      </c>
      <c r="B1950" s="112" t="s">
        <v>2687</v>
      </c>
      <c r="C1950" s="112">
        <v>2</v>
      </c>
      <c r="D1950" s="114">
        <v>0.00353828369521325</v>
      </c>
      <c r="E1950" s="114">
        <v>2.59659709562646</v>
      </c>
      <c r="F1950" s="112" t="s">
        <v>2055</v>
      </c>
      <c r="G1950" s="112" t="b">
        <v>0</v>
      </c>
      <c r="H1950" s="112" t="b">
        <v>0</v>
      </c>
      <c r="I1950" s="112" t="b">
        <v>0</v>
      </c>
      <c r="J1950" s="112" t="b">
        <v>0</v>
      </c>
      <c r="K1950" s="112" t="b">
        <v>0</v>
      </c>
      <c r="L1950" s="112" t="b">
        <v>0</v>
      </c>
    </row>
    <row r="1951" spans="1:12" ht="15">
      <c r="A1951" s="112" t="s">
        <v>2687</v>
      </c>
      <c r="B1951" s="112" t="s">
        <v>2930</v>
      </c>
      <c r="C1951" s="112">
        <v>2</v>
      </c>
      <c r="D1951" s="114">
        <v>0.00353828369521325</v>
      </c>
      <c r="E1951" s="114">
        <v>2.59659709562646</v>
      </c>
      <c r="F1951" s="112" t="s">
        <v>2055</v>
      </c>
      <c r="G1951" s="112" t="b">
        <v>0</v>
      </c>
      <c r="H1951" s="112" t="b">
        <v>0</v>
      </c>
      <c r="I1951" s="112" t="b">
        <v>0</v>
      </c>
      <c r="J1951" s="112" t="b">
        <v>0</v>
      </c>
      <c r="K1951" s="112" t="b">
        <v>0</v>
      </c>
      <c r="L1951" s="112" t="b">
        <v>0</v>
      </c>
    </row>
    <row r="1952" spans="1:12" ht="15">
      <c r="A1952" s="112" t="s">
        <v>2080</v>
      </c>
      <c r="B1952" s="112" t="s">
        <v>2083</v>
      </c>
      <c r="C1952" s="112">
        <v>10</v>
      </c>
      <c r="D1952" s="114">
        <v>0.009143492631997109</v>
      </c>
      <c r="E1952" s="114">
        <v>0.8517130809271176</v>
      </c>
      <c r="F1952" s="112" t="s">
        <v>2056</v>
      </c>
      <c r="G1952" s="112" t="b">
        <v>0</v>
      </c>
      <c r="H1952" s="112" t="b">
        <v>0</v>
      </c>
      <c r="I1952" s="112" t="b">
        <v>0</v>
      </c>
      <c r="J1952" s="112" t="b">
        <v>0</v>
      </c>
      <c r="K1952" s="112" t="b">
        <v>0</v>
      </c>
      <c r="L1952" s="112" t="b">
        <v>0</v>
      </c>
    </row>
    <row r="1953" spans="1:12" ht="15">
      <c r="A1953" s="112" t="s">
        <v>2080</v>
      </c>
      <c r="B1953" s="112" t="s">
        <v>2127</v>
      </c>
      <c r="C1953" s="112">
        <v>8</v>
      </c>
      <c r="D1953" s="114">
        <v>0.005855338068861228</v>
      </c>
      <c r="E1953" s="114">
        <v>1.3702270208050051</v>
      </c>
      <c r="F1953" s="112" t="s">
        <v>2056</v>
      </c>
      <c r="G1953" s="112" t="b">
        <v>0</v>
      </c>
      <c r="H1953" s="112" t="b">
        <v>0</v>
      </c>
      <c r="I1953" s="112" t="b">
        <v>0</v>
      </c>
      <c r="J1953" s="112" t="b">
        <v>0</v>
      </c>
      <c r="K1953" s="112" t="b">
        <v>0</v>
      </c>
      <c r="L1953" s="112" t="b">
        <v>0</v>
      </c>
    </row>
    <row r="1954" spans="1:12" ht="15">
      <c r="A1954" s="112" t="s">
        <v>2096</v>
      </c>
      <c r="B1954" s="112" t="s">
        <v>2163</v>
      </c>
      <c r="C1954" s="112">
        <v>8</v>
      </c>
      <c r="D1954" s="114">
        <v>0.007314794105597688</v>
      </c>
      <c r="E1954" s="114">
        <v>1.1685816572769356</v>
      </c>
      <c r="F1954" s="112" t="s">
        <v>2056</v>
      </c>
      <c r="G1954" s="112" t="b">
        <v>0</v>
      </c>
      <c r="H1954" s="112" t="b">
        <v>0</v>
      </c>
      <c r="I1954" s="112" t="b">
        <v>0</v>
      </c>
      <c r="J1954" s="112" t="b">
        <v>0</v>
      </c>
      <c r="K1954" s="112" t="b">
        <v>1</v>
      </c>
      <c r="L1954" s="112" t="b">
        <v>0</v>
      </c>
    </row>
    <row r="1955" spans="1:12" ht="15">
      <c r="A1955" s="112" t="s">
        <v>2089</v>
      </c>
      <c r="B1955" s="112" t="s">
        <v>2089</v>
      </c>
      <c r="C1955" s="112">
        <v>8</v>
      </c>
      <c r="D1955" s="114">
        <v>0.009530511954450186</v>
      </c>
      <c r="E1955" s="114">
        <v>0.5769870996271383</v>
      </c>
      <c r="F1955" s="112" t="s">
        <v>2056</v>
      </c>
      <c r="G1955" s="112" t="b">
        <v>0</v>
      </c>
      <c r="H1955" s="112" t="b">
        <v>0</v>
      </c>
      <c r="I1955" s="112" t="b">
        <v>0</v>
      </c>
      <c r="J1955" s="112" t="b">
        <v>0</v>
      </c>
      <c r="K1955" s="112" t="b">
        <v>0</v>
      </c>
      <c r="L1955" s="112" t="b">
        <v>0</v>
      </c>
    </row>
    <row r="1956" spans="1:12" ht="15">
      <c r="A1956" s="112" t="s">
        <v>2080</v>
      </c>
      <c r="B1956" s="112" t="s">
        <v>2139</v>
      </c>
      <c r="C1956" s="112">
        <v>7</v>
      </c>
      <c r="D1956" s="114">
        <v>0.005708473903155314</v>
      </c>
      <c r="E1956" s="114">
        <v>1.3702270208050051</v>
      </c>
      <c r="F1956" s="112" t="s">
        <v>2056</v>
      </c>
      <c r="G1956" s="112" t="b">
        <v>0</v>
      </c>
      <c r="H1956" s="112" t="b">
        <v>0</v>
      </c>
      <c r="I1956" s="112" t="b">
        <v>0</v>
      </c>
      <c r="J1956" s="112" t="b">
        <v>0</v>
      </c>
      <c r="K1956" s="112" t="b">
        <v>0</v>
      </c>
      <c r="L1956" s="112" t="b">
        <v>0</v>
      </c>
    </row>
    <row r="1957" spans="1:12" ht="15">
      <c r="A1957" s="112" t="s">
        <v>2168</v>
      </c>
      <c r="B1957" s="112" t="s">
        <v>2089</v>
      </c>
      <c r="C1957" s="112">
        <v>6</v>
      </c>
      <c r="D1957" s="114">
        <v>0.008466919614194802</v>
      </c>
      <c r="E1957" s="114">
        <v>0.974927108299176</v>
      </c>
      <c r="F1957" s="112" t="s">
        <v>2056</v>
      </c>
      <c r="G1957" s="112" t="b">
        <v>0</v>
      </c>
      <c r="H1957" s="112" t="b">
        <v>1</v>
      </c>
      <c r="I1957" s="112" t="b">
        <v>0</v>
      </c>
      <c r="J1957" s="112" t="b">
        <v>0</v>
      </c>
      <c r="K1957" s="112" t="b">
        <v>0</v>
      </c>
      <c r="L1957" s="112" t="b">
        <v>0</v>
      </c>
    </row>
    <row r="1958" spans="1:12" ht="15">
      <c r="A1958" s="112" t="s">
        <v>2483</v>
      </c>
      <c r="B1958" s="112" t="s">
        <v>2425</v>
      </c>
      <c r="C1958" s="112">
        <v>5</v>
      </c>
      <c r="D1958" s="114">
        <v>0.00893485495729705</v>
      </c>
      <c r="E1958" s="114">
        <v>2.110589710299249</v>
      </c>
      <c r="F1958" s="112" t="s">
        <v>2056</v>
      </c>
      <c r="G1958" s="112" t="b">
        <v>0</v>
      </c>
      <c r="H1958" s="112" t="b">
        <v>0</v>
      </c>
      <c r="I1958" s="112" t="b">
        <v>0</v>
      </c>
      <c r="J1958" s="112" t="b">
        <v>0</v>
      </c>
      <c r="K1958" s="112" t="b">
        <v>0</v>
      </c>
      <c r="L1958" s="112" t="b">
        <v>0</v>
      </c>
    </row>
    <row r="1959" spans="1:12" ht="15">
      <c r="A1959" s="112" t="s">
        <v>2080</v>
      </c>
      <c r="B1959" s="112" t="s">
        <v>2117</v>
      </c>
      <c r="C1959" s="112">
        <v>4</v>
      </c>
      <c r="D1959" s="114">
        <v>0.0041413421864220975</v>
      </c>
      <c r="E1959" s="114">
        <v>1.2733170077969487</v>
      </c>
      <c r="F1959" s="112" t="s">
        <v>2056</v>
      </c>
      <c r="G1959" s="112" t="b">
        <v>0</v>
      </c>
      <c r="H1959" s="112" t="b">
        <v>0</v>
      </c>
      <c r="I1959" s="112" t="b">
        <v>0</v>
      </c>
      <c r="J1959" s="112" t="b">
        <v>0</v>
      </c>
      <c r="K1959" s="112" t="b">
        <v>0</v>
      </c>
      <c r="L1959" s="112" t="b">
        <v>0</v>
      </c>
    </row>
    <row r="1960" spans="1:12" ht="15">
      <c r="A1960" s="112" t="s">
        <v>2089</v>
      </c>
      <c r="B1960" s="112" t="s">
        <v>2375</v>
      </c>
      <c r="C1960" s="112">
        <v>4</v>
      </c>
      <c r="D1960" s="114">
        <v>0.0041413421864220975</v>
      </c>
      <c r="E1960" s="114">
        <v>1.189770956346874</v>
      </c>
      <c r="F1960" s="112" t="s">
        <v>2056</v>
      </c>
      <c r="G1960" s="112" t="b">
        <v>0</v>
      </c>
      <c r="H1960" s="112" t="b">
        <v>0</v>
      </c>
      <c r="I1960" s="112" t="b">
        <v>0</v>
      </c>
      <c r="J1960" s="112" t="b">
        <v>0</v>
      </c>
      <c r="K1960" s="112" t="b">
        <v>0</v>
      </c>
      <c r="L1960" s="112" t="b">
        <v>0</v>
      </c>
    </row>
    <row r="1961" spans="1:12" ht="15">
      <c r="A1961" s="112" t="s">
        <v>2083</v>
      </c>
      <c r="B1961" s="112" t="s">
        <v>2080</v>
      </c>
      <c r="C1961" s="112">
        <v>4</v>
      </c>
      <c r="D1961" s="114">
        <v>0.0041413421864220975</v>
      </c>
      <c r="E1961" s="114">
        <v>0.46961165294091695</v>
      </c>
      <c r="F1961" s="112" t="s">
        <v>2056</v>
      </c>
      <c r="G1961" s="112" t="b">
        <v>0</v>
      </c>
      <c r="H1961" s="112" t="b">
        <v>0</v>
      </c>
      <c r="I1961" s="112" t="b">
        <v>0</v>
      </c>
      <c r="J1961" s="112" t="b">
        <v>0</v>
      </c>
      <c r="K1961" s="112" t="b">
        <v>0</v>
      </c>
      <c r="L1961" s="112" t="b">
        <v>0</v>
      </c>
    </row>
    <row r="1962" spans="1:12" ht="15">
      <c r="A1962" s="112" t="s">
        <v>2083</v>
      </c>
      <c r="B1962" s="112" t="s">
        <v>2096</v>
      </c>
      <c r="C1962" s="112">
        <v>4</v>
      </c>
      <c r="D1962" s="114">
        <v>0.004765255977225093</v>
      </c>
      <c r="E1962" s="114">
        <v>0.42821896778269186</v>
      </c>
      <c r="F1962" s="112" t="s">
        <v>2056</v>
      </c>
      <c r="G1962" s="112" t="b">
        <v>0</v>
      </c>
      <c r="H1962" s="112" t="b">
        <v>0</v>
      </c>
      <c r="I1962" s="112" t="b">
        <v>0</v>
      </c>
      <c r="J1962" s="112" t="b">
        <v>0</v>
      </c>
      <c r="K1962" s="112" t="b">
        <v>0</v>
      </c>
      <c r="L1962" s="112" t="b">
        <v>0</v>
      </c>
    </row>
    <row r="1963" spans="1:12" ht="15">
      <c r="A1963" s="112" t="s">
        <v>2083</v>
      </c>
      <c r="B1963" s="112" t="s">
        <v>2083</v>
      </c>
      <c r="C1963" s="112">
        <v>4</v>
      </c>
      <c r="D1963" s="114">
        <v>0.004765255977225093</v>
      </c>
      <c r="E1963" s="114">
        <v>0.42821896778269186</v>
      </c>
      <c r="F1963" s="112" t="s">
        <v>2056</v>
      </c>
      <c r="G1963" s="112" t="b">
        <v>0</v>
      </c>
      <c r="H1963" s="112" t="b">
        <v>0</v>
      </c>
      <c r="I1963" s="112" t="b">
        <v>0</v>
      </c>
      <c r="J1963" s="112" t="b">
        <v>0</v>
      </c>
      <c r="K1963" s="112" t="b">
        <v>0</v>
      </c>
      <c r="L1963" s="112" t="b">
        <v>0</v>
      </c>
    </row>
    <row r="1964" spans="1:12" ht="15">
      <c r="A1964" s="112" t="s">
        <v>2084</v>
      </c>
      <c r="B1964" s="112" t="s">
        <v>2084</v>
      </c>
      <c r="C1964" s="112">
        <v>4</v>
      </c>
      <c r="D1964" s="114">
        <v>0.005644613076129869</v>
      </c>
      <c r="E1964" s="114">
        <v>1.6846209780269676</v>
      </c>
      <c r="F1964" s="112" t="s">
        <v>2056</v>
      </c>
      <c r="G1964" s="112" t="b">
        <v>0</v>
      </c>
      <c r="H1964" s="112" t="b">
        <v>1</v>
      </c>
      <c r="I1964" s="112" t="b">
        <v>0</v>
      </c>
      <c r="J1964" s="112" t="b">
        <v>0</v>
      </c>
      <c r="K1964" s="112" t="b">
        <v>1</v>
      </c>
      <c r="L1964" s="112" t="b">
        <v>0</v>
      </c>
    </row>
    <row r="1965" spans="1:12" ht="15">
      <c r="A1965" s="112" t="s">
        <v>2080</v>
      </c>
      <c r="B1965" s="112" t="s">
        <v>2094</v>
      </c>
      <c r="C1965" s="112">
        <v>3</v>
      </c>
      <c r="D1965" s="114">
        <v>0.004233459807097401</v>
      </c>
      <c r="E1965" s="114">
        <v>0.6712570164689863</v>
      </c>
      <c r="F1965" s="112" t="s">
        <v>2056</v>
      </c>
      <c r="G1965" s="112" t="b">
        <v>0</v>
      </c>
      <c r="H1965" s="112" t="b">
        <v>0</v>
      </c>
      <c r="I1965" s="112" t="b">
        <v>0</v>
      </c>
      <c r="J1965" s="112" t="b">
        <v>0</v>
      </c>
      <c r="K1965" s="112" t="b">
        <v>0</v>
      </c>
      <c r="L1965" s="112" t="b">
        <v>0</v>
      </c>
    </row>
    <row r="1966" spans="1:12" ht="15">
      <c r="A1966" s="112" t="s">
        <v>2094</v>
      </c>
      <c r="B1966" s="112" t="s">
        <v>2080</v>
      </c>
      <c r="C1966" s="112">
        <v>3</v>
      </c>
      <c r="D1966" s="114">
        <v>0.004233459807097401</v>
      </c>
      <c r="E1966" s="114">
        <v>0.7126497016272114</v>
      </c>
      <c r="F1966" s="112" t="s">
        <v>2056</v>
      </c>
      <c r="G1966" s="112" t="b">
        <v>0</v>
      </c>
      <c r="H1966" s="112" t="b">
        <v>0</v>
      </c>
      <c r="I1966" s="112" t="b">
        <v>0</v>
      </c>
      <c r="J1966" s="112" t="b">
        <v>0</v>
      </c>
      <c r="K1966" s="112" t="b">
        <v>0</v>
      </c>
      <c r="L1966" s="112" t="b">
        <v>0</v>
      </c>
    </row>
    <row r="1967" spans="1:12" ht="15">
      <c r="A1967" s="112" t="s">
        <v>2139</v>
      </c>
      <c r="B1967" s="112" t="s">
        <v>2080</v>
      </c>
      <c r="C1967" s="112">
        <v>3</v>
      </c>
      <c r="D1967" s="114">
        <v>0.00357394198291882</v>
      </c>
      <c r="E1967" s="114">
        <v>1.0436429206686357</v>
      </c>
      <c r="F1967" s="112" t="s">
        <v>2056</v>
      </c>
      <c r="G1967" s="112" t="b">
        <v>0</v>
      </c>
      <c r="H1967" s="112" t="b">
        <v>0</v>
      </c>
      <c r="I1967" s="112" t="b">
        <v>0</v>
      </c>
      <c r="J1967" s="112" t="b">
        <v>0</v>
      </c>
      <c r="K1967" s="112" t="b">
        <v>0</v>
      </c>
      <c r="L1967" s="112" t="b">
        <v>0</v>
      </c>
    </row>
    <row r="1968" spans="1:12" ht="15">
      <c r="A1968" s="112" t="s">
        <v>2375</v>
      </c>
      <c r="B1968" s="112" t="s">
        <v>2480</v>
      </c>
      <c r="C1968" s="112">
        <v>3</v>
      </c>
      <c r="D1968" s="114">
        <v>0.004233459807097401</v>
      </c>
      <c r="E1968" s="114">
        <v>2.189770956346874</v>
      </c>
      <c r="F1968" s="112" t="s">
        <v>2056</v>
      </c>
      <c r="G1968" s="112" t="b">
        <v>0</v>
      </c>
      <c r="H1968" s="112" t="b">
        <v>0</v>
      </c>
      <c r="I1968" s="112" t="b">
        <v>0</v>
      </c>
      <c r="J1968" s="112" t="b">
        <v>0</v>
      </c>
      <c r="K1968" s="112" t="b">
        <v>0</v>
      </c>
      <c r="L1968" s="112" t="b">
        <v>0</v>
      </c>
    </row>
    <row r="1969" spans="1:12" ht="15">
      <c r="A1969" s="112" t="s">
        <v>2456</v>
      </c>
      <c r="B1969" s="112" t="s">
        <v>2210</v>
      </c>
      <c r="C1969" s="112">
        <v>3</v>
      </c>
      <c r="D1969" s="114">
        <v>0.00357394198291882</v>
      </c>
      <c r="E1969" s="114">
        <v>2.189770956346874</v>
      </c>
      <c r="F1969" s="112" t="s">
        <v>2056</v>
      </c>
      <c r="G1969" s="112" t="b">
        <v>0</v>
      </c>
      <c r="H1969" s="112" t="b">
        <v>0</v>
      </c>
      <c r="I1969" s="112" t="b">
        <v>0</v>
      </c>
      <c r="J1969" s="112" t="b">
        <v>0</v>
      </c>
      <c r="K1969" s="112" t="b">
        <v>0</v>
      </c>
      <c r="L1969" s="112" t="b">
        <v>0</v>
      </c>
    </row>
    <row r="1970" spans="1:12" ht="15">
      <c r="A1970" s="112" t="s">
        <v>2089</v>
      </c>
      <c r="B1970" s="112" t="s">
        <v>2168</v>
      </c>
      <c r="C1970" s="112">
        <v>3</v>
      </c>
      <c r="D1970" s="114">
        <v>0.004233459807097401</v>
      </c>
      <c r="E1970" s="114">
        <v>0.7224095389163676</v>
      </c>
      <c r="F1970" s="112" t="s">
        <v>2056</v>
      </c>
      <c r="G1970" s="112" t="b">
        <v>0</v>
      </c>
      <c r="H1970" s="112" t="b">
        <v>0</v>
      </c>
      <c r="I1970" s="112" t="b">
        <v>0</v>
      </c>
      <c r="J1970" s="112" t="b">
        <v>0</v>
      </c>
      <c r="K1970" s="112" t="b">
        <v>1</v>
      </c>
      <c r="L1970" s="112" t="b">
        <v>0</v>
      </c>
    </row>
    <row r="1971" spans="1:12" ht="15">
      <c r="A1971" s="112" t="s">
        <v>2301</v>
      </c>
      <c r="B1971" s="112" t="s">
        <v>2096</v>
      </c>
      <c r="C1971" s="112">
        <v>3</v>
      </c>
      <c r="D1971" s="114">
        <v>0.004233459807097401</v>
      </c>
      <c r="E1971" s="114">
        <v>1.2452882841967052</v>
      </c>
      <c r="F1971" s="112" t="s">
        <v>2056</v>
      </c>
      <c r="G1971" s="112" t="b">
        <v>0</v>
      </c>
      <c r="H1971" s="112" t="b">
        <v>0</v>
      </c>
      <c r="I1971" s="112" t="b">
        <v>0</v>
      </c>
      <c r="J1971" s="112" t="b">
        <v>0</v>
      </c>
      <c r="K1971" s="112" t="b">
        <v>0</v>
      </c>
      <c r="L1971" s="112" t="b">
        <v>0</v>
      </c>
    </row>
    <row r="1972" spans="1:12" ht="15">
      <c r="A1972" s="112" t="s">
        <v>2089</v>
      </c>
      <c r="B1972" s="112" t="s">
        <v>2290</v>
      </c>
      <c r="C1972" s="112">
        <v>3</v>
      </c>
      <c r="D1972" s="114">
        <v>0.004233459807097401</v>
      </c>
      <c r="E1972" s="114">
        <v>1.2866809693549301</v>
      </c>
      <c r="F1972" s="112" t="s">
        <v>2056</v>
      </c>
      <c r="G1972" s="112" t="b">
        <v>0</v>
      </c>
      <c r="H1972" s="112" t="b">
        <v>0</v>
      </c>
      <c r="I1972" s="112" t="b">
        <v>0</v>
      </c>
      <c r="J1972" s="112" t="b">
        <v>0</v>
      </c>
      <c r="K1972" s="112" t="b">
        <v>1</v>
      </c>
      <c r="L1972" s="112" t="b">
        <v>0</v>
      </c>
    </row>
    <row r="1973" spans="1:12" ht="15">
      <c r="A1973" s="112" t="s">
        <v>2290</v>
      </c>
      <c r="B1973" s="112" t="s">
        <v>2089</v>
      </c>
      <c r="C1973" s="112">
        <v>3</v>
      </c>
      <c r="D1973" s="114">
        <v>0.004233459807097401</v>
      </c>
      <c r="E1973" s="114">
        <v>1.2759571039631572</v>
      </c>
      <c r="F1973" s="112" t="s">
        <v>2056</v>
      </c>
      <c r="G1973" s="112" t="b">
        <v>0</v>
      </c>
      <c r="H1973" s="112" t="b">
        <v>1</v>
      </c>
      <c r="I1973" s="112" t="b">
        <v>0</v>
      </c>
      <c r="J1973" s="112" t="b">
        <v>0</v>
      </c>
      <c r="K1973" s="112" t="b">
        <v>0</v>
      </c>
      <c r="L1973" s="112" t="b">
        <v>0</v>
      </c>
    </row>
    <row r="1974" spans="1:12" ht="15">
      <c r="A1974" s="112" t="s">
        <v>2096</v>
      </c>
      <c r="B1974" s="112" t="s">
        <v>2083</v>
      </c>
      <c r="C1974" s="112">
        <v>3</v>
      </c>
      <c r="D1974" s="114">
        <v>0.00357394198291882</v>
      </c>
      <c r="E1974" s="114">
        <v>0.3032802311743919</v>
      </c>
      <c r="F1974" s="112" t="s">
        <v>2056</v>
      </c>
      <c r="G1974" s="112" t="b">
        <v>0</v>
      </c>
      <c r="H1974" s="112" t="b">
        <v>0</v>
      </c>
      <c r="I1974" s="112" t="b">
        <v>0</v>
      </c>
      <c r="J1974" s="112" t="b">
        <v>0</v>
      </c>
      <c r="K1974" s="112" t="b">
        <v>0</v>
      </c>
      <c r="L1974" s="112" t="b">
        <v>0</v>
      </c>
    </row>
    <row r="1975" spans="1:12" ht="15">
      <c r="A1975" s="112" t="s">
        <v>2247</v>
      </c>
      <c r="B1975" s="112" t="s">
        <v>2083</v>
      </c>
      <c r="C1975" s="112">
        <v>3</v>
      </c>
      <c r="D1975" s="114">
        <v>0.004233459807097401</v>
      </c>
      <c r="E1975" s="114">
        <v>1.0022502355104108</v>
      </c>
      <c r="F1975" s="112" t="s">
        <v>2056</v>
      </c>
      <c r="G1975" s="112" t="b">
        <v>0</v>
      </c>
      <c r="H1975" s="112" t="b">
        <v>0</v>
      </c>
      <c r="I1975" s="112" t="b">
        <v>0</v>
      </c>
      <c r="J1975" s="112" t="b">
        <v>0</v>
      </c>
      <c r="K1975" s="112" t="b">
        <v>0</v>
      </c>
      <c r="L1975" s="112" t="b">
        <v>0</v>
      </c>
    </row>
    <row r="1976" spans="1:12" ht="15">
      <c r="A1976" s="112" t="s">
        <v>2247</v>
      </c>
      <c r="B1976" s="112" t="s">
        <v>2094</v>
      </c>
      <c r="C1976" s="112">
        <v>3</v>
      </c>
      <c r="D1976" s="114">
        <v>0.00536091297437823</v>
      </c>
      <c r="E1976" s="114">
        <v>1.344672916332617</v>
      </c>
      <c r="F1976" s="112" t="s">
        <v>2056</v>
      </c>
      <c r="G1976" s="112" t="b">
        <v>0</v>
      </c>
      <c r="H1976" s="112" t="b">
        <v>0</v>
      </c>
      <c r="I1976" s="112" t="b">
        <v>0</v>
      </c>
      <c r="J1976" s="112" t="b">
        <v>0</v>
      </c>
      <c r="K1976" s="112" t="b">
        <v>0</v>
      </c>
      <c r="L1976" s="112" t="b">
        <v>0</v>
      </c>
    </row>
    <row r="1977" spans="1:12" ht="15">
      <c r="A1977" s="112" t="s">
        <v>2099</v>
      </c>
      <c r="B1977" s="112" t="s">
        <v>2104</v>
      </c>
      <c r="C1977" s="112">
        <v>3</v>
      </c>
      <c r="D1977" s="114">
        <v>0.00357394198291882</v>
      </c>
      <c r="E1977" s="114">
        <v>2.0436429206686357</v>
      </c>
      <c r="F1977" s="112" t="s">
        <v>2056</v>
      </c>
      <c r="G1977" s="112" t="b">
        <v>0</v>
      </c>
      <c r="H1977" s="112" t="b">
        <v>0</v>
      </c>
      <c r="I1977" s="112" t="b">
        <v>0</v>
      </c>
      <c r="J1977" s="112" t="b">
        <v>0</v>
      </c>
      <c r="K1977" s="112" t="b">
        <v>0</v>
      </c>
      <c r="L1977" s="112" t="b">
        <v>0</v>
      </c>
    </row>
    <row r="1978" spans="1:12" ht="15">
      <c r="A1978" s="112" t="s">
        <v>2582</v>
      </c>
      <c r="B1978" s="112" t="s">
        <v>2583</v>
      </c>
      <c r="C1978" s="112">
        <v>3</v>
      </c>
      <c r="D1978" s="114">
        <v>0.00536091297437823</v>
      </c>
      <c r="E1978" s="114">
        <v>2.41161970596323</v>
      </c>
      <c r="F1978" s="112" t="s">
        <v>2056</v>
      </c>
      <c r="G1978" s="112" t="b">
        <v>0</v>
      </c>
      <c r="H1978" s="112" t="b">
        <v>0</v>
      </c>
      <c r="I1978" s="112" t="b">
        <v>0</v>
      </c>
      <c r="J1978" s="112" t="b">
        <v>0</v>
      </c>
      <c r="K1978" s="112" t="b">
        <v>0</v>
      </c>
      <c r="L1978" s="112" t="b">
        <v>0</v>
      </c>
    </row>
    <row r="1979" spans="1:12" ht="15">
      <c r="A1979" s="112" t="s">
        <v>2117</v>
      </c>
      <c r="B1979" s="112" t="s">
        <v>2090</v>
      </c>
      <c r="C1979" s="112">
        <v>2</v>
      </c>
      <c r="D1979" s="114">
        <v>0.0028223065380649343</v>
      </c>
      <c r="E1979" s="114">
        <v>1.4116197059632303</v>
      </c>
      <c r="F1979" s="112" t="s">
        <v>2056</v>
      </c>
      <c r="G1979" s="112" t="b">
        <v>0</v>
      </c>
      <c r="H1979" s="112" t="b">
        <v>0</v>
      </c>
      <c r="I1979" s="112" t="b">
        <v>0</v>
      </c>
      <c r="J1979" s="112" t="b">
        <v>0</v>
      </c>
      <c r="K1979" s="112" t="b">
        <v>0</v>
      </c>
      <c r="L1979" s="112" t="b">
        <v>0</v>
      </c>
    </row>
    <row r="1980" spans="1:12" ht="15">
      <c r="A1980" s="112" t="s">
        <v>2272</v>
      </c>
      <c r="B1980" s="112" t="s">
        <v>2089</v>
      </c>
      <c r="C1980" s="112">
        <v>2</v>
      </c>
      <c r="D1980" s="114">
        <v>0.0028223065380649343</v>
      </c>
      <c r="E1980" s="114">
        <v>0.7988358492434947</v>
      </c>
      <c r="F1980" s="112" t="s">
        <v>2056</v>
      </c>
      <c r="G1980" s="112" t="b">
        <v>0</v>
      </c>
      <c r="H1980" s="112" t="b">
        <v>0</v>
      </c>
      <c r="I1980" s="112" t="b">
        <v>0</v>
      </c>
      <c r="J1980" s="112" t="b">
        <v>0</v>
      </c>
      <c r="K1980" s="112" t="b">
        <v>0</v>
      </c>
      <c r="L1980" s="112" t="b">
        <v>0</v>
      </c>
    </row>
    <row r="1981" spans="1:12" ht="15">
      <c r="A1981" s="112" t="s">
        <v>2089</v>
      </c>
      <c r="B1981" s="112" t="s">
        <v>2730</v>
      </c>
      <c r="C1981" s="112">
        <v>2</v>
      </c>
      <c r="D1981" s="114">
        <v>0.0028223065380649343</v>
      </c>
      <c r="E1981" s="114">
        <v>1.2866809693549301</v>
      </c>
      <c r="F1981" s="112" t="s">
        <v>2056</v>
      </c>
      <c r="G1981" s="112" t="b">
        <v>0</v>
      </c>
      <c r="H1981" s="112" t="b">
        <v>0</v>
      </c>
      <c r="I1981" s="112" t="b">
        <v>0</v>
      </c>
      <c r="J1981" s="112" t="b">
        <v>0</v>
      </c>
      <c r="K1981" s="112" t="b">
        <v>0</v>
      </c>
      <c r="L1981" s="112" t="b">
        <v>0</v>
      </c>
    </row>
    <row r="1982" spans="1:12" ht="15">
      <c r="A1982" s="112" t="s">
        <v>2730</v>
      </c>
      <c r="B1982" s="112" t="s">
        <v>2272</v>
      </c>
      <c r="C1982" s="112">
        <v>2</v>
      </c>
      <c r="D1982" s="114">
        <v>0.0028223065380649343</v>
      </c>
      <c r="E1982" s="114">
        <v>2.110589710299249</v>
      </c>
      <c r="F1982" s="112" t="s">
        <v>2056</v>
      </c>
      <c r="G1982" s="112" t="b">
        <v>0</v>
      </c>
      <c r="H1982" s="112" t="b">
        <v>0</v>
      </c>
      <c r="I1982" s="112" t="b">
        <v>0</v>
      </c>
      <c r="J1982" s="112" t="b">
        <v>0</v>
      </c>
      <c r="K1982" s="112" t="b">
        <v>0</v>
      </c>
      <c r="L1982" s="112" t="b">
        <v>0</v>
      </c>
    </row>
    <row r="1983" spans="1:12" ht="15">
      <c r="A1983" s="112" t="s">
        <v>2272</v>
      </c>
      <c r="B1983" s="112" t="s">
        <v>2272</v>
      </c>
      <c r="C1983" s="112">
        <v>2</v>
      </c>
      <c r="D1983" s="114">
        <v>0.0028223065380649343</v>
      </c>
      <c r="E1983" s="114">
        <v>1.6334684555795864</v>
      </c>
      <c r="F1983" s="112" t="s">
        <v>2056</v>
      </c>
      <c r="G1983" s="112" t="b">
        <v>0</v>
      </c>
      <c r="H1983" s="112" t="b">
        <v>0</v>
      </c>
      <c r="I1983" s="112" t="b">
        <v>0</v>
      </c>
      <c r="J1983" s="112" t="b">
        <v>0</v>
      </c>
      <c r="K1983" s="112" t="b">
        <v>0</v>
      </c>
      <c r="L1983" s="112" t="b">
        <v>0</v>
      </c>
    </row>
    <row r="1984" spans="1:12" ht="15">
      <c r="A1984" s="112" t="s">
        <v>2272</v>
      </c>
      <c r="B1984" s="112" t="s">
        <v>2289</v>
      </c>
      <c r="C1984" s="112">
        <v>2</v>
      </c>
      <c r="D1984" s="114">
        <v>0.0028223065380649343</v>
      </c>
      <c r="E1984" s="114">
        <v>1.8095597146352678</v>
      </c>
      <c r="F1984" s="112" t="s">
        <v>2056</v>
      </c>
      <c r="G1984" s="112" t="b">
        <v>0</v>
      </c>
      <c r="H1984" s="112" t="b">
        <v>0</v>
      </c>
      <c r="I1984" s="112" t="b">
        <v>0</v>
      </c>
      <c r="J1984" s="112" t="b">
        <v>0</v>
      </c>
      <c r="K1984" s="112" t="b">
        <v>0</v>
      </c>
      <c r="L1984" s="112" t="b">
        <v>0</v>
      </c>
    </row>
    <row r="1985" spans="1:12" ht="15">
      <c r="A1985" s="112" t="s">
        <v>2160</v>
      </c>
      <c r="B1985" s="112" t="s">
        <v>2513</v>
      </c>
      <c r="C1985" s="112">
        <v>2</v>
      </c>
      <c r="D1985" s="114">
        <v>0.00357394198291882</v>
      </c>
      <c r="E1985" s="114">
        <v>2.41161970596323</v>
      </c>
      <c r="F1985" s="112" t="s">
        <v>2056</v>
      </c>
      <c r="G1985" s="112" t="b">
        <v>0</v>
      </c>
      <c r="H1985" s="112" t="b">
        <v>1</v>
      </c>
      <c r="I1985" s="112" t="b">
        <v>0</v>
      </c>
      <c r="J1985" s="112" t="b">
        <v>0</v>
      </c>
      <c r="K1985" s="112" t="b">
        <v>0</v>
      </c>
      <c r="L1985" s="112" t="b">
        <v>0</v>
      </c>
    </row>
    <row r="1986" spans="1:12" ht="15">
      <c r="A1986" s="112" t="s">
        <v>2083</v>
      </c>
      <c r="B1986" s="112" t="s">
        <v>2094</v>
      </c>
      <c r="C1986" s="112">
        <v>2</v>
      </c>
      <c r="D1986" s="114">
        <v>0.0028223065380649343</v>
      </c>
      <c r="E1986" s="114">
        <v>0.46961165294091695</v>
      </c>
      <c r="F1986" s="112" t="s">
        <v>2056</v>
      </c>
      <c r="G1986" s="112" t="b">
        <v>0</v>
      </c>
      <c r="H1986" s="112" t="b">
        <v>0</v>
      </c>
      <c r="I1986" s="112" t="b">
        <v>0</v>
      </c>
      <c r="J1986" s="112" t="b">
        <v>0</v>
      </c>
      <c r="K1986" s="112" t="b">
        <v>0</v>
      </c>
      <c r="L1986" s="112" t="b">
        <v>0</v>
      </c>
    </row>
    <row r="1987" spans="1:12" ht="15">
      <c r="A1987" s="112" t="s">
        <v>2094</v>
      </c>
      <c r="B1987" s="112" t="s">
        <v>2096</v>
      </c>
      <c r="C1987" s="112">
        <v>2</v>
      </c>
      <c r="D1987" s="114">
        <v>0.0028223065380649343</v>
      </c>
      <c r="E1987" s="114">
        <v>0.4951657574133051</v>
      </c>
      <c r="F1987" s="112" t="s">
        <v>2056</v>
      </c>
      <c r="G1987" s="112" t="b">
        <v>0</v>
      </c>
      <c r="H1987" s="112" t="b">
        <v>0</v>
      </c>
      <c r="I1987" s="112" t="b">
        <v>0</v>
      </c>
      <c r="J1987" s="112" t="b">
        <v>0</v>
      </c>
      <c r="K1987" s="112" t="b">
        <v>0</v>
      </c>
      <c r="L1987" s="112" t="b">
        <v>0</v>
      </c>
    </row>
    <row r="1988" spans="1:12" ht="15">
      <c r="A1988" s="112" t="s">
        <v>2294</v>
      </c>
      <c r="B1988" s="112" t="s">
        <v>2295</v>
      </c>
      <c r="C1988" s="112">
        <v>2</v>
      </c>
      <c r="D1988" s="114">
        <v>0.0028223065380649343</v>
      </c>
      <c r="E1988" s="114">
        <v>2.5877109650189114</v>
      </c>
      <c r="F1988" s="112" t="s">
        <v>2056</v>
      </c>
      <c r="G1988" s="112" t="b">
        <v>0</v>
      </c>
      <c r="H1988" s="112" t="b">
        <v>0</v>
      </c>
      <c r="I1988" s="112" t="b">
        <v>0</v>
      </c>
      <c r="J1988" s="112" t="b">
        <v>0</v>
      </c>
      <c r="K1988" s="112" t="b">
        <v>0</v>
      </c>
      <c r="L1988" s="112" t="b">
        <v>0</v>
      </c>
    </row>
    <row r="1989" spans="1:12" ht="15">
      <c r="A1989" s="112" t="s">
        <v>2295</v>
      </c>
      <c r="B1989" s="112" t="s">
        <v>2173</v>
      </c>
      <c r="C1989" s="112">
        <v>2</v>
      </c>
      <c r="D1989" s="114">
        <v>0.0028223065380649343</v>
      </c>
      <c r="E1989" s="114">
        <v>2.28668096935493</v>
      </c>
      <c r="F1989" s="112" t="s">
        <v>2056</v>
      </c>
      <c r="G1989" s="112" t="b">
        <v>0</v>
      </c>
      <c r="H1989" s="112" t="b">
        <v>0</v>
      </c>
      <c r="I1989" s="112" t="b">
        <v>0</v>
      </c>
      <c r="J1989" s="112" t="b">
        <v>0</v>
      </c>
      <c r="K1989" s="112" t="b">
        <v>0</v>
      </c>
      <c r="L1989" s="112" t="b">
        <v>0</v>
      </c>
    </row>
    <row r="1990" spans="1:12" ht="15">
      <c r="A1990" s="112" t="s">
        <v>2083</v>
      </c>
      <c r="B1990" s="112" t="s">
        <v>2195</v>
      </c>
      <c r="C1990" s="112">
        <v>2</v>
      </c>
      <c r="D1990" s="114">
        <v>0.0028223065380649343</v>
      </c>
      <c r="E1990" s="114">
        <v>1.344672916332617</v>
      </c>
      <c r="F1990" s="112" t="s">
        <v>2056</v>
      </c>
      <c r="G1990" s="112" t="b">
        <v>0</v>
      </c>
      <c r="H1990" s="112" t="b">
        <v>0</v>
      </c>
      <c r="I1990" s="112" t="b">
        <v>0</v>
      </c>
      <c r="J1990" s="112" t="b">
        <v>0</v>
      </c>
      <c r="K1990" s="112" t="b">
        <v>0</v>
      </c>
      <c r="L1990" s="112" t="b">
        <v>0</v>
      </c>
    </row>
    <row r="1991" spans="1:12" ht="15">
      <c r="A1991" s="112" t="s">
        <v>2195</v>
      </c>
      <c r="B1991" s="112" t="s">
        <v>2224</v>
      </c>
      <c r="C1991" s="112">
        <v>2</v>
      </c>
      <c r="D1991" s="114">
        <v>0.0028223065380649343</v>
      </c>
      <c r="E1991" s="114">
        <v>2.5877109650189114</v>
      </c>
      <c r="F1991" s="112" t="s">
        <v>2056</v>
      </c>
      <c r="G1991" s="112" t="b">
        <v>0</v>
      </c>
      <c r="H1991" s="112" t="b">
        <v>0</v>
      </c>
      <c r="I1991" s="112" t="b">
        <v>0</v>
      </c>
      <c r="J1991" s="112" t="b">
        <v>0</v>
      </c>
      <c r="K1991" s="112" t="b">
        <v>0</v>
      </c>
      <c r="L1991" s="112" t="b">
        <v>0</v>
      </c>
    </row>
    <row r="1992" spans="1:12" ht="15">
      <c r="A1992" s="112" t="s">
        <v>2083</v>
      </c>
      <c r="B1992" s="112" t="s">
        <v>2225</v>
      </c>
      <c r="C1992" s="112">
        <v>2</v>
      </c>
      <c r="D1992" s="114">
        <v>0.0028223065380649343</v>
      </c>
      <c r="E1992" s="114">
        <v>1.344672916332617</v>
      </c>
      <c r="F1992" s="112" t="s">
        <v>2056</v>
      </c>
      <c r="G1992" s="112" t="b">
        <v>0</v>
      </c>
      <c r="H1992" s="112" t="b">
        <v>0</v>
      </c>
      <c r="I1992" s="112" t="b">
        <v>0</v>
      </c>
      <c r="J1992" s="112" t="b">
        <v>0</v>
      </c>
      <c r="K1992" s="112" t="b">
        <v>0</v>
      </c>
      <c r="L1992" s="112" t="b">
        <v>0</v>
      </c>
    </row>
    <row r="1993" spans="1:12" ht="15">
      <c r="A1993" s="112" t="s">
        <v>2089</v>
      </c>
      <c r="B1993" s="112" t="s">
        <v>2315</v>
      </c>
      <c r="C1993" s="112">
        <v>2</v>
      </c>
      <c r="D1993" s="114">
        <v>0.0028223065380649343</v>
      </c>
      <c r="E1993" s="114">
        <v>1.2866809693549301</v>
      </c>
      <c r="F1993" s="112" t="s">
        <v>2056</v>
      </c>
      <c r="G1993" s="112" t="b">
        <v>0</v>
      </c>
      <c r="H1993" s="112" t="b">
        <v>0</v>
      </c>
      <c r="I1993" s="112" t="b">
        <v>0</v>
      </c>
      <c r="J1993" s="112" t="b">
        <v>0</v>
      </c>
      <c r="K1993" s="112" t="b">
        <v>0</v>
      </c>
      <c r="L1993" s="112" t="b">
        <v>0</v>
      </c>
    </row>
    <row r="1994" spans="1:12" ht="15">
      <c r="A1994" s="112" t="s">
        <v>2168</v>
      </c>
      <c r="B1994" s="112" t="s">
        <v>2410</v>
      </c>
      <c r="C1994" s="112">
        <v>2</v>
      </c>
      <c r="D1994" s="114">
        <v>0.0028223065380649343</v>
      </c>
      <c r="E1994" s="114">
        <v>1.6334684555795864</v>
      </c>
      <c r="F1994" s="112" t="s">
        <v>2056</v>
      </c>
      <c r="G1994" s="112" t="b">
        <v>0</v>
      </c>
      <c r="H1994" s="112" t="b">
        <v>1</v>
      </c>
      <c r="I1994" s="112" t="b">
        <v>0</v>
      </c>
      <c r="J1994" s="112" t="b">
        <v>0</v>
      </c>
      <c r="K1994" s="112" t="b">
        <v>0</v>
      </c>
      <c r="L1994" s="112" t="b">
        <v>0</v>
      </c>
    </row>
    <row r="1995" spans="1:12" ht="15">
      <c r="A1995" s="112" t="s">
        <v>2168</v>
      </c>
      <c r="B1995" s="112" t="s">
        <v>2168</v>
      </c>
      <c r="C1995" s="112">
        <v>2</v>
      </c>
      <c r="D1995" s="114">
        <v>0.0028223065380649343</v>
      </c>
      <c r="E1995" s="114">
        <v>1.0691970251410239</v>
      </c>
      <c r="F1995" s="112" t="s">
        <v>2056</v>
      </c>
      <c r="G1995" s="112" t="b">
        <v>0</v>
      </c>
      <c r="H1995" s="112" t="b">
        <v>1</v>
      </c>
      <c r="I1995" s="112" t="b">
        <v>0</v>
      </c>
      <c r="J1995" s="112" t="b">
        <v>0</v>
      </c>
      <c r="K1995" s="112" t="b">
        <v>1</v>
      </c>
      <c r="L1995" s="112" t="b">
        <v>0</v>
      </c>
    </row>
    <row r="1996" spans="1:12" ht="15">
      <c r="A1996" s="112" t="s">
        <v>2086</v>
      </c>
      <c r="B1996" s="112" t="s">
        <v>2137</v>
      </c>
      <c r="C1996" s="112">
        <v>2</v>
      </c>
      <c r="D1996" s="114">
        <v>0.0028223065380649343</v>
      </c>
      <c r="E1996" s="114">
        <v>1.1685816572769359</v>
      </c>
      <c r="F1996" s="112" t="s">
        <v>2056</v>
      </c>
      <c r="G1996" s="112" t="b">
        <v>0</v>
      </c>
      <c r="H1996" s="112" t="b">
        <v>0</v>
      </c>
      <c r="I1996" s="112" t="b">
        <v>0</v>
      </c>
      <c r="J1996" s="112" t="b">
        <v>0</v>
      </c>
      <c r="K1996" s="112" t="b">
        <v>0</v>
      </c>
      <c r="L1996" s="112" t="b">
        <v>0</v>
      </c>
    </row>
    <row r="1997" spans="1:12" ht="15">
      <c r="A1997" s="112" t="s">
        <v>2139</v>
      </c>
      <c r="B1997" s="112" t="s">
        <v>2096</v>
      </c>
      <c r="C1997" s="112">
        <v>2</v>
      </c>
      <c r="D1997" s="114">
        <v>0.0028223065380649343</v>
      </c>
      <c r="E1997" s="114">
        <v>0.8261589764547296</v>
      </c>
      <c r="F1997" s="112" t="s">
        <v>2056</v>
      </c>
      <c r="G1997" s="112" t="b">
        <v>0</v>
      </c>
      <c r="H1997" s="112" t="b">
        <v>0</v>
      </c>
      <c r="I1997" s="112" t="b">
        <v>0</v>
      </c>
      <c r="J1997" s="112" t="b">
        <v>0</v>
      </c>
      <c r="K1997" s="112" t="b">
        <v>0</v>
      </c>
      <c r="L1997" s="112" t="b">
        <v>0</v>
      </c>
    </row>
    <row r="1998" spans="1:12" ht="15">
      <c r="A1998" s="112" t="s">
        <v>2412</v>
      </c>
      <c r="B1998" s="112" t="s">
        <v>2362</v>
      </c>
      <c r="C1998" s="112">
        <v>2</v>
      </c>
      <c r="D1998" s="114">
        <v>0.0028223065380649343</v>
      </c>
      <c r="E1998" s="114">
        <v>2.5877109650189114</v>
      </c>
      <c r="F1998" s="112" t="s">
        <v>2056</v>
      </c>
      <c r="G1998" s="112" t="b">
        <v>0</v>
      </c>
      <c r="H1998" s="112" t="b">
        <v>0</v>
      </c>
      <c r="I1998" s="112" t="b">
        <v>0</v>
      </c>
      <c r="J1998" s="112" t="b">
        <v>0</v>
      </c>
      <c r="K1998" s="112" t="b">
        <v>0</v>
      </c>
      <c r="L1998" s="112" t="b">
        <v>0</v>
      </c>
    </row>
    <row r="1999" spans="1:12" ht="15">
      <c r="A1999" s="112" t="s">
        <v>2083</v>
      </c>
      <c r="B1999" s="112" t="s">
        <v>2277</v>
      </c>
      <c r="C1999" s="112">
        <v>2</v>
      </c>
      <c r="D1999" s="114">
        <v>0.0028223065380649343</v>
      </c>
      <c r="E1999" s="114">
        <v>1.344672916332617</v>
      </c>
      <c r="F1999" s="112" t="s">
        <v>2056</v>
      </c>
      <c r="G1999" s="112" t="b">
        <v>0</v>
      </c>
      <c r="H1999" s="112" t="b">
        <v>0</v>
      </c>
      <c r="I1999" s="112" t="b">
        <v>0</v>
      </c>
      <c r="J1999" s="112" t="b">
        <v>0</v>
      </c>
      <c r="K1999" s="112" t="b">
        <v>0</v>
      </c>
      <c r="L1999" s="112" t="b">
        <v>0</v>
      </c>
    </row>
    <row r="2000" spans="1:12" ht="15">
      <c r="A2000" s="112" t="s">
        <v>2096</v>
      </c>
      <c r="B2000" s="112" t="s">
        <v>2463</v>
      </c>
      <c r="C2000" s="112">
        <v>2</v>
      </c>
      <c r="D2000" s="114">
        <v>0.00357394198291882</v>
      </c>
      <c r="E2000" s="114">
        <v>1.344672916332617</v>
      </c>
      <c r="F2000" s="112" t="s">
        <v>2056</v>
      </c>
      <c r="G2000" s="112" t="b">
        <v>0</v>
      </c>
      <c r="H2000" s="112" t="b">
        <v>0</v>
      </c>
      <c r="I2000" s="112" t="b">
        <v>0</v>
      </c>
      <c r="J2000" s="112" t="b">
        <v>0</v>
      </c>
      <c r="K2000" s="112" t="b">
        <v>0</v>
      </c>
      <c r="L2000" s="112" t="b">
        <v>0</v>
      </c>
    </row>
    <row r="2001" spans="1:12" ht="15">
      <c r="A2001" s="112" t="s">
        <v>2463</v>
      </c>
      <c r="B2001" s="112" t="s">
        <v>2096</v>
      </c>
      <c r="C2001" s="112">
        <v>2</v>
      </c>
      <c r="D2001" s="114">
        <v>0.00357394198291882</v>
      </c>
      <c r="E2001" s="114">
        <v>1.3702270208050051</v>
      </c>
      <c r="F2001" s="112" t="s">
        <v>2056</v>
      </c>
      <c r="G2001" s="112" t="b">
        <v>0</v>
      </c>
      <c r="H2001" s="112" t="b">
        <v>0</v>
      </c>
      <c r="I2001" s="112" t="b">
        <v>0</v>
      </c>
      <c r="J2001" s="112" t="b">
        <v>0</v>
      </c>
      <c r="K2001" s="112" t="b">
        <v>0</v>
      </c>
      <c r="L2001" s="112" t="b">
        <v>0</v>
      </c>
    </row>
    <row r="2002" spans="1:12" ht="15">
      <c r="A2002" s="112" t="s">
        <v>2096</v>
      </c>
      <c r="B2002" s="112" t="s">
        <v>2096</v>
      </c>
      <c r="C2002" s="112">
        <v>2</v>
      </c>
      <c r="D2002" s="114">
        <v>0.0028223065380649343</v>
      </c>
      <c r="E2002" s="114">
        <v>0.1271889721187107</v>
      </c>
      <c r="F2002" s="112" t="s">
        <v>2056</v>
      </c>
      <c r="G2002" s="112" t="b">
        <v>0</v>
      </c>
      <c r="H2002" s="112" t="b">
        <v>0</v>
      </c>
      <c r="I2002" s="112" t="b">
        <v>0</v>
      </c>
      <c r="J2002" s="112" t="b">
        <v>0</v>
      </c>
      <c r="K2002" s="112" t="b">
        <v>0</v>
      </c>
      <c r="L2002" s="112" t="b">
        <v>0</v>
      </c>
    </row>
    <row r="2003" spans="1:12" ht="15">
      <c r="A2003" s="112" t="s">
        <v>2689</v>
      </c>
      <c r="B2003" s="112" t="s">
        <v>2475</v>
      </c>
      <c r="C2003" s="112">
        <v>2</v>
      </c>
      <c r="D2003" s="114">
        <v>0.00357394198291882</v>
      </c>
      <c r="E2003" s="114">
        <v>2.2355284469075487</v>
      </c>
      <c r="F2003" s="112" t="s">
        <v>2056</v>
      </c>
      <c r="G2003" s="112" t="b">
        <v>0</v>
      </c>
      <c r="H2003" s="112" t="b">
        <v>0</v>
      </c>
      <c r="I2003" s="112" t="b">
        <v>0</v>
      </c>
      <c r="J2003" s="112" t="b">
        <v>0</v>
      </c>
      <c r="K2003" s="112" t="b">
        <v>0</v>
      </c>
      <c r="L2003" s="112" t="b">
        <v>0</v>
      </c>
    </row>
    <row r="2004" spans="1:12" ht="15">
      <c r="A2004" s="112" t="s">
        <v>2589</v>
      </c>
      <c r="B2004" s="112" t="s">
        <v>2337</v>
      </c>
      <c r="C2004" s="112">
        <v>2</v>
      </c>
      <c r="D2004" s="114">
        <v>0.00357394198291882</v>
      </c>
      <c r="E2004" s="114">
        <v>1.8095597146352678</v>
      </c>
      <c r="F2004" s="112" t="s">
        <v>2056</v>
      </c>
      <c r="G2004" s="112" t="b">
        <v>0</v>
      </c>
      <c r="H2004" s="112" t="b">
        <v>0</v>
      </c>
      <c r="I2004" s="112" t="b">
        <v>0</v>
      </c>
      <c r="J2004" s="112" t="b">
        <v>0</v>
      </c>
      <c r="K2004" s="112" t="b">
        <v>0</v>
      </c>
      <c r="L2004" s="112" t="b">
        <v>0</v>
      </c>
    </row>
    <row r="2005" spans="1:12" ht="15">
      <c r="A2005" s="112" t="s">
        <v>2337</v>
      </c>
      <c r="B2005" s="112" t="s">
        <v>2337</v>
      </c>
      <c r="C2005" s="112">
        <v>2</v>
      </c>
      <c r="D2005" s="114">
        <v>0.00357394198291882</v>
      </c>
      <c r="E2005" s="114">
        <v>1.6334684555795864</v>
      </c>
      <c r="F2005" s="112" t="s">
        <v>2056</v>
      </c>
      <c r="G2005" s="112" t="b">
        <v>0</v>
      </c>
      <c r="H2005" s="112" t="b">
        <v>0</v>
      </c>
      <c r="I2005" s="112" t="b">
        <v>0</v>
      </c>
      <c r="J2005" s="112" t="b">
        <v>0</v>
      </c>
      <c r="K2005" s="112" t="b">
        <v>0</v>
      </c>
      <c r="L2005" s="112" t="b">
        <v>0</v>
      </c>
    </row>
    <row r="2006" spans="1:12" ht="15">
      <c r="A2006" s="112" t="s">
        <v>2375</v>
      </c>
      <c r="B2006" s="112" t="s">
        <v>2089</v>
      </c>
      <c r="C2006" s="112">
        <v>2</v>
      </c>
      <c r="D2006" s="114">
        <v>0.0028223065380649343</v>
      </c>
      <c r="E2006" s="114">
        <v>0.8780170952911195</v>
      </c>
      <c r="F2006" s="112" t="s">
        <v>2056</v>
      </c>
      <c r="G2006" s="112" t="b">
        <v>0</v>
      </c>
      <c r="H2006" s="112" t="b">
        <v>0</v>
      </c>
      <c r="I2006" s="112" t="b">
        <v>0</v>
      </c>
      <c r="J2006" s="112" t="b">
        <v>0</v>
      </c>
      <c r="K2006" s="112" t="b">
        <v>0</v>
      </c>
      <c r="L2006" s="112" t="b">
        <v>0</v>
      </c>
    </row>
    <row r="2007" spans="1:12" ht="15">
      <c r="A2007" s="112" t="s">
        <v>2089</v>
      </c>
      <c r="B2007" s="112" t="s">
        <v>2373</v>
      </c>
      <c r="C2007" s="112">
        <v>2</v>
      </c>
      <c r="D2007" s="114">
        <v>0.0028223065380649343</v>
      </c>
      <c r="E2007" s="114">
        <v>0.985650973690949</v>
      </c>
      <c r="F2007" s="112" t="s">
        <v>2056</v>
      </c>
      <c r="G2007" s="112" t="b">
        <v>0</v>
      </c>
      <c r="H2007" s="112" t="b">
        <v>0</v>
      </c>
      <c r="I2007" s="112" t="b">
        <v>0</v>
      </c>
      <c r="J2007" s="112" t="b">
        <v>0</v>
      </c>
      <c r="K2007" s="112" t="b">
        <v>0</v>
      </c>
      <c r="L2007" s="112" t="b">
        <v>0</v>
      </c>
    </row>
    <row r="2008" spans="1:12" ht="15">
      <c r="A2008" s="112" t="s">
        <v>2373</v>
      </c>
      <c r="B2008" s="112" t="s">
        <v>2089</v>
      </c>
      <c r="C2008" s="112">
        <v>2</v>
      </c>
      <c r="D2008" s="114">
        <v>0.0028223065380649343</v>
      </c>
      <c r="E2008" s="114">
        <v>0.8780170952911195</v>
      </c>
      <c r="F2008" s="112" t="s">
        <v>2056</v>
      </c>
      <c r="G2008" s="112" t="b">
        <v>0</v>
      </c>
      <c r="H2008" s="112" t="b">
        <v>0</v>
      </c>
      <c r="I2008" s="112" t="b">
        <v>0</v>
      </c>
      <c r="J2008" s="112" t="b">
        <v>0</v>
      </c>
      <c r="K2008" s="112" t="b">
        <v>0</v>
      </c>
      <c r="L2008" s="112" t="b">
        <v>0</v>
      </c>
    </row>
    <row r="2009" spans="1:12" ht="15">
      <c r="A2009" s="112" t="s">
        <v>2163</v>
      </c>
      <c r="B2009" s="112" t="s">
        <v>2301</v>
      </c>
      <c r="C2009" s="112">
        <v>2</v>
      </c>
      <c r="D2009" s="114">
        <v>0.0028223065380649343</v>
      </c>
      <c r="E2009" s="114">
        <v>1.44940826685263</v>
      </c>
      <c r="F2009" s="112" t="s">
        <v>2056</v>
      </c>
      <c r="G2009" s="112" t="b">
        <v>0</v>
      </c>
      <c r="H2009" s="112" t="b">
        <v>1</v>
      </c>
      <c r="I2009" s="112" t="b">
        <v>0</v>
      </c>
      <c r="J2009" s="112" t="b">
        <v>0</v>
      </c>
      <c r="K2009" s="112" t="b">
        <v>0</v>
      </c>
      <c r="L2009" s="112" t="b">
        <v>0</v>
      </c>
    </row>
    <row r="2010" spans="1:12" ht="15">
      <c r="A2010" s="112" t="s">
        <v>2078</v>
      </c>
      <c r="B2010" s="112" t="s">
        <v>2080</v>
      </c>
      <c r="C2010" s="112">
        <v>2</v>
      </c>
      <c r="D2010" s="114">
        <v>0.0028223065380649343</v>
      </c>
      <c r="E2010" s="114">
        <v>1.235528446907549</v>
      </c>
      <c r="F2010" s="112" t="s">
        <v>2056</v>
      </c>
      <c r="G2010" s="112" t="b">
        <v>0</v>
      </c>
      <c r="H2010" s="112" t="b">
        <v>0</v>
      </c>
      <c r="I2010" s="112" t="b">
        <v>0</v>
      </c>
      <c r="J2010" s="112" t="b">
        <v>0</v>
      </c>
      <c r="K2010" s="112" t="b">
        <v>0</v>
      </c>
      <c r="L2010" s="112" t="b">
        <v>0</v>
      </c>
    </row>
    <row r="2011" spans="1:12" ht="15">
      <c r="A2011" s="112" t="s">
        <v>2083</v>
      </c>
      <c r="B2011" s="112" t="s">
        <v>2356</v>
      </c>
      <c r="C2011" s="112">
        <v>2</v>
      </c>
      <c r="D2011" s="114">
        <v>0.00357394198291882</v>
      </c>
      <c r="E2011" s="114">
        <v>0.9467329076605793</v>
      </c>
      <c r="F2011" s="112" t="s">
        <v>2056</v>
      </c>
      <c r="G2011" s="112" t="b">
        <v>0</v>
      </c>
      <c r="H2011" s="112" t="b">
        <v>0</v>
      </c>
      <c r="I2011" s="112" t="b">
        <v>0</v>
      </c>
      <c r="J2011" s="112" t="b">
        <v>0</v>
      </c>
      <c r="K2011" s="112" t="b">
        <v>0</v>
      </c>
      <c r="L2011" s="112" t="b">
        <v>0</v>
      </c>
    </row>
    <row r="2012" spans="1:12" ht="15">
      <c r="A2012" s="112" t="s">
        <v>2083</v>
      </c>
      <c r="B2012" s="112" t="s">
        <v>2086</v>
      </c>
      <c r="C2012" s="112">
        <v>2</v>
      </c>
      <c r="D2012" s="114">
        <v>0.0028223065380649343</v>
      </c>
      <c r="E2012" s="114">
        <v>0.46961165294091695</v>
      </c>
      <c r="F2012" s="112" t="s">
        <v>2056</v>
      </c>
      <c r="G2012" s="112" t="b">
        <v>0</v>
      </c>
      <c r="H2012" s="112" t="b">
        <v>0</v>
      </c>
      <c r="I2012" s="112" t="b">
        <v>0</v>
      </c>
      <c r="J2012" s="112" t="b">
        <v>0</v>
      </c>
      <c r="K2012" s="112" t="b">
        <v>0</v>
      </c>
      <c r="L2012" s="112" t="b">
        <v>0</v>
      </c>
    </row>
    <row r="2013" spans="1:12" ht="15">
      <c r="A2013" s="112" t="s">
        <v>2143</v>
      </c>
      <c r="B2013" s="112" t="s">
        <v>2087</v>
      </c>
      <c r="C2013" s="112">
        <v>2</v>
      </c>
      <c r="D2013" s="114">
        <v>0.0028223065380649343</v>
      </c>
      <c r="E2013" s="114">
        <v>2.2355284469075487</v>
      </c>
      <c r="F2013" s="112" t="s">
        <v>2056</v>
      </c>
      <c r="G2013" s="112" t="b">
        <v>0</v>
      </c>
      <c r="H2013" s="112" t="b">
        <v>0</v>
      </c>
      <c r="I2013" s="112" t="b">
        <v>0</v>
      </c>
      <c r="J2013" s="112" t="b">
        <v>0</v>
      </c>
      <c r="K2013" s="112" t="b">
        <v>0</v>
      </c>
      <c r="L2013" s="112" t="b">
        <v>0</v>
      </c>
    </row>
    <row r="2014" spans="1:12" ht="15">
      <c r="A2014" s="112" t="s">
        <v>2219</v>
      </c>
      <c r="B2014" s="112" t="s">
        <v>2293</v>
      </c>
      <c r="C2014" s="112">
        <v>2</v>
      </c>
      <c r="D2014" s="114">
        <v>0.0028223065380649343</v>
      </c>
      <c r="E2014" s="114">
        <v>2.28668096935493</v>
      </c>
      <c r="F2014" s="112" t="s">
        <v>2056</v>
      </c>
      <c r="G2014" s="112" t="b">
        <v>0</v>
      </c>
      <c r="H2014" s="112" t="b">
        <v>0</v>
      </c>
      <c r="I2014" s="112" t="b">
        <v>0</v>
      </c>
      <c r="J2014" s="112" t="b">
        <v>0</v>
      </c>
      <c r="K2014" s="112" t="b">
        <v>0</v>
      </c>
      <c r="L2014" s="112" t="b">
        <v>0</v>
      </c>
    </row>
    <row r="2015" spans="1:12" ht="15">
      <c r="A2015" s="112" t="s">
        <v>2086</v>
      </c>
      <c r="B2015" s="112" t="s">
        <v>2082</v>
      </c>
      <c r="C2015" s="112">
        <v>2</v>
      </c>
      <c r="D2015" s="114">
        <v>0.00357394198291882</v>
      </c>
      <c r="E2015" s="114">
        <v>1.3147096929551738</v>
      </c>
      <c r="F2015" s="112" t="s">
        <v>2056</v>
      </c>
      <c r="G2015" s="112" t="b">
        <v>0</v>
      </c>
      <c r="H2015" s="112" t="b">
        <v>0</v>
      </c>
      <c r="I2015" s="112" t="b">
        <v>0</v>
      </c>
      <c r="J2015" s="112" t="b">
        <v>0</v>
      </c>
      <c r="K2015" s="112" t="b">
        <v>0</v>
      </c>
      <c r="L2015" s="112" t="b">
        <v>0</v>
      </c>
    </row>
    <row r="2016" spans="1:12" ht="15">
      <c r="A2016" s="112" t="s">
        <v>3058</v>
      </c>
      <c r="B2016" s="112" t="s">
        <v>3059</v>
      </c>
      <c r="C2016" s="112">
        <v>2</v>
      </c>
      <c r="D2016" s="114">
        <v>0.00357394198291882</v>
      </c>
      <c r="E2016" s="114">
        <v>2.5877109650189114</v>
      </c>
      <c r="F2016" s="112" t="s">
        <v>2056</v>
      </c>
      <c r="G2016" s="112" t="b">
        <v>0</v>
      </c>
      <c r="H2016" s="112" t="b">
        <v>0</v>
      </c>
      <c r="I2016" s="112" t="b">
        <v>0</v>
      </c>
      <c r="J2016" s="112" t="b">
        <v>0</v>
      </c>
      <c r="K2016" s="112" t="b">
        <v>0</v>
      </c>
      <c r="L2016" s="112" t="b">
        <v>0</v>
      </c>
    </row>
    <row r="2017" spans="1:12" ht="15">
      <c r="A2017" s="112" t="s">
        <v>3059</v>
      </c>
      <c r="B2017" s="112" t="s">
        <v>2588</v>
      </c>
      <c r="C2017" s="112">
        <v>2</v>
      </c>
      <c r="D2017" s="114">
        <v>0.00357394198291882</v>
      </c>
      <c r="E2017" s="114">
        <v>2.41161970596323</v>
      </c>
      <c r="F2017" s="112" t="s">
        <v>2056</v>
      </c>
      <c r="G2017" s="112" t="b">
        <v>0</v>
      </c>
      <c r="H2017" s="112" t="b">
        <v>0</v>
      </c>
      <c r="I2017" s="112" t="b">
        <v>0</v>
      </c>
      <c r="J2017" s="112" t="b">
        <v>0</v>
      </c>
      <c r="K2017" s="112" t="b">
        <v>0</v>
      </c>
      <c r="L2017" s="112" t="b">
        <v>0</v>
      </c>
    </row>
    <row r="2018" spans="1:12" ht="15">
      <c r="A2018" s="112" t="s">
        <v>2740</v>
      </c>
      <c r="B2018" s="112" t="s">
        <v>2741</v>
      </c>
      <c r="C2018" s="112">
        <v>2</v>
      </c>
      <c r="D2018" s="114">
        <v>0.00357394198291882</v>
      </c>
      <c r="E2018" s="114">
        <v>2.41161970596323</v>
      </c>
      <c r="F2018" s="112" t="s">
        <v>2056</v>
      </c>
      <c r="G2018" s="112" t="b">
        <v>0</v>
      </c>
      <c r="H2018" s="112" t="b">
        <v>0</v>
      </c>
      <c r="I2018" s="112" t="b">
        <v>0</v>
      </c>
      <c r="J2018" s="112" t="b">
        <v>0</v>
      </c>
      <c r="K2018" s="112" t="b">
        <v>0</v>
      </c>
      <c r="L2018" s="112" t="b">
        <v>0</v>
      </c>
    </row>
    <row r="2019" spans="1:12" ht="15">
      <c r="A2019" s="112" t="s">
        <v>2096</v>
      </c>
      <c r="B2019" s="112" t="s">
        <v>2243</v>
      </c>
      <c r="C2019" s="112">
        <v>2</v>
      </c>
      <c r="D2019" s="114">
        <v>0.0028223065380649343</v>
      </c>
      <c r="E2019" s="114">
        <v>1.344672916332617</v>
      </c>
      <c r="F2019" s="112" t="s">
        <v>2056</v>
      </c>
      <c r="G2019" s="112" t="b">
        <v>0</v>
      </c>
      <c r="H2019" s="112" t="b">
        <v>0</v>
      </c>
      <c r="I2019" s="112" t="b">
        <v>0</v>
      </c>
      <c r="J2019" s="112" t="b">
        <v>0</v>
      </c>
      <c r="K2019" s="112" t="b">
        <v>1</v>
      </c>
      <c r="L2019" s="112" t="b">
        <v>0</v>
      </c>
    </row>
    <row r="2020" spans="1:12" ht="15">
      <c r="A2020" s="112" t="s">
        <v>2243</v>
      </c>
      <c r="B2020" s="112" t="s">
        <v>2096</v>
      </c>
      <c r="C2020" s="112">
        <v>2</v>
      </c>
      <c r="D2020" s="114">
        <v>0.0028223065380649343</v>
      </c>
      <c r="E2020" s="114">
        <v>1.3702270208050051</v>
      </c>
      <c r="F2020" s="112" t="s">
        <v>2056</v>
      </c>
      <c r="G2020" s="112" t="b">
        <v>0</v>
      </c>
      <c r="H2020" s="112" t="b">
        <v>1</v>
      </c>
      <c r="I2020" s="112" t="b">
        <v>0</v>
      </c>
      <c r="J2020" s="112" t="b">
        <v>0</v>
      </c>
      <c r="K2020" s="112" t="b">
        <v>0</v>
      </c>
      <c r="L2020" s="112" t="b">
        <v>0</v>
      </c>
    </row>
    <row r="2021" spans="1:12" ht="15">
      <c r="A2021" s="112" t="s">
        <v>2735</v>
      </c>
      <c r="B2021" s="112" t="s">
        <v>2736</v>
      </c>
      <c r="C2021" s="112">
        <v>2</v>
      </c>
      <c r="D2021" s="114">
        <v>0.00357394198291882</v>
      </c>
      <c r="E2021" s="114">
        <v>2.2355284469075487</v>
      </c>
      <c r="F2021" s="112" t="s">
        <v>2056</v>
      </c>
      <c r="G2021" s="112" t="b">
        <v>0</v>
      </c>
      <c r="H2021" s="112" t="b">
        <v>0</v>
      </c>
      <c r="I2021" s="112" t="b">
        <v>0</v>
      </c>
      <c r="J2021" s="112" t="b">
        <v>0</v>
      </c>
      <c r="K2021" s="112" t="b">
        <v>0</v>
      </c>
      <c r="L2021" s="112" t="b">
        <v>0</v>
      </c>
    </row>
    <row r="2022" spans="1:12" ht="15">
      <c r="A2022" s="112" t="s">
        <v>2241</v>
      </c>
      <c r="B2022" s="112" t="s">
        <v>2325</v>
      </c>
      <c r="C2022" s="112">
        <v>2</v>
      </c>
      <c r="D2022" s="114">
        <v>0.00357394198291882</v>
      </c>
      <c r="E2022" s="114">
        <v>2.28668096935493</v>
      </c>
      <c r="F2022" s="112" t="s">
        <v>2056</v>
      </c>
      <c r="G2022" s="112" t="b">
        <v>0</v>
      </c>
      <c r="H2022" s="112" t="b">
        <v>0</v>
      </c>
      <c r="I2022" s="112" t="b">
        <v>0</v>
      </c>
      <c r="J2022" s="112" t="b">
        <v>0</v>
      </c>
      <c r="K2022" s="112" t="b">
        <v>0</v>
      </c>
      <c r="L2022" s="112" t="b">
        <v>0</v>
      </c>
    </row>
    <row r="2023" spans="1:12" ht="15">
      <c r="A2023" s="112" t="s">
        <v>2325</v>
      </c>
      <c r="B2023" s="112" t="s">
        <v>2738</v>
      </c>
      <c r="C2023" s="112">
        <v>2</v>
      </c>
      <c r="D2023" s="114">
        <v>0.00357394198291882</v>
      </c>
      <c r="E2023" s="114">
        <v>2.28668096935493</v>
      </c>
      <c r="F2023" s="112" t="s">
        <v>2056</v>
      </c>
      <c r="G2023" s="112" t="b">
        <v>0</v>
      </c>
      <c r="H2023" s="112" t="b">
        <v>0</v>
      </c>
      <c r="I2023" s="112" t="b">
        <v>0</v>
      </c>
      <c r="J2023" s="112" t="b">
        <v>0</v>
      </c>
      <c r="K2023" s="112" t="b">
        <v>0</v>
      </c>
      <c r="L2023" s="112" t="b">
        <v>0</v>
      </c>
    </row>
    <row r="2024" spans="1:12" ht="15">
      <c r="A2024" s="112" t="s">
        <v>2096</v>
      </c>
      <c r="B2024" s="112" t="s">
        <v>2094</v>
      </c>
      <c r="C2024" s="112">
        <v>2</v>
      </c>
      <c r="D2024" s="114">
        <v>0.0028223065380649343</v>
      </c>
      <c r="E2024" s="114">
        <v>0.46961165294091695</v>
      </c>
      <c r="F2024" s="112" t="s">
        <v>2056</v>
      </c>
      <c r="G2024" s="112" t="b">
        <v>0</v>
      </c>
      <c r="H2024" s="112" t="b">
        <v>0</v>
      </c>
      <c r="I2024" s="112" t="b">
        <v>0</v>
      </c>
      <c r="J2024" s="112" t="b">
        <v>0</v>
      </c>
      <c r="K2024" s="112" t="b">
        <v>0</v>
      </c>
      <c r="L2024" s="112" t="b">
        <v>0</v>
      </c>
    </row>
    <row r="2025" spans="1:12" ht="15">
      <c r="A2025" s="112" t="s">
        <v>2585</v>
      </c>
      <c r="B2025" s="112" t="s">
        <v>2734</v>
      </c>
      <c r="C2025" s="112">
        <v>2</v>
      </c>
      <c r="D2025" s="114">
        <v>0.00357394198291882</v>
      </c>
      <c r="E2025" s="114">
        <v>2.5877109650189114</v>
      </c>
      <c r="F2025" s="112" t="s">
        <v>2056</v>
      </c>
      <c r="G2025" s="112" t="b">
        <v>0</v>
      </c>
      <c r="H2025" s="112" t="b">
        <v>0</v>
      </c>
      <c r="I2025" s="112" t="b">
        <v>0</v>
      </c>
      <c r="J2025" s="112" t="b">
        <v>0</v>
      </c>
      <c r="K2025" s="112" t="b">
        <v>0</v>
      </c>
      <c r="L2025" s="112" t="b">
        <v>0</v>
      </c>
    </row>
    <row r="2026" spans="1:12" ht="15">
      <c r="A2026" s="112" t="s">
        <v>2099</v>
      </c>
      <c r="B2026" s="112" t="s">
        <v>2099</v>
      </c>
      <c r="C2026" s="112">
        <v>2</v>
      </c>
      <c r="D2026" s="114">
        <v>0.0028223065380649343</v>
      </c>
      <c r="E2026" s="114">
        <v>1.7426129250046545</v>
      </c>
      <c r="F2026" s="112" t="s">
        <v>2056</v>
      </c>
      <c r="G2026" s="112" t="b">
        <v>0</v>
      </c>
      <c r="H2026" s="112" t="b">
        <v>0</v>
      </c>
      <c r="I2026" s="112" t="b">
        <v>0</v>
      </c>
      <c r="J2026" s="112" t="b">
        <v>0</v>
      </c>
      <c r="K2026" s="112" t="b">
        <v>0</v>
      </c>
      <c r="L2026" s="112" t="b">
        <v>0</v>
      </c>
    </row>
    <row r="2027" spans="1:12" ht="15">
      <c r="A2027" s="112" t="s">
        <v>2099</v>
      </c>
      <c r="B2027" s="112" t="s">
        <v>2334</v>
      </c>
      <c r="C2027" s="112">
        <v>2</v>
      </c>
      <c r="D2027" s="114">
        <v>0.0028223065380649343</v>
      </c>
      <c r="E2027" s="114">
        <v>2.0436429206686357</v>
      </c>
      <c r="F2027" s="112" t="s">
        <v>2056</v>
      </c>
      <c r="G2027" s="112" t="b">
        <v>0</v>
      </c>
      <c r="H2027" s="112" t="b">
        <v>0</v>
      </c>
      <c r="I2027" s="112" t="b">
        <v>0</v>
      </c>
      <c r="J2027" s="112" t="b">
        <v>0</v>
      </c>
      <c r="K2027" s="112" t="b">
        <v>0</v>
      </c>
      <c r="L2027" s="112" t="b">
        <v>0</v>
      </c>
    </row>
    <row r="2028" spans="1:12" ht="15">
      <c r="A2028" s="112" t="s">
        <v>2334</v>
      </c>
      <c r="B2028" s="112" t="s">
        <v>2184</v>
      </c>
      <c r="C2028" s="112">
        <v>2</v>
      </c>
      <c r="D2028" s="114">
        <v>0.0028223065380649343</v>
      </c>
      <c r="E2028" s="114">
        <v>2.110589710299249</v>
      </c>
      <c r="F2028" s="112" t="s">
        <v>2056</v>
      </c>
      <c r="G2028" s="112" t="b">
        <v>0</v>
      </c>
      <c r="H2028" s="112" t="b">
        <v>0</v>
      </c>
      <c r="I2028" s="112" t="b">
        <v>0</v>
      </c>
      <c r="J2028" s="112" t="b">
        <v>0</v>
      </c>
      <c r="K2028" s="112" t="b">
        <v>0</v>
      </c>
      <c r="L2028" s="112" t="b">
        <v>0</v>
      </c>
    </row>
    <row r="2029" spans="1:12" ht="15">
      <c r="A2029" s="112" t="s">
        <v>2184</v>
      </c>
      <c r="B2029" s="112" t="s">
        <v>2726</v>
      </c>
      <c r="C2029" s="112">
        <v>2</v>
      </c>
      <c r="D2029" s="114">
        <v>0.0028223065380649343</v>
      </c>
      <c r="E2029" s="114">
        <v>2.110589710299249</v>
      </c>
      <c r="F2029" s="112" t="s">
        <v>2056</v>
      </c>
      <c r="G2029" s="112" t="b">
        <v>0</v>
      </c>
      <c r="H2029" s="112" t="b">
        <v>0</v>
      </c>
      <c r="I2029" s="112" t="b">
        <v>0</v>
      </c>
      <c r="J2029" s="112" t="b">
        <v>0</v>
      </c>
      <c r="K2029" s="112" t="b">
        <v>0</v>
      </c>
      <c r="L2029" s="112" t="b">
        <v>0</v>
      </c>
    </row>
    <row r="2030" spans="1:12" ht="15">
      <c r="A2030" s="112" t="s">
        <v>2726</v>
      </c>
      <c r="B2030" s="112" t="s">
        <v>2184</v>
      </c>
      <c r="C2030" s="112">
        <v>2</v>
      </c>
      <c r="D2030" s="114">
        <v>0.0028223065380649343</v>
      </c>
      <c r="E2030" s="114">
        <v>2.110589710299249</v>
      </c>
      <c r="F2030" s="112" t="s">
        <v>2056</v>
      </c>
      <c r="G2030" s="112" t="b">
        <v>0</v>
      </c>
      <c r="H2030" s="112" t="b">
        <v>0</v>
      </c>
      <c r="I2030" s="112" t="b">
        <v>0</v>
      </c>
      <c r="J2030" s="112" t="b">
        <v>0</v>
      </c>
      <c r="K2030" s="112" t="b">
        <v>0</v>
      </c>
      <c r="L2030" s="112" t="b">
        <v>0</v>
      </c>
    </row>
    <row r="2031" spans="1:12" ht="15">
      <c r="A2031" s="112" t="s">
        <v>2184</v>
      </c>
      <c r="B2031" s="112" t="s">
        <v>2184</v>
      </c>
      <c r="C2031" s="112">
        <v>2</v>
      </c>
      <c r="D2031" s="114">
        <v>0.0028223065380649343</v>
      </c>
      <c r="E2031" s="114">
        <v>1.6334684555795864</v>
      </c>
      <c r="F2031" s="112" t="s">
        <v>2056</v>
      </c>
      <c r="G2031" s="112" t="b">
        <v>0</v>
      </c>
      <c r="H2031" s="112" t="b">
        <v>0</v>
      </c>
      <c r="I2031" s="112" t="b">
        <v>0</v>
      </c>
      <c r="J2031" s="112" t="b">
        <v>0</v>
      </c>
      <c r="K2031" s="112" t="b">
        <v>0</v>
      </c>
      <c r="L2031" s="112" t="b">
        <v>0</v>
      </c>
    </row>
    <row r="2032" spans="1:12" ht="15">
      <c r="A2032" s="112" t="s">
        <v>2184</v>
      </c>
      <c r="B2032" s="112" t="s">
        <v>2173</v>
      </c>
      <c r="C2032" s="112">
        <v>2</v>
      </c>
      <c r="D2032" s="114">
        <v>0.0028223065380649343</v>
      </c>
      <c r="E2032" s="114">
        <v>1.8095597146352678</v>
      </c>
      <c r="F2032" s="112" t="s">
        <v>2056</v>
      </c>
      <c r="G2032" s="112" t="b">
        <v>0</v>
      </c>
      <c r="H2032" s="112" t="b">
        <v>0</v>
      </c>
      <c r="I2032" s="112" t="b">
        <v>0</v>
      </c>
      <c r="J2032" s="112" t="b">
        <v>0</v>
      </c>
      <c r="K2032" s="112" t="b">
        <v>0</v>
      </c>
      <c r="L2032" s="112" t="b">
        <v>0</v>
      </c>
    </row>
    <row r="2033" spans="1:12" ht="15">
      <c r="A2033" s="112" t="s">
        <v>2173</v>
      </c>
      <c r="B2033" s="112" t="s">
        <v>2727</v>
      </c>
      <c r="C2033" s="112">
        <v>2</v>
      </c>
      <c r="D2033" s="114">
        <v>0.0028223065380649343</v>
      </c>
      <c r="E2033" s="114">
        <v>2.28668096935493</v>
      </c>
      <c r="F2033" s="112" t="s">
        <v>2056</v>
      </c>
      <c r="G2033" s="112" t="b">
        <v>0</v>
      </c>
      <c r="H2033" s="112" t="b">
        <v>0</v>
      </c>
      <c r="I2033" s="112" t="b">
        <v>0</v>
      </c>
      <c r="J2033" s="112" t="b">
        <v>0</v>
      </c>
      <c r="K2033" s="112" t="b">
        <v>0</v>
      </c>
      <c r="L2033" s="112" t="b">
        <v>0</v>
      </c>
    </row>
    <row r="2034" spans="1:12" ht="15">
      <c r="A2034" s="112" t="s">
        <v>2727</v>
      </c>
      <c r="B2034" s="112" t="s">
        <v>2369</v>
      </c>
      <c r="C2034" s="112">
        <v>2</v>
      </c>
      <c r="D2034" s="114">
        <v>0.0028223065380649343</v>
      </c>
      <c r="E2034" s="114">
        <v>2.5877109650189114</v>
      </c>
      <c r="F2034" s="112" t="s">
        <v>2056</v>
      </c>
      <c r="G2034" s="112" t="b">
        <v>0</v>
      </c>
      <c r="H2034" s="112" t="b">
        <v>0</v>
      </c>
      <c r="I2034" s="112" t="b">
        <v>0</v>
      </c>
      <c r="J2034" s="112" t="b">
        <v>0</v>
      </c>
      <c r="K2034" s="112" t="b">
        <v>0</v>
      </c>
      <c r="L2034" s="112" t="b">
        <v>0</v>
      </c>
    </row>
    <row r="2035" spans="1:12" ht="15">
      <c r="A2035" s="112" t="s">
        <v>2369</v>
      </c>
      <c r="B2035" s="112" t="s">
        <v>2099</v>
      </c>
      <c r="C2035" s="112">
        <v>2</v>
      </c>
      <c r="D2035" s="114">
        <v>0.0028223065380649343</v>
      </c>
      <c r="E2035" s="114">
        <v>2.28668096935493</v>
      </c>
      <c r="F2035" s="112" t="s">
        <v>2056</v>
      </c>
      <c r="G2035" s="112" t="b">
        <v>0</v>
      </c>
      <c r="H2035" s="112" t="b">
        <v>0</v>
      </c>
      <c r="I2035" s="112" t="b">
        <v>0</v>
      </c>
      <c r="J2035" s="112" t="b">
        <v>0</v>
      </c>
      <c r="K2035" s="112" t="b">
        <v>0</v>
      </c>
      <c r="L2035" s="112" t="b">
        <v>0</v>
      </c>
    </row>
    <row r="2036" spans="1:12" ht="15">
      <c r="A2036" s="112" t="s">
        <v>2104</v>
      </c>
      <c r="B2036" s="112" t="s">
        <v>2100</v>
      </c>
      <c r="C2036" s="112">
        <v>2</v>
      </c>
      <c r="D2036" s="114">
        <v>0.0028223065380649343</v>
      </c>
      <c r="E2036" s="114">
        <v>2.110589710299249</v>
      </c>
      <c r="F2036" s="112" t="s">
        <v>2056</v>
      </c>
      <c r="G2036" s="112" t="b">
        <v>0</v>
      </c>
      <c r="H2036" s="112" t="b">
        <v>0</v>
      </c>
      <c r="I2036" s="112" t="b">
        <v>0</v>
      </c>
      <c r="J2036" s="112" t="b">
        <v>0</v>
      </c>
      <c r="K2036" s="112" t="b">
        <v>0</v>
      </c>
      <c r="L2036" s="112" t="b">
        <v>0</v>
      </c>
    </row>
    <row r="2037" spans="1:12" ht="15">
      <c r="A2037" s="112" t="s">
        <v>2100</v>
      </c>
      <c r="B2037" s="112" t="s">
        <v>2123</v>
      </c>
      <c r="C2037" s="112">
        <v>2</v>
      </c>
      <c r="D2037" s="114">
        <v>0.0028223065380649343</v>
      </c>
      <c r="E2037" s="114">
        <v>2.28668096935493</v>
      </c>
      <c r="F2037" s="112" t="s">
        <v>2056</v>
      </c>
      <c r="G2037" s="112" t="b">
        <v>0</v>
      </c>
      <c r="H2037" s="112" t="b">
        <v>0</v>
      </c>
      <c r="I2037" s="112" t="b">
        <v>0</v>
      </c>
      <c r="J2037" s="112" t="b">
        <v>0</v>
      </c>
      <c r="K2037" s="112" t="b">
        <v>0</v>
      </c>
      <c r="L2037" s="112" t="b">
        <v>0</v>
      </c>
    </row>
    <row r="2038" spans="1:12" ht="15">
      <c r="A2038" s="112" t="s">
        <v>2123</v>
      </c>
      <c r="B2038" s="112" t="s">
        <v>2092</v>
      </c>
      <c r="C2038" s="112">
        <v>2</v>
      </c>
      <c r="D2038" s="114">
        <v>0.0028223065380649343</v>
      </c>
      <c r="E2038" s="114">
        <v>2.28668096935493</v>
      </c>
      <c r="F2038" s="112" t="s">
        <v>2056</v>
      </c>
      <c r="G2038" s="112" t="b">
        <v>0</v>
      </c>
      <c r="H2038" s="112" t="b">
        <v>0</v>
      </c>
      <c r="I2038" s="112" t="b">
        <v>0</v>
      </c>
      <c r="J2038" s="112" t="b">
        <v>0</v>
      </c>
      <c r="K2038" s="112" t="b">
        <v>0</v>
      </c>
      <c r="L2038" s="112" t="b">
        <v>0</v>
      </c>
    </row>
    <row r="2039" spans="1:12" ht="15">
      <c r="A2039" s="112" t="s">
        <v>2092</v>
      </c>
      <c r="B2039" s="112" t="s">
        <v>2364</v>
      </c>
      <c r="C2039" s="112">
        <v>2</v>
      </c>
      <c r="D2039" s="114">
        <v>0.0028223065380649343</v>
      </c>
      <c r="E2039" s="114">
        <v>2.28668096935493</v>
      </c>
      <c r="F2039" s="112" t="s">
        <v>2056</v>
      </c>
      <c r="G2039" s="112" t="b">
        <v>0</v>
      </c>
      <c r="H2039" s="112" t="b">
        <v>0</v>
      </c>
      <c r="I2039" s="112" t="b">
        <v>0</v>
      </c>
      <c r="J2039" s="112" t="b">
        <v>0</v>
      </c>
      <c r="K2039" s="112" t="b">
        <v>0</v>
      </c>
      <c r="L2039" s="112" t="b">
        <v>0</v>
      </c>
    </row>
    <row r="2040" spans="1:12" ht="15">
      <c r="A2040" s="112" t="s">
        <v>2364</v>
      </c>
      <c r="B2040" s="112" t="s">
        <v>2579</v>
      </c>
      <c r="C2040" s="112">
        <v>2</v>
      </c>
      <c r="D2040" s="114">
        <v>0.0028223065380649343</v>
      </c>
      <c r="E2040" s="114">
        <v>2.5877109650189114</v>
      </c>
      <c r="F2040" s="112" t="s">
        <v>2056</v>
      </c>
      <c r="G2040" s="112" t="b">
        <v>0</v>
      </c>
      <c r="H2040" s="112" t="b">
        <v>0</v>
      </c>
      <c r="I2040" s="112" t="b">
        <v>0</v>
      </c>
      <c r="J2040" s="112" t="b">
        <v>0</v>
      </c>
      <c r="K2040" s="112" t="b">
        <v>1</v>
      </c>
      <c r="L2040" s="112" t="b">
        <v>0</v>
      </c>
    </row>
    <row r="2041" spans="1:12" ht="15">
      <c r="A2041" s="112" t="s">
        <v>2579</v>
      </c>
      <c r="B2041" s="112" t="s">
        <v>2313</v>
      </c>
      <c r="C2041" s="112">
        <v>2</v>
      </c>
      <c r="D2041" s="114">
        <v>0.0028223065380649343</v>
      </c>
      <c r="E2041" s="114">
        <v>2.5877109650189114</v>
      </c>
      <c r="F2041" s="112" t="s">
        <v>2056</v>
      </c>
      <c r="G2041" s="112" t="b">
        <v>0</v>
      </c>
      <c r="H2041" s="112" t="b">
        <v>1</v>
      </c>
      <c r="I2041" s="112" t="b">
        <v>0</v>
      </c>
      <c r="J2041" s="112" t="b">
        <v>0</v>
      </c>
      <c r="K2041" s="112" t="b">
        <v>0</v>
      </c>
      <c r="L2041" s="112" t="b">
        <v>0</v>
      </c>
    </row>
    <row r="2042" spans="1:12" ht="15">
      <c r="A2042" s="112" t="s">
        <v>2313</v>
      </c>
      <c r="B2042" s="112" t="s">
        <v>2084</v>
      </c>
      <c r="C2042" s="112">
        <v>2</v>
      </c>
      <c r="D2042" s="114">
        <v>0.0028223065380649343</v>
      </c>
      <c r="E2042" s="114">
        <v>1.985650973690949</v>
      </c>
      <c r="F2042" s="112" t="s">
        <v>2056</v>
      </c>
      <c r="G2042" s="112" t="b">
        <v>0</v>
      </c>
      <c r="H2042" s="112" t="b">
        <v>0</v>
      </c>
      <c r="I2042" s="112" t="b">
        <v>0</v>
      </c>
      <c r="J2042" s="112" t="b">
        <v>0</v>
      </c>
      <c r="K2042" s="112" t="b">
        <v>1</v>
      </c>
      <c r="L2042" s="112" t="b">
        <v>0</v>
      </c>
    </row>
    <row r="2043" spans="1:12" ht="15">
      <c r="A2043" s="112" t="s">
        <v>2084</v>
      </c>
      <c r="B2043" s="112" t="s">
        <v>2240</v>
      </c>
      <c r="C2043" s="112">
        <v>2</v>
      </c>
      <c r="D2043" s="114">
        <v>0.0028223065380649343</v>
      </c>
      <c r="E2043" s="114">
        <v>1.985650973690949</v>
      </c>
      <c r="F2043" s="112" t="s">
        <v>2056</v>
      </c>
      <c r="G2043" s="112" t="b">
        <v>0</v>
      </c>
      <c r="H2043" s="112" t="b">
        <v>1</v>
      </c>
      <c r="I2043" s="112" t="b">
        <v>0</v>
      </c>
      <c r="J2043" s="112" t="b">
        <v>0</v>
      </c>
      <c r="K2043" s="112" t="b">
        <v>0</v>
      </c>
      <c r="L2043" s="112" t="b">
        <v>0</v>
      </c>
    </row>
    <row r="2044" spans="1:12" ht="15">
      <c r="A2044" s="112" t="s">
        <v>2240</v>
      </c>
      <c r="B2044" s="112" t="s">
        <v>2098</v>
      </c>
      <c r="C2044" s="112">
        <v>2</v>
      </c>
      <c r="D2044" s="114">
        <v>0.0028223065380649343</v>
      </c>
      <c r="E2044" s="114">
        <v>2.41161970596323</v>
      </c>
      <c r="F2044" s="112" t="s">
        <v>2056</v>
      </c>
      <c r="G2044" s="112" t="b">
        <v>0</v>
      </c>
      <c r="H2044" s="112" t="b">
        <v>0</v>
      </c>
      <c r="I2044" s="112" t="b">
        <v>0</v>
      </c>
      <c r="J2044" s="112" t="b">
        <v>1</v>
      </c>
      <c r="K2044" s="112" t="b">
        <v>0</v>
      </c>
      <c r="L2044" s="112" t="b">
        <v>0</v>
      </c>
    </row>
    <row r="2045" spans="1:12" ht="15">
      <c r="A2045" s="112" t="s">
        <v>2098</v>
      </c>
      <c r="B2045" s="112" t="s">
        <v>2196</v>
      </c>
      <c r="C2045" s="112">
        <v>2</v>
      </c>
      <c r="D2045" s="114">
        <v>0.0028223065380649343</v>
      </c>
      <c r="E2045" s="114">
        <v>2.41161970596323</v>
      </c>
      <c r="F2045" s="112" t="s">
        <v>2056</v>
      </c>
      <c r="G2045" s="112" t="b">
        <v>1</v>
      </c>
      <c r="H2045" s="112" t="b">
        <v>0</v>
      </c>
      <c r="I2045" s="112" t="b">
        <v>0</v>
      </c>
      <c r="J2045" s="112" t="b">
        <v>0</v>
      </c>
      <c r="K2045" s="112" t="b">
        <v>0</v>
      </c>
      <c r="L2045" s="112" t="b">
        <v>0</v>
      </c>
    </row>
    <row r="2046" spans="1:12" ht="15">
      <c r="A2046" s="112" t="s">
        <v>2196</v>
      </c>
      <c r="B2046" s="112" t="s">
        <v>2728</v>
      </c>
      <c r="C2046" s="112">
        <v>2</v>
      </c>
      <c r="D2046" s="114">
        <v>0.0028223065380649343</v>
      </c>
      <c r="E2046" s="114">
        <v>2.5877109650189114</v>
      </c>
      <c r="F2046" s="112" t="s">
        <v>2056</v>
      </c>
      <c r="G2046" s="112" t="b">
        <v>0</v>
      </c>
      <c r="H2046" s="112" t="b">
        <v>0</v>
      </c>
      <c r="I2046" s="112" t="b">
        <v>0</v>
      </c>
      <c r="J2046" s="112" t="b">
        <v>1</v>
      </c>
      <c r="K2046" s="112" t="b">
        <v>0</v>
      </c>
      <c r="L2046" s="112" t="b">
        <v>0</v>
      </c>
    </row>
    <row r="2047" spans="1:12" ht="15">
      <c r="A2047" s="112" t="s">
        <v>2091</v>
      </c>
      <c r="B2047" s="112" t="s">
        <v>2261</v>
      </c>
      <c r="C2047" s="112">
        <v>2</v>
      </c>
      <c r="D2047" s="114">
        <v>0.00357394198291882</v>
      </c>
      <c r="E2047" s="114">
        <v>2.0136796972911926</v>
      </c>
      <c r="F2047" s="112" t="s">
        <v>2056</v>
      </c>
      <c r="G2047" s="112" t="b">
        <v>0</v>
      </c>
      <c r="H2047" s="112" t="b">
        <v>0</v>
      </c>
      <c r="I2047" s="112" t="b">
        <v>0</v>
      </c>
      <c r="J2047" s="112" t="b">
        <v>0</v>
      </c>
      <c r="K2047" s="112" t="b">
        <v>0</v>
      </c>
      <c r="L2047" s="112" t="b">
        <v>0</v>
      </c>
    </row>
    <row r="2048" spans="1:12" ht="15">
      <c r="A2048" s="112" t="s">
        <v>2231</v>
      </c>
      <c r="B2048" s="112" t="s">
        <v>2322</v>
      </c>
      <c r="C2048" s="112">
        <v>2</v>
      </c>
      <c r="D2048" s="114">
        <v>0.00357394198291882</v>
      </c>
      <c r="E2048" s="114">
        <v>2.5877109650189114</v>
      </c>
      <c r="F2048" s="112" t="s">
        <v>2056</v>
      </c>
      <c r="G2048" s="112" t="b">
        <v>0</v>
      </c>
      <c r="H2048" s="112" t="b">
        <v>0</v>
      </c>
      <c r="I2048" s="112" t="b">
        <v>0</v>
      </c>
      <c r="J2048" s="112" t="b">
        <v>0</v>
      </c>
      <c r="K2048" s="112" t="b">
        <v>0</v>
      </c>
      <c r="L2048" s="11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9BAF28-7BE4-4B4E-9797-C09F1D85D9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2020-06-26T10:35:56Z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