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<sst xmlns="http://schemas.openxmlformats.org/spreadsheetml/2006/main" count="5696" uniqueCount="1377">
  <si>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</si>
  <si>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</si>
  <si>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</si>
  <si>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</si>
  <si>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</si>
  <si>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</si>
  <si>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</si>
  <si>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</si>
  <si>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</si>
  <si>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</si>
  <si>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</si>
  <si>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</si>
  <si>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</si>
  <si>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</si>
  <si>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</si>
  <si>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</si>
  <si>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</si>
  <si>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</si>
  <si>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</si>
  <si>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</si>
  <si>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</si>
  <si>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</si>
  <si>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</si>
  <si>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</si>
  <si>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</si>
  <si>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</si>
  <si>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</si>
  <si>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</si>
  <si>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</si>
  <si>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</si>
  <si>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</si>
  <si>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</si>
  <si>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</si>
  <si>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</si>
  <si>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</si>
  <si>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</si>
  <si>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</si>
  <si>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</si>
  <si>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</si>
  <si>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</si>
  <si>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</si>
  <si>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</si>
  <si>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</si>
  <si>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</si>
  <si>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</si>
  <si>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</si>
  <si>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</si>
  <si>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</si>
  <si>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</si>
  <si>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</si>
  <si>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</si>
  <si>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</si>
  <si>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</si>
  <si>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</si>
  <si>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</si>
  <si>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</si>
  <si>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</si>
  <si>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</si>
  <si>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</si>
  <si>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</si>
  <si>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</si>
  <si>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</si>
  <si>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</si>
  <si>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</si>
  <si>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</si>
  <si>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</si>
  <si>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</si>
  <si>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</si>
  <si>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</si>
  <si>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</si>
  <si>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</si>
  <si>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</si>
  <si>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</si>
  <si>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</si>
  <si>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</si>
  <si>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</si>
  <si>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</si>
  <si>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</si>
  <si>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</si>
  <si>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</si>
  <si>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</si>
  <si>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</si>
  <si>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</si>
  <si>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</si>
  <si>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</si>
  <si>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</si>
  <si>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</si>
  <si>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</si>
  <si>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</si>
  <si>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</si>
  <si>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</si>
  <si>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</si>
  <si>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</si>
  <si>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</si>
  <si>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</si>
  <si>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</si>
  <si>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</si>
  <si>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</si>
  <si>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</si>
  <si>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</si>
  <si>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</si>
  <si>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</si>
  <si>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</si>
  <si>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</si>
  <si>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</si>
  <si>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</si>
  <si>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</si>
  <si>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</si>
  <si>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</si>
  <si>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</si>
  <si>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</si>
  <si>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</si>
  <si>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</si>
  <si>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</si>
  <si>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</si>
  <si>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</si>
  <si>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</si>
  <si>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</si>
  <si>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</si>
  <si>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</si>
  <si>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</si>
  <si>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</si>
  <si>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</si>
  <si>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</si>
  <si>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</si>
  <si>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</si>
  <si>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</si>
  <si>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</si>
  <si>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</si>
  <si>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</si>
  <si>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</si>
  <si>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</si>
  <si>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</si>
  <si>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</si>
  <si>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</si>
  <si>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</si>
  <si>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</si>
  <si>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</si>
  <si>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</si>
  <si>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</si>
  <si>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</si>
  <si>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</si>
  <si>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</si>
  <si>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</si>
  <si>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</si>
  <si>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</si>
  <si>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</si>
  <si>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</si>
  <si>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</si>
  <si>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</si>
  <si>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</si>
  <si>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</si>
  <si>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</si>
  <si>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</si>
  <si>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</si>
  <si>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</si>
  <si>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</si>
  <si>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</si>
  <si>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</si>
  <si>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</si>
  <si>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</si>
  <si>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</si>
  <si>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</si>
  <si>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</si>
  <si>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</si>
  <si>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</si>
  <si>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</si>
  <si>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</si>
  <si>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</si>
  <si>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</si>
  <si>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</si>
  <si>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</si>
  <si>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</si>
  <si>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</si>
  <si>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</si>
  <si>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</si>
  <si>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</si>
  <si>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</si>
  <si>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</si>
  <si>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</si>
  <si>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</si>
  <si>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</si>
  <si>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</si>
  <si>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</si>
  <si>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</si>
  <si>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</si>
  <si>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</si>
  <si>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</si>
  <si>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</si>
  <si>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</si>
  <si>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</si>
  <si>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</si>
  <si>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</si>
  <si>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</si>
  <si>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Autofill Workbook Results</t>
  </si>
  <si>
    <t>Graph History</t>
  </si>
  <si>
    <t>Relationship</t>
  </si>
  <si>
    <t>z0HLChozRek</t>
  </si>
  <si>
    <t>8oqJiNzJQ_E</t>
  </si>
  <si>
    <t>Kp7FkLBRpKg</t>
  </si>
  <si>
    <t>1efOs0BsE0g</t>
  </si>
  <si>
    <t>5-EJAIXdGp8</t>
  </si>
  <si>
    <t>TOmGg72_Vds</t>
  </si>
  <si>
    <t>zKpiRliQePY</t>
  </si>
  <si>
    <t>4YGyj_KHnOE</t>
  </si>
  <si>
    <t>_sbT3_9dJY4</t>
  </si>
  <si>
    <t>EjSCy1GC6Sc</t>
  </si>
  <si>
    <t>85KAxIDRaBU</t>
  </si>
  <si>
    <t>8XdHhsgoapQ</t>
  </si>
  <si>
    <t>ZGCEJKDDUf4</t>
  </si>
  <si>
    <t>-93oZUrmeEA</t>
  </si>
  <si>
    <t>xIMDj-IO3S0</t>
  </si>
  <si>
    <t>XI8FFeIzbR4</t>
  </si>
  <si>
    <t>i6TwqCOWf7E</t>
  </si>
  <si>
    <t>3Jo_cvA8Orc</t>
  </si>
  <si>
    <t>fuJC5hG92Vo</t>
  </si>
  <si>
    <t>nR_28RIEGyw</t>
  </si>
  <si>
    <t>siigAameuGg</t>
  </si>
  <si>
    <t>vDBzi0n9Fxg</t>
  </si>
  <si>
    <t>RLrK1yAajJs</t>
  </si>
  <si>
    <t>9dtt3MPwenA</t>
  </si>
  <si>
    <t>BzoKwC3UC0c</t>
  </si>
  <si>
    <t>Ubknv_CxSUY</t>
  </si>
  <si>
    <t>pgw6FoFPhjo</t>
  </si>
  <si>
    <t>04MDYW1oEe0</t>
  </si>
  <si>
    <t>k848RRhBJXc</t>
  </si>
  <si>
    <t>CzFs7gqfXFU</t>
  </si>
  <si>
    <t>w_O1oIqVq3g</t>
  </si>
  <si>
    <t>4vB05rZ6AMk</t>
  </si>
  <si>
    <t>saaP94xOJWM</t>
  </si>
  <si>
    <t>2tqckO7bBjk</t>
  </si>
  <si>
    <t>G-xPt-1vBZE</t>
  </si>
  <si>
    <t>bY4U35dEYcc</t>
  </si>
  <si>
    <t>7CMUtKWubxg</t>
  </si>
  <si>
    <t>6BmbvTvFQ3g</t>
  </si>
  <si>
    <t>MfAiB2ZoRhM</t>
  </si>
  <si>
    <t>OJrXI3rBbSA</t>
  </si>
  <si>
    <t>aWl7kQZHZE0</t>
  </si>
  <si>
    <t>cOmdkN6MOwU</t>
  </si>
  <si>
    <t>Hks6Nq7g6P4</t>
  </si>
  <si>
    <t>ZE7OfU71Sbk</t>
  </si>
  <si>
    <t>iFGjvH6Q2rQ</t>
  </si>
  <si>
    <t>joxYLYD5eoQ</t>
  </si>
  <si>
    <t>PObqVwmO9pU</t>
  </si>
  <si>
    <t>SzrrjMZqMJs</t>
  </si>
  <si>
    <t>m9AwjZWboIk</t>
  </si>
  <si>
    <t>ZZ7c_6xghX8</t>
  </si>
  <si>
    <t>5PDkVWn213g</t>
  </si>
  <si>
    <t>3MNNX3IxTxM</t>
  </si>
  <si>
    <t>_EzfGrTEgDU</t>
  </si>
  <si>
    <t>2cMGdYehvF4</t>
  </si>
  <si>
    <t>MmHsKnjgGC4</t>
  </si>
  <si>
    <t>ZF1Z4qw2Mms</t>
  </si>
  <si>
    <t>hPkru_Nllno</t>
  </si>
  <si>
    <t>B97uTZBw_ZU</t>
  </si>
  <si>
    <t>dEeCd5wDGf0</t>
  </si>
  <si>
    <t>kJ7mH81ryeg</t>
  </si>
  <si>
    <t>m5l_P8SM5Ak</t>
  </si>
  <si>
    <t>j7OQpRLDM9I</t>
  </si>
  <si>
    <t>7MursWMNONo</t>
  </si>
  <si>
    <t>u0o6alqvTDY</t>
  </si>
  <si>
    <t>Fc0Nq1TzfPw</t>
  </si>
  <si>
    <t>gLko3Xq0DhE</t>
  </si>
  <si>
    <t>AcrYY-5PdgE</t>
  </si>
  <si>
    <t>_4Sk1R2RxvY</t>
  </si>
  <si>
    <t>8EQAwrDwE6Y</t>
  </si>
  <si>
    <t>aQHI8p_uez8</t>
  </si>
  <si>
    <t>YK8gYBo54uA</t>
  </si>
  <si>
    <t>AYep3LwjjW4</t>
  </si>
  <si>
    <t>anDy97Q8qwI</t>
  </si>
  <si>
    <t>0xK1DJ691sE</t>
  </si>
  <si>
    <t>jCC8fPQOaxU</t>
  </si>
  <si>
    <t>4DMEekDsN2M</t>
  </si>
  <si>
    <t>pal217dIhFc</t>
  </si>
  <si>
    <t>Ym1NLvmcl0k</t>
  </si>
  <si>
    <t>5tKOV0KqPlg</t>
  </si>
  <si>
    <t>PArFP7ZJrtg</t>
  </si>
  <si>
    <t>jFOhfwvkhLY</t>
  </si>
  <si>
    <t>Kkx9_jf3FXw</t>
  </si>
  <si>
    <t>OTV_Vz-Ur2M</t>
  </si>
  <si>
    <t>SpXbgx4hnlc</t>
  </si>
  <si>
    <t>J98ed6oML2A</t>
  </si>
  <si>
    <t>NvCSr7qzAAM</t>
  </si>
  <si>
    <t>YWGVWGa5wuE</t>
  </si>
  <si>
    <t>DkFJE8ZdeG8</t>
  </si>
  <si>
    <t>UqOXqxAABxM</t>
  </si>
  <si>
    <t>6_35a7sn6ds</t>
  </si>
  <si>
    <t>B0cVKmkYamU</t>
  </si>
  <si>
    <t>Z-YyVinb0NM</t>
  </si>
  <si>
    <t>FK3HyJglFQ0</t>
  </si>
  <si>
    <t>LUk73pUe9i4</t>
  </si>
  <si>
    <t>Zl_GlPquElI</t>
  </si>
  <si>
    <t>gCxYmmrVAEA</t>
  </si>
  <si>
    <t>Recommended Video</t>
  </si>
  <si>
    <t>Title</t>
  </si>
  <si>
    <t>Description</t>
  </si>
  <si>
    <t>Tags</t>
  </si>
  <si>
    <t>Author</t>
  </si>
  <si>
    <t>Created Date (UTC)</t>
  </si>
  <si>
    <t>Views</t>
  </si>
  <si>
    <t>Comments</t>
  </si>
  <si>
    <t>Likes Count</t>
  </si>
  <si>
    <t>Dislikes Count</t>
  </si>
  <si>
    <t>Custom Menu Item Text</t>
  </si>
  <si>
    <t>Custom Menu Item Action</t>
  </si>
  <si>
    <t>La secta de PEDÓFILOS que GOBIERNA el mundo - PIZZAGATE</t>
  </si>
  <si>
    <t>Bill Gates y la Pandemia | Primero la Verdad | Reinaldo Carrillo | FACTORES DE PODER</t>
  </si>
  <si>
    <t>La explosiva carta de monseñor Vigano sobre Trump</t>
  </si>
  <si>
    <t>Salen a la luz los vínculos entre el Gobierno Sánchez y George Soros</t>
  </si>
  <si>
    <t>Detrás de la noticia: Entrevista con Julian Assange</t>
  </si>
  <si>
    <t>Entrevista con Julian Assange, fundador y editor de la página web WikiLeaks</t>
  </si>
  <si>
    <t>Por qué odian tanto a Trump</t>
  </si>
  <si>
    <t>Edward Snowden: "Todo el mundo es consciente de que Facebook tiene malas intenciones"</t>
  </si>
  <si>
    <t>Julian Assange arrested at Ecuadorian embassy in London</t>
  </si>
  <si>
    <t>Why is Julian Assange a wanted man?</t>
  </si>
  <si>
    <t>What Happens Next For Julian Assange (HBO)</t>
  </si>
  <si>
    <t>On trial: Julian Assange and journalism | The Listening Post (Full)</t>
  </si>
  <si>
    <t>ABC obtains alleged spying footage of Wikileaks founder Julian Assange | ABC News</t>
  </si>
  <si>
    <t>I Broke Dumb Laws In Front Of Police</t>
  </si>
  <si>
    <t>UN Rapporteur: Assange shows 'signs of psychological torture' | DW News</t>
  </si>
  <si>
    <t>Julian Assange's Long Road to Prison</t>
  </si>
  <si>
    <t>Assange on the dangers of a Hillary Clinton presidency</t>
  </si>
  <si>
    <t>Julian Assange: The 2011 60 Minutes Interview</t>
  </si>
  <si>
    <t>WikiLeaks – public enemy Julian Assange | DW Documentary</t>
  </si>
  <si>
    <t>Julian Assange on Seth Rich</t>
  </si>
  <si>
    <t>UK: Hillary Clinton used destruction of Libya to run in election - Assange on emails</t>
  </si>
  <si>
    <t>Julian Assange has information that could 'destroy Russian hoax': Jerome Corsi</t>
  </si>
  <si>
    <t>WikiLeaks exposes Clinton emails revealing link to President</t>
  </si>
  <si>
    <t>Pamela Anderson and Julian Assange: their unlikely love story | 60 Minutes Australia</t>
  </si>
  <si>
    <t>Julian Assange: 'This generation is the last free generation'</t>
  </si>
  <si>
    <t>Julian Assange shares advice for the Democratic Party</t>
  </si>
  <si>
    <t>Was DNC staffer Seth Rich in contact with WikiLeaks?</t>
  </si>
  <si>
    <t>Trump: Clinton “caused tremendous death” as secretary of state</t>
  </si>
  <si>
    <t>Julian Assange: Media coverage in America is very dishonest</t>
  </si>
  <si>
    <t>Honest Government Ad | Julian Assange</t>
  </si>
  <si>
    <t>Honest Government Ad | Economic Recovery</t>
  </si>
  <si>
    <t>Honest Government Ad | After the fires</t>
  </si>
  <si>
    <t>Honest Government Ad | Visit Hawai'i!</t>
  </si>
  <si>
    <t>Honest Government Ad | 2019 Election (Season 1 Finale)</t>
  </si>
  <si>
    <t>Honest Government Ad | The Machine</t>
  </si>
  <si>
    <t>Honest Government Ad | We're F**ked</t>
  </si>
  <si>
    <t>Honest Government Ad | Coronavirus: Flatten The Curve</t>
  </si>
  <si>
    <t>Tucker: People are mad at Assange instead of Obama</t>
  </si>
  <si>
    <t>WikiLeaks Cold Open - SNL</t>
  </si>
  <si>
    <t>Bill Presses Julian Assange on Playing Fair | Real Time with Bill Maher (HBO)</t>
  </si>
  <si>
    <t>New Rule: The Good Sex Economy | Real Time with Bill Maher (HBO)</t>
  </si>
  <si>
    <t>Seth Abramson: Proof of Collusion | Real Time with Bill Maher (HBO)</t>
  </si>
  <si>
    <t>Real Time with Bill Maher: The Interview with Seth Rogen (HBO)</t>
  </si>
  <si>
    <t>Real Time with Bill Maher: Bernie Sanders Interview – May 27, 2016 (HBO)</t>
  </si>
  <si>
    <t>New Rule: Trump, Save Earth! | Real Time with Bill Maher (HBO)</t>
  </si>
  <si>
    <t>Rick Santorum Makes the Case for a Trump Presidency | Overtime with Bill Maher (HBO)</t>
  </si>
  <si>
    <t>Julian Assange On DNC Emails And 2016 Election (Full Interview) | Meet The Press | NBC News</t>
  </si>
  <si>
    <t>¡ESTRENO! Cuando ya no esté: Julian Assange, el enemigo Nº 1 (Parte 1/2) | #0</t>
  </si>
  <si>
    <t>EE. UU. contra China | DW Documental</t>
  </si>
  <si>
    <t>El Punto en la i: George Soros: La Farsa de la filantropía</t>
  </si>
  <si>
    <t>Cuando ya no esté: Neil deGrasse (Parte 1/2) | #0</t>
  </si>
  <si>
    <t>Correa sobre detención Assange: "Moreno es un traidor completo"</t>
  </si>
  <si>
    <t>Edward Snowden habla de la batalla de Apple contra el FBI</t>
  </si>
  <si>
    <t>¿Los habitantes del planeta Ummo llegaron a contactar con nosotros?</t>
  </si>
  <si>
    <t>El Palmar de Troya, la iglesia oscura | Los Reporteros</t>
  </si>
  <si>
    <t>Salvados - Julian Assange, el fundador de Wikileaks</t>
  </si>
  <si>
    <t>¡ESTRENO! Cuando ya no esté: Julian Assange, el enemigo Nº 1 (Parte 2/2) | #0</t>
  </si>
  <si>
    <t>Weekend Update: Julian Assange Arrested - SNL</t>
  </si>
  <si>
    <t>Weekend Update on the Las Vegas Shooting - SNL</t>
  </si>
  <si>
    <t>Colbert Gets His Copy Of The Mueller Report</t>
  </si>
  <si>
    <t>Weekend Update on IHOP's Apology - SNL</t>
  </si>
  <si>
    <t>Trump Amps Up the Racism Because He’s Failed at Everything Else: A Closer Look</t>
  </si>
  <si>
    <t>Weekend Update on Russia Blackmailing Donald Trump - SNL</t>
  </si>
  <si>
    <t>Trump Dodges Questions on Mueller, Tax Returns, WikiLeaks: A Closer Look</t>
  </si>
  <si>
    <t>Weekend Update on the Government Shutdown - SNL</t>
  </si>
  <si>
    <t>Weekend Update on Fire and Fury - SNL</t>
  </si>
  <si>
    <t>Weekend Update on Hope Hicks's Resignation - SNL</t>
  </si>
  <si>
    <t>Assange Arrested and Charged with Conspiracy | The Daily Show</t>
  </si>
  <si>
    <t>It’s 2019, and the U.S. President Still Thinks a Cold Snap Disproves Global Warming | The Daily Show</t>
  </si>
  <si>
    <t>“Cornerstore Caroline” Falsely Accuses a 9-Year-Old Black Boy of Sexual Assault | The Daily Show</t>
  </si>
  <si>
    <t>Getting to Know Bernie Sanders | The Daily Show</t>
  </si>
  <si>
    <t>DiscrimiNATION | The Daily Show</t>
  </si>
  <si>
    <t>Mobile Homes: Last Week Tonight with John Oliver (HBO)</t>
  </si>
  <si>
    <t>Tomi Lahren's Anger Lights Facebook on Fire: The Daily Show</t>
  </si>
  <si>
    <t>Boeing Gets Grounded and the FAA Is Broke AF | The Daily Show</t>
  </si>
  <si>
    <t>In the Foxhole | The Daily Show</t>
  </si>
  <si>
    <t>How South Africa Could Prepare the U.S. for President Trump: The Daily Show</t>
  </si>
  <si>
    <t>Edward Snowden - “Permanent Record” &amp; Life as an Exiled NSA Whistleblower | The Daily Show</t>
  </si>
  <si>
    <t>Secret World of US Election: Julian Assange talks to John Pilger (FULL INTERVIEW)</t>
  </si>
  <si>
    <t>The United States vs Julian Assange | Four Corners</t>
  </si>
  <si>
    <t>Julian Assange: 'I cannot forgive terrible injustice'</t>
  </si>
  <si>
    <t>Julian Assange: 'Orwellian horror' of Google Glass, &amp; in bed with state dept (FULL INTERVIEW)</t>
  </si>
  <si>
    <t>Full Interview: Julian Assange on Trump, DNC Emails, Russia, the CIA, Vault 7 &amp; More</t>
  </si>
  <si>
    <t>REFEED: Assange last video before communications cut at Ecuadorian Embassy in London</t>
  </si>
  <si>
    <t>RT News: On-air livestream 24/7 (HD)</t>
  </si>
  <si>
    <t>Calle 13 - Multi_Viral ft. Julian Assange, Kamilya Jubran, Tom Morello</t>
  </si>
  <si>
    <t>Calle 13: "Digo Lo Que Pienso" (Video oficial)</t>
  </si>
  <si>
    <t>Calle 13 - Latinoamérica</t>
  </si>
  <si>
    <t>Residente - Milo (Video Letra)</t>
  </si>
  <si>
    <t>The Hamilton Mixtape: Immigrants (We Get The Job Done)</t>
  </si>
  <si>
    <t>Calle 13 - La Perla (Long Version) ft. Rubén Blades, La Chilinga</t>
  </si>
  <si>
    <t>Calle 13 - La vida (Respira el Momento)</t>
  </si>
  <si>
    <t>Calle 13 - Así de grandes son las ideas</t>
  </si>
  <si>
    <t>Calle 13 - El Aguante</t>
  </si>
  <si>
    <t>Guerra - Residente (Video Oficial)</t>
  </si>
  <si>
    <t>"Siento pena por Hillary Clinton" , dice Assange en entrevista exclusiva</t>
  </si>
  <si>
    <t>¿Existe de verdad una secta formada por las personas más ricas y poderosas del mundo que trafican con menores para tener sexo con ellos y hacer sacrificios satánicos?En este vídeo os cuento todas las teorías que hay, contadme en los comentarios si os creéis algo de todo esto!</t>
  </si>
  <si>
    <t>No son teorías conspirativas, ni especulaciones, ni inventos, las numerosas acciones y extraños lazos que conectan a Bill Gates con el fenómeno del coronavirus que enfrenta el mundo.
Fuentes: https://docs.google.com/document/d/1BCie-ZbmfFNGv-DIuAGvfzGWZ5K2d2kg2v-LyiI_M_U/edit?usp=sharing
Tienda OnLine: https://teespring.com/es/stores/factores-de-poder-media
WhatsApp: +1 (754)7990391 Enlace: https://wa.me/17547990391
Instagram: https://www.instagram.com/factoresdepoder/
Twitter: https://twitter.com/Factoresdepoder
Facebook: https://www.facebook.com/factoresdepoder/</t>
  </si>
  <si>
    <t>Monseñor Vigano, ex nuncio del Vaticano en los EEUU, hoy en paradero desconocido, ha escrito una carta en la que dibuja una batalla trascendental entre la Luz y las Tinieblas y señala a Trump como el principal luchador contra las fuerzas de la oscuridad. 
↘ Si quieres ver los programas completos visita nuestra web ↙
✔ https://eltorotv.com/programas
SUSCRÍBETE a nuestro canal para obtener la mejor información https://www.youtube.com/channel/UC2T6NU6-JLWzAzaGdqvNyzA  
Y DESCRUBRE MÁS en https://eltorotv.com/
Y en nuestras redes sociales:
Facebook: https://www.facebook.com/gatoalagua/
Twitter: https://twitter.com/Gato_directo</t>
  </si>
  <si>
    <t>La nueva ministra de Exteriores, Arancha González Laya,  Josep Borrell, el propio Pedro Sánchez... Son algunos de los rostros conocidos del PSOE que guardan relación con George Soros.  Analizamos los vínculos de el magnate con el Gobierno socialista en 'El Gato al Agua' junto a Antonio Castro, autor del libro 'Soros, rompiendo España'.'Hemos entrado una fase en el que el globalismo totalitario ha dado la cara'. Asegura que saber qué conversaciones ha mantenido el presidente de Gobierno es clave 'me  gustaría saber las conversaciones con un señor que se dedica a controlar Estados'.  
¿Queda demostrada la influencia de George Soros en el proceso catalán de sedición y rebelión? ¿Cuáles son los ministros socialistas que guardan relación con George Soros? Destapamos la influencia de Soros en El Gato al Agua. Vean.</t>
  </si>
  <si>
    <t>¿Cómo crear una plataforma independiente de Internet en América Latina? ¿Cuánto tiempo estaría atrapado Assange en la embajada ecuatoriana en Londres? ¿Por qué América Latina otorga asilos desafiando a EE.UU.? Las respuestas a esas y otras preguntas en una entrevista exclusiva con el fundador de Wikileaks Julian Assange en "Detrás de la Noticia"
Todos los episodios: http://actualidad.rt.com/programas/detras_de_la_noticia
¡Suscríbete a "ActualidadRT"! 
https://twitter.com/ActualidadRT
https://www.facebook.com/ActualidadRT
https://plus.google.com/+RTenEspanol/posts
http://www.youtube.com/user/ActualidadRT
RT en vivo: http://actualidad.rt.com/mas/envivo/
RT EN ESPAÑOL: DESDE RUSIA CON INFORMACIÓN</t>
  </si>
  <si>
    <t>En esta nueva edición de Entrevista, Julian Assange, internacionalmente conocido por ser fundador y editor de la página web WikiLeaks especializada en documentos confidenciales, nos habla de las últimas publicaciones de esta web, de sus principales enemigos y de la libertad de prensa en general.
Leer más : http://actualidad.rt.com/programas/entrevista
Sigannos en http://twitter.com/ActualidadRT 
http://www.facebook.com/ActualidadRT
RT en vivo: http://actualidad.rt.com/mas/envivo/</t>
  </si>
  <si>
    <t>Donald Trump se ha convertido en la bestia negra del Nuevo Orden del Mundo por su política en materia de comercio internacional, telefonía, industria farmacéutica, etc. Esta es la verdad sobre los enemigos de Trump.
↘ Si quieres ver los programas completos visita nuestra web ↙
✔ https://eltorotv.com/programas
SUSCRÍBETE a nuestro canal para obtener la mejor información https://www.youtube.com/channel/UC2T6NU6-JLWzAzaGdqvNyzA  
Y DESCRUBRE MÁS en https://eltorotv.com/
Y en nuestras redes sociales:
Facebook: https://www.facebook.com/gatoalagua/
Twitter: https://twitter.com/Gato_directo</t>
  </si>
  <si>
    <t>En una entrevista exclusiva con France 24, el exagente de la Agencia Central de Inteligencia de Estados Unidos (CIA), Edward Snowden, compartió su visión sobre la situación de la vigilancia masiva a nivel global. Snowden habló con France 24 desde Rusia, donde vive en el exilio después de filtrar en 2013 documentos confidenciales de Estados Unidos sobre vigilancia masiva.
Suscriba a nuestra cadena en YouTube : 
http://f24.my/youtubeES
En VIVO - Siga FRANCE 24 aquí 
http://f24.my/YTliveES
Nuestro sitio :
http://www.france24.com/es/
Únase a la comunidad Facebook :
https://www.facebook.com/FRANCE24.Espanol/
Siganos en Twitter :
https://twitter.com/France24_es</t>
  </si>
  <si>
    <t>Julian Assange has been arrested at the Ecuadorian embassy in London, where the WikiLeaks founder was granted refuge in 2012 while on bail in the UK over sexual assault allegations against him in Sweden. In a statement the Met police said: 'The MPS had a duty to execute the warrant, on behalf of Westminster magistrates court, and was invited into the embassy by the ambassador, following the Ecuadorian government’s withdrawal of asylum'
Subscribe to Guardian News on YouTube ► http://bit.ly/guardianwiressub
WikiLeaks founder Julian Assange arrested at London's Ecuadorian embassy – live updates ► https://www.theguardian.com/media/live/2019/apr/11/wikileaks-founder-julian-assange-arrested-at-the-ecuadorean-embassy-live-updates
Support the Guardian ► https://support.theguardian.com/contribute
Today in Focus podcast ► https://www.theguardian.com/news/series/todayinfocus
The Guardian YouTube network:
The Guardian ► http://www.youtube.com/theguardian
Owen Jones talks ► http://bit.ly/subsowenjones
Guardian Football ► http://is.gd/guardianfootball
Guardian Sport ► http://bit.ly/GDNsport
Guardian Culture ► http://is.gd/guardianculture</t>
  </si>
  <si>
    <t>Wikileaks founder Julian Assange is facing trial to determine whether he'll be extradited to the United States. Why is he a wanted man? 
#Wikileaks #Assange #extradition
Subscribe: http://trt.world/subscribe
Livestream: http://trt.world/ytlive
Facebook: http://trt.world/facebook
Twitter: http://trt.world/twitter
Instagram: http://trt.world/instagram
Visit our website: http://trt.world</t>
  </si>
  <si>
    <t>Julian Assange’s lawyers are digging in for a furious, last-ditch effort to block his extradition to the U.S., following his dramatic arrest Thursday morning. The WikiLeaks founder was dragged out of the Ecuadorian embassy, where he had been living since 2012.
Assange is now facing up to five years in American prison for allegedly conspiring to hack into a classified Pentagon computer system in 2010. A 2018 indictment, unsealed by the Department of Justice on Thursday, charges him with a single count of conspiracy to commit computer intrusion and alleges that he tried to help former Army intelligence analyst Chelsea Manning gain access to the government computer system in March 2010.
Given Assange’s contentious history with Washington, the initial indictment may be an attempt to bring Assange to the U.S. before targeting him with additional charges, former federal prosecutors told VICE News. His longstanding confrontation with the U.S. government now appears destined to play out in courtrooms in London and Alexandria, Virginia.
“Once the Justice Department gets him over here, they have a lot more leverage over Mr. Assange — and the tables are turned,” said Renato Mariotti, a former U.S. prosecutor based in Chicago. “You don’t need to be a legal analyst to see why the Justice Department would probably like to charge him with all sorts of things.”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</si>
  <si>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On The Listening Post this week: To extradite or not to extradite: Julian Assange's trial and its consequences for journalism. Plus, prison journalism in the US.
On trial: Julian Assange and journalism 
We begin with the legal fate of Julian Assange. This past week saw the commencement of a court case that will determine whether Britain should extradite the WikiLeaks founder to the United States.
The US government has charged Assange for his part in the release of classified military documents - he's looking at a maximum prison sentence of 175 years.
Assange's advocates say he has little chance of getting a fair trial in the US and, if sent there, he could end up facing conditions amounting to torture.
It is a case against Julian Assange and, by implication, modern-day journalism.
Contributors:
Stefania Maurizi - Investigative journalist
James Ball - Global editor, The Bureau of Investigative Journalism
Rebecca Vincent - UK bureau director, Reporters Without Borders
Nils Melzer - UN special rapporteur on torture
On our radar:
Richard Gizbert speaks to producer Meenakshi Ravi about the "Delhi Riots" and the difficulties journalists are facing in trying to cover them.
America's Jailhouse Journalists
More than two million people live within the American prison system. That is roughly equivalent to the population of a city like Las Vegas, imprisoned across the country.
The stories of what really goes on inside are seldom heard. For journalists who have tried, access is the issue, with prison authorities usually controlling who gets in and what stories get out.
But some prisoners are determined to make this a beat of their own. The journalism they produce behind bars is of real value, both for audiences and the reporters involved.
The Listening Post's Flo Phillips on the ultimate inside story - prison journalism in the US.
Contributors:
John J Lennon - Inmate journalist from Sing Sing Prison &amp; contributing editor, Esquire Magazine
Troy Williams - Founder, San Quentin Prison Report &amp; founder, Restorative Media Project
Kerry Myers - Former editor, The Angolite &amp; deputy executive director, The Parole Project
Sam Robinson - Information officer, San Quentin Prison
Yukari Iwatani Kane - Adviser, San Quentin News
- Subscribe to our channel: http://aje.io/AJSubscribe 
- Follow us on Twitter: https://twitter.com/AJEnglish 
- Find us on Facebook: https://www.facebook.com/aljazeera 
- Check our website: https://www.aljazeera.com/</t>
  </si>
  <si>
    <t>Julian Assange's conversations, including legally privileged meetings with Australian lawyers Geoffrey Robertson, Jennifer Robinson and Melinda Taylor, were secretly recorded inside his London embassy home.
Read more here: https://ab.co/3c1RVoN
For more from ABC News, click here: https://ab.co/2kxYCZY
You can watch more ABC News content on iview: https://ab.co/2OB7Mk1
Subscribe to us on YouTube: http://ab.co/1svxLVE
Go deeper on our ABC News In-depth channel: https://ab.co/2lNeBn2
You can also like us on Facebook: http://facebook.com/abcnews.au
Or follow us on Instagram: http://instagram.com/abcnews_au
Or even on Twitter: http://twitter.com/abcnews</t>
  </si>
  <si>
    <t>Britain is an old-fashioned, weird place, and its esoteric laws are among the most ridiculous things about the place. From it being illegal to handle a salmon suspiciously, to the threat of having your head chopped off for wearing a suit of armour in Parliament, VICE's Oobah Butler sees if anyone takes any of these laws seriously by trying to break as many as he can—in front of policemen.
Watch more of Oobah's antics: https://www.youtube.com/watch?v=bqPARIKHbN8&amp;list=PLDbSvEZka6GGAYjg7MYTb_C4Ez0lJcsTq&amp;index=2&amp;t=0s
Click here to subscribe to VICE: http://bit.ly/Subscribe-to-VICE
About VICE:
The Definitive Guide To Enlightening Information. From every corner of the planet, our immersive, caustic, ground-breaking and often bizarre stories have changed the way people think about culture, crime, art, parties, fashion, protest, the internet and other subjects that don't even have names yet. Browse the growing library and discover corners of the world you never knew existed. Welcome to VICE.
Connect with VICE:
Check out our full video catalog: http://bit.ly/VICE-Videos
Videos, daily editorial and more: http://vice.com
More videos from the VICE network: https://www.fb.com/vicevideo
Click here to get the best of VICE daily: http://bit.ly/1SquZ6v
Like VICE on Facebook: http://fb.com/vice
Follow VICE on Twitter: http://twitter.com/vice
Follow us on Instagram: http://instagram.com/vice
The VICE YouTube Network:
VICE: https://www.youtube.com/VICE
MUNCHIES: https://www.youtube.com/MUNCHIES 
VICE News: https://www.youtube.com/VICENews
VICELAND: https://www.youtube.com/VICELANDTV
Broadly: https://www.youtube.com/Broadly
Noisey: https://www.youtube.com/Noisey
Motherboard: https://www.youtube.com/MotherboardTV 
VICE Sports: https://www.youtube.com/NOC
i-D: http://www.youtube.com/iDmagazine 
Waypoint: https://www.youtube.com/Waypoint</t>
  </si>
  <si>
    <t>Senior German politicians are launching an appeal to have WikiLeaks founder Julian Assange released from jail in Britain. Former foreign minister Sigmar Gabriel is among more than 130 public figures who say they want the UK to follow the advice of the UN Special Rapporteur on Torture to release Assange on medical grounds. The founder of Wikileaks - which publishes news leaks and classified material - is in a high-security British prison awaiting extradition to the US on spying charges. He'd previously evaded capture by taking diplomatic refuge.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#Assange #JulianAssange</t>
  </si>
  <si>
    <t>Julian Assange rose from a post-college hacker to launching WikiLeaks, and in so doing became one of the most notorious and influential people in the world.</t>
  </si>
  <si>
    <t>On 'Hannity,' WikiLeaks founder discusses the email scandal, 2016 election</t>
  </si>
  <si>
    <t>Steve Kroft interviews the controversial founder of WikiLeaks. For more, click here: https://cbsn.ws/2D99OlI
Subscribe to the "60 Minutes" Channel HERE: http://bit.ly/1S7CLRu
Watch Full Episodes of "60 Minutes" HERE: http://cbsn.ws/1Qkjo1F
Get more "60 Minutes" from "60 Minutes: Overtime" HERE: http://cbsn.ws/1KG3sdr
Relive past episodies and interviews with "60 Rewind" HERE: http://cbsn.ws/1PlZiGI
Follow "60 Minutes" on Instagram HERE: http://bit.ly/23Xv8Ry
Like "60 Minutes" on Facebook HERE: http://on.fb.me/1Xb1Dao
Follow "60 Minutes" on Twitter HERE: http://bit.ly/1KxUsqX
Follow "60 Minutes" on Google+ HERE: http://bit.ly/1KxUvmG
Get unlimited ad-free viewing of the latest stories plus access to classic 60 Minutes archives, 60 Overtime, and exclusive extras. Subscribe to 60 Minutes All Access HERE: http://cbsn.ws/23XvRSS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local news live, and watch full seasons of CBS fan favorites anytime, anywhere with CBS All Access. Try it free! http://bit.ly/1OQA29B
---
"60 Minutes," the most successful television broadcast in history. Offering hard-hitting investigative reports, interviews, feature segments and profiles of people in the news, the broadcast began in 1968 and is still a hit, over 50 seasons later, regularly making Nielsen's Top 10. "60 Minutes" has won more Emmy Awards than any other primetime broadcast, including a special Lifetime Achievement Emmy. It has also won every major broadcast journalism award over its tenure, including 24 Peabody and 18 DuPont Columbia University awards for excellence in television broadcasting. Other distinguished awards won multiple times include the George Polk, RTNDA Edward R. Murrow, Investigative Reporters and Editors, RFK Journalism, Sigma Delta Chi and Gerald Loeb Awards for Distinguished Business and Financial Reporting. "60 Minutes" premiered on CBS Sept. 24, 1968. The correspondents and contributors of "60 Minutes" are Bill Whitaker, Steve Kroft, Scott Pelley, Lesley Stahl, Anderson Cooper, Sharyn Alfonsi, Jon Wertheim and Norah O'Donnell. "60 Minutes" airs Sundays at 7 p.m. ET/PT. Check your local listings.</t>
  </si>
  <si>
    <t>The Wikileaks revelations shocked the world, and co-founder Julian Assange shot to fame. WikiLeaks exposed U.S. army war crimes, the secret emails of top international politicians and controversial secret service surveillance methods.
Assange’s relentless pursuit of total transparency has changed the face of journalism and given rise to much imitation, as well as fierce criticism. 
But it seems the spell has broken. After spending seven years in the Ecuadorian embassy in London, Julian Assange is now in a cell at Belmarsh, a maximum-security prison in London. In many ways, he is being treated as a terrorist. His health has suffered. The UN Special Rapporteur on Torture Nils Melzer has even referred to a "murderous system” designed to make an example of Assange.
Assange took on a very powerful opponent. The U.S.A. is pressing charges for obtaining and disclosing classified information. Now, the extradition hearing is about to begin in London. If Assange is extradited from England to the U.S.A., he faces up to 175 years in jail for espionage. Experts are expecting one of the most significant trials of its kind to date. 
"WikiLeaks - Public Enemy Julian Assange” is a detailed depiction of the rise and fall of Julian Assange. The film reveals some personal glimpses into different aspects of the story: meetings with Assange’s worried father, talks with high-ranking U.S. officials, an exclusive interview with whistleblower Edward Snowden. And every time the key question re-emerges: Is Julian Assange a journalist or a spy?
--------------------------------------------------------------------
DW Documentary gives you knowledge beyond the headlines. Watch high-class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Subscribe to: 
DW Documentary: https://www.youtube.com/channel/UCW39zufHfsuGgpLviKh297Q?sub_confirmation=1#
DW Documental (Spanish): https://www.youtube.com/dwdocumental
DW Documentary وثائقية دي دبليو: (Arabic): https://www.youtube.com/dwdocarabia
For more visit:
http://www.dw.com/en/tv/docfilm/s-3610
Instagram:
https://www.instagram.com/dwdocumentary/
Facebook:
https://www.facebook.com/dw.stories
DW netiquette policy: https://p.dw.com/p/MF1G</t>
  </si>
  <si>
    <t>Julian Assange seems to suggest on Dutch television program Nieuwsuur that Seth Rich was the source for the Wikileaks-exposed DNC emails and was murdered.</t>
  </si>
  <si>
    <t>WikiLeaks founder Julian Assange stated that Democratic presidential nominee Hillary Clinton was the central architect of the Libyan war, while speaking on the John Pilger Special show that is to be exclusively broadcast by RT, courtesy of Dartmouth Films. The interview took place in the Ecuadorian Embassy in London where Assange has been residing since August 2012. The footage was released on Thursday.
Assange also stated that Clinton "perceived the removal of Gaddafi and the overthrow of the Libyan state as something that she would use to run in the general election, for president."
Mandatory Credit: Dartmouth Films
Video ID: 20161105 028
Video on Demand: http://www.ruptly.tv
Contact: cd@ruptly.tv
Twitter: http://twitter.com/Ruptly
Facebook: http://www.facebook.com/Ruptly</t>
  </si>
  <si>
    <t>Conservative author Jerome Corsi reacts to the arrest of Julian Assange saying the Wikileaks founder is being unjustly prosecuted.</t>
  </si>
  <si>
    <t>Update on WikiLeaks findings</t>
  </si>
  <si>
    <t>For two years Pamela Anderson has been visiting Wikileaks founder Julian Assange at the Ecuadorian embassy, where he has been granted political asylum. An unlikely friendship has blossomed from a foundation of political activism, and Anderson says the computer hacker desperately needs saving.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Allison Langdon, Tara Brown, Charles Wooley, Liam Bartlett and Tom Steinfort look past the headlines because there is always a bigger picture. Sundays are for 60 Minutes.</t>
  </si>
  <si>
    <t>The Wikileaks founder said that within a year of being born, children are now known to 'all major world powers' because their 'idiotic parents' post their names and pictures on Facebook.  Assange also predicted a global cyber war in the near future as the internet has no distance or borders, and hackers can attack anyone anywhere on the planet. Assange, who still remains in hiding at the Ecuadorian embassy, gave an interview during the World Ethical Data Forum in Barcelona this week.
Original Article: http://www.dailymail.co.uk/news/article-6192539/Julian-Assange-warns-generation-free-surveillance.html
Original Video: http://www.dailymail.co.uk/video/news/video-1767084/Video-Julian-Assange-generation-free-generation.html
Daily Mail Facebook: http://facebook.com/dailymail
Daily Mail IG: http://instagram.com/dailymail
Daily Mail Snap: https://www.snapchat.com/discover/Daily-Mail/8392137033
Daily Mail Twitter: http://twitter.com/MailOnline
Daily Mail Pinterest: http://pinterest.co.uk/dailymail
Daily Mail Google+: https://plus.google.com/+DailyMail
Get the free Daily Mail mobile app: http://dailymail.co.uk/mobile</t>
  </si>
  <si>
    <t>WikiLeaks founder explains on 'Hannity' why he feels the Democrats lost the 2016 election</t>
  </si>
  <si>
    <t>Former D.C. homicide detective Rod Wheeler on the alleged collusion between WikiLeaks and DNC staffer Seth Rich.</t>
  </si>
  <si>
    <t>The Republican presidential candidate blames former Secretary of State Hillary Clinton for deaths in Libya and the Middle East.</t>
  </si>
  <si>
    <t>On 'Hannity,' the WikiLeaks founder says his agenda is to expose the truth</t>
  </si>
  <si>
    <t>The British, Australian, Ecuadorian and US Governments have made an ad about Julian Assange’s arrest and it’s surprisingly honest and informative!
-*- Ways you can support us to keep making videos: 
-- Become a Patron: https://www.patreon.com/TheJuiceMedia 
-- Tip us on PayPal: https://www.paypal.me/thejuicemedia 
-- Tip us in Bitcoin: bc1qevsxr6a8uytqj63fjemdyevjkctnj3tlk3r9cq
-*- We have a PODCAST now! Make sure to subscribe on your podcast app: https://thejuicemedia.simplecast.com
-*- CREDITS
-- Produced by Patrons of the Juice Media 
-- Written &amp; created by Giordano for The Juice Media
-- Performed by Ellen x Voice by Lucy and Maria Paula (Ecuador)
-- Thanks to Lizzie, Micah, Scott, Clinton and Dbot for expert advice
-- Thanks to Adso, Damian and Matt-N for script feedback
-- Soundtrack by TwoMountains https://audiojungle.net/item/acoustic/13510039
-- Outro beat by Mozart x Eric Parsons https://www.youtube.com/watch?v=z6JBBuNy8Oo
-*- KEY SOURCES &amp; READING
-- US Charging Document: https://www.justice.gov/usao-edva/press-release/file/1153481/download
-- Excellent overview here by Glenn Greenwald and Micah Lee: “The U.S. Government’s Indictment of Julian Assange Poses Grave Threats to Press Freedom” https://theintercept.com/2019/04/11/the-u-s-governments-indictment-of-julian-assange-poses-grave-threats-to-press-freedoms/
-- Also excellent: Matt Taibbi, “Why the Assange Arrest Should Scare Reporters” https://www.rollingstone.com/politics/politics-features/assange-arrest-charges-taibbi-821107/
-- Trevor Timm, “The Case Against Julian Assange Is a Threat to Journalists Everywhere”
https://medium.com/s/oversight/the-case-against-julian-assange-is-a-threat-to-journalists-everywhere-d6b76ac21cb8
-- Guy Rundle: “Assange is in the dock, but it’s investigative journalism on trial” https://www.crikey.com.au/2019/04/12/rundle-assange-court-wikileaks-journalism/”
-- Statement by Assange’s lawyer: https://www.democracynow.org/2019/4/11/a_dark_day_for_journalism_wikileaks
-*- TRANSLATIONS
-- French by Julie
-- Dutch by Jonas Maebe
-- Serbian by Tamara
-- Dutch by Jonas Maebe
-- Turkish by Antigone09
-- Danish by Mabeli
-- Czech by Jaromír Karmazín
-- Finnish by Max L
-- Farsi by Bruce</t>
  </si>
  <si>
    <t>The Australien Government has made an ad about its Economic Recovery Plan, and it’s surprisingly honest and informative.
_xD83D__xDC49_ Take action: https://www.thejuicemedia.com/derp
_xD83D__xDC49_ Ways you can support us to keep making videos:
_xD83D__xDD39_ Become a Patron: https://www.patreon.com/TheJuiceMedia 
_xD83D__xDD39_ Tip us on PayPal: https://www.paypal.me/thejuicemedia 
_xD83D__xDC49_ CREDITS 
_xD83D__xDD39_ Produced by Patrons of The Juice Media 
_xD83D__xDD39_ Written and directed by Giordano for The Juice Media 
_xD83D__xDD39_ Performed by Ellen Burbidge: https://www.youtube.com/channel/UCpoM6uygFmIolzWJwna8mTQ
_xD83D__xDD39_ Voice by Lucy 
_xD83D__xDD39_ Gas and Volcano animations by Brent Cataldo: https://twitter.com/yahtzio 
_xD83D__xDD39_ Script feedback and input: Dbot, Scott, Adso, Damian, Simon
_xD83D__xDD39_ Research Assistance by Rebecca Clarke 
_xD83D__xDD39_ Research Assistance by Mara, Megan &amp; Cam @ Friends of the Earth
_xD83D__xDD39_ Music by TwinsMusic: https://audiojungle.net/item/upbeat-indie-folk/20251044
_xD83D__xDD39_ Outro music by Triple7Music: https://audiojungle.net/item/epic-adventure/7361244
_xD83D__xDC49_ FURTHER READING / SOURCES:
_xD83D__xDD39_ Firstly check out 350.org Australia's investigative FossilFuelWatch work on the Covid Commission shitfuckery: https://fossilfuel.watch
_xD83D__xDD39_ Giles Parkinson from RenewEconomy is doing excellent journalism on energy politics and this excellent shitfuckery-summarising piece really helped distil this topic for me, I highly recommend reading this and following his work: https://reneweconomy.com.au/gas-lobby-seizes-covid-moment-and-declares-war-on-australias-future-60077
_xD83D__xDD39_ On the economics side I find Richard Dennis to be so good at explaing stuff clearly and persuasively. check out this webinar where he talks about economic recovery:
https://youtu.be/0Q8tmaMe30w?t=1176
_xD83D__xDD39_ Also, this one with Adam Bandt is really important for people to understand what a "green new deal" actually means: https://www.youtube.com/watch?v=xRc-_81Q6as&amp;feature=youtu.be&amp;t=891
_xD83D__xDD39_ Here's the CSIRO report shown in the video: https://www.aemo.com.au/-/media/Files/Electricity/NEM/Planning_and_Forecasting/Inputs-Assumptions-Methodologies/2019/CSIRO-GenCost2019-20_DraftforReview.pdf
_xD83D__xDD39_ And the article about renewables performing better than coal and gas: https://reneweconomy.com.au/new-csiro-aemo-study-confirms-wind-solar-and-storage-beat-coal-gas-and-nuclear-57530</t>
  </si>
  <si>
    <t>The Australien Government has made an ad about this summer’s fires and it’s surprisingly honest and informative  _xD83C__xDDE6__xD83C__xDDFA__xD83D__xDC7D__xD83D__xDD25_
_xD83D__xDC49_ Don't get used to it: https://www.thejuicemedia.com/dontgetusedtoit
_xD83D__xDC49_ Ways you can support us to keep making videos: 
_xD83D__xDD39_ Become a Patron: https://www.patreon.com/TheJuiceMedia 
_xD83D__xDD39_ Tip us on PayPal: https://www.paypal.me/thejuicemedia 
_xD83D__xDC49_ PODCAST for this episode: https://www.youtube.com/watch?v=6G65uErCLOs
_xD83D__xDC49_ PG VERSION for Teachers: https://www.youtube.com/watch?v=-rA3U9jXFmE
_xD83D__xDC49_ STORE: https://shop.thejuicemedia.com 
_xD83D__xDC49_ CREDITS 
_xD83D__xDD39_ Produced by Patrons of The Juice Media 
_xD83D__xDD39_ Written and directed by Giordano for The Juice Media
_xD83D__xDD39_ Performed by Zoë Amanda Wilson x Voice by Lucy
_xD83D__xDD39_ Kylie Harris: research assistance
_xD83D__xDD39_ Max Black: additional writing
_xD83D__xDD39_ Rebecca Clarke: research assistance
_xD83D__xDD39_ Thanks to Scott, Simon, Dbot and Damian for input and feedback on the script
_xD83D__xDD39_ Music by Pavlov Dmity: https://audiojungle.net/item/folk/23927143
_xD83D__xDD39_ Outro music by Triple7Music: https://audiojungle.net/item/epic-adventure/7361244
_xD83D__xDC49_ TRANSLATIONS
_xD83D__xDD39_ French by Julie
_xD83D__xDD39_ Danish by Mathilde
_xD83D__xDD39_ Serbian by Tamara
_xD83D__xDD39_ Spanish by Community member
_xD83D__xDD39_ More below....</t>
  </si>
  <si>
    <t>The US Government made a tourism ad for Hawai'i, and it's surprisingly honest and informative. 
I had the opportunity to visit Hawai'i at the start of the month and talk with local and native Hawaiians. They all said the biggest problem they face is the fact that so few people are aware of the history of US military occupation. So on my return to Australia, I decided to make a video about it. Giordano
-*- Ways you can support us to keep making videos: 
-- Become a Patron: https://www.patreon.com/TheJuiceMedia 
-- Tip us on PayPal: https://www.paypal.me/thejuicemedia 
-- Tip us in Bitcoin: bc1qevsxr6a8uytqj63fjemdyevjkctnj3tlk3r9cq
-*- We have a PODCAST now! Make sure to subscribe on your podcast app: https://thejuicemedia.simplecast.com
☛ CREDITS:
* Written by Giordano - based on conversations in Hawai'i with native and local crew fighting occupation: special thanks to Laulani Teale, Lynette Cruz, Emily Kandagawa, Cynthia Franklin, Terri Keko'olani. 
* Presenter performed by Zoë Amanda Wilson
* Voiceover performed by Lucy
* Thanks to Damian, Dave, Lucy, Zoë, Dbot, Benna &amp; Adso for juicy feedback and input.
* Music track by Music Premium: https://audiojungle.net/item/your-little-planet-corp/1324901
* Dope outro beat by Eric Parsons: https://www.youtube.com/watch?v=z6JBBuNy8Oo
* Kauai Drone footage by @Paul: https://www.youtube.com/watch?v=4dPyx-qrF0w
☛ PRODUCED by Patrons of the Juice Media (thank you!)
☛ TRANSLATIONS
- Danish by Mathilde Lillethorup
- Spanish by Vitama
- Russian by Prokhor Ozornin
- Serbian by Tamara
- French by Julie Chatagnon
- Portuguese by Solrac Odaruc
- German by Karin Hermes
- Dutch by Jonas Maebe
- Italian by Paola Rosà
- Farsi Persian by Bruce
- Indonesian by Hendrik Lim
- Turkish by Antigone09</t>
  </si>
  <si>
    <t>The Australien Government has made a final ad before the 2019 Federal Election, and it’s surprisingly honest and informative.
-*- Ways you can support us to keep making videos: 
-- Become a Patron: https://www.patreon.com/TheJuiceMedia 
-- Tip us on PayPal: https://www.paypal.me/thejuicemedia 
-- Tip us in Bitcoin: bc1qevsxr6a8uytqj63fjemdyevjkctnj3tlk3r9cq
-*- We have a PODCAST now! Make sure to subscribe on your podcast app: https://thejuicemedia.simplecast.com
-*- CREDITS
-- Produced by Patrons of the Juice Media 
-- Written &amp; created by Giordano for The Juice Media 
-- Performed by Zoë, Ellen &amp; Lucy
-- Cigar animation by Brent Cataldo
-- Special thanks to Dbot, Scott, James, Clinton, Simon, Lizzie, Colin, Adso, Damian and Fletch for input and feedback on the script. 
-- Music by TwoMountains: https://audiojungle.net/item/acoustic-inspiration/13765906?_ga=2.124046924.776312108.1508161153-1408732767.1485211917
-- Outro beat by Mozart x Eric Parsons: https://www.youtube.com/watch?v=z6JBBuNy8Oo
-*- TRANSLATIONS
-- Norwegian by Øystein Kolstad
-- Serbian by Tamara
-- French by Julie</t>
  </si>
  <si>
    <t>The Government has made an ad about the global response to the pandemic, and it's surprisingly honest and informative.
_xD83D__xDC49_ Listen to the podcast about this episode: 
_xD83D__xDD39_ Part 1 with Lizzie O'Shea &amp; Ben Eltham: https://www.youtube.com/watch?v=ji5Bq8t8ckc
_xD83D__xDD39_ Part 2 with Naomi Klein: https://www.youtube.com/watch?v=NtTyvKKnxtg
_xD83D__xDC49_ PG VERSION: https://www.youtube.com/watch?v=7Ia-G81pcAg
_xD83D__xDC49_ STORE: https://shop.thejuicemedia.com 
_xD83D__xDC49_ Ways you can support us to keep making videos: 
_xD83D__xDD39_ Become a Patron: https://www.patreon.com/TheJuiceMedia 
_xD83D__xDD39_ Tip us on PayPal: https://www.paypal.me/thejuicemedia 
_xD83D__xDC49_ CREDITS
_xD83D__xDD39_ Produced by Patrons of The Juice Media 
_xD83D__xDD39_ Written and directed by Giordano for The Juice Media 
_xD83D__xDD39_ Acted by Zoë Amanda Wilson: https://www.facebook.com/ZoeAmandaWilson
_xD83D__xDD39_ Voice by Lucy 
_xD83D__xDD39_ Script &amp; research assistance by Dbot
_xD83D__xDD39_ Script feedback and input: Adso, Damian, Scott, Kylie Harris
_xD83D__xDD39_ Machine and MadMax visual effects by Brent Cataldo: https://twitter.com/yahtzio
_xD83D__xDD39_ China cartoon images courtesy of Badiucao: https://twitter.com/badiucao
_xD83D__xDD39_ Music by PMWA: https://audiojungle.net/item/timelapse/12027034
_xD83D__xDD39_  Universal image by Romain Revert: https://twitter.com/romainrevert/status/1249798306454212610?s=20
_xD83D__xDD39_  Himalayas photo by Parveen Kaswan: https://twitter.com/ParveenKaswan/status/1246025488264343554?s=20
_xD83D__xDD39_ Thanks to Eva for Polish Government Ministry: https://twitter.com/evainfeld</t>
  </si>
  <si>
    <t>The Government made an ad about climate change as we head into the third decade of the 21st century, and it’s surprisingly honest and informative.
-*- Listen to the podcast companion for this video: https://thejuicemedia.simplecast.com/episodes/episode-4-were-fed-global-climate-strike
- Global Climate Strike Sept 20-27: https://globalclimatestrike.net
- Worldwide Rebellion Oct 7-18: https://rebellion.global
- FridaysForFuture Sept 20/27: https://www.fridaysforfuture.org/events/map
-*- Ways you can support us to keep making videos: 
-- Become a Patron: https://www.patreon.com/TheJuiceMedia 
-- Tip us on PayPal: https://www.paypal.me/thejuicemedia 
-- Tip us in Bitcoin: https://www.thejuicemedia.com/support
-*- CREDITS
-- Produced by Patrons of The Juice Media 
-- Written by Giordano for The Juice Media
-- Performed by Zoe x Voice by Lucy
-- Animations by Brent Cataldo
-- Thanks to Scott, Adso, Damian, Matt and Dbot for feedback on the script
-- Footage courtesy of Extinction Rebellion: https://www.youtube.com/channel/UCYThdLKE6TDwBJh-qDC6ICA
-- Music by PMWA: https://audiojungle.net/item/timelapse/12027034
-*- TRANSLATIONS
-- Danish by Mabeli
-- Turkish by Antingone09
-- French by Julie
-- Bahasa by Hendry
-- Czech by Petr</t>
  </si>
  <si>
    <t>The Government has made an ad about the Coronavirus and it's surprisingly honest and informative. 
_xD83D__xDC49_ PODCAST companion for this episode: https://www.youtube.com/watch?v=RHmKY8wZfOg
_xD83D__xDC49_ PG VERSION of this episode is here: https://www.youtube.com/watch?v=wuAFVAzor6E
_xD83D__xDC49_ STORE: https://shop.thejuicemedia.com
_xD83D__xDC49_ CREDITS 
_xD83D__xDD39_ Produced by Patrons of The Juice Media 
_xD83D__xDD39_ Written and directed by Giordano for The Juice Media 
_xD83D__xDD39_ Performed by Ellen Burbidge: https://www.facebook.com/ellenburbidgeactor
_xD83D__xDD39_ Voice by Lucy 
_xD83D__xDD39_ Script &amp; research assistance by Dbot
_xD83D__xDD39_ Thanks to Damian, Adso and Matt for script input and feedback
_xD83D__xDD39_ Government animation by Brent Cataldo
_xD83D__xDD39_ Flattening the curve graphic: https://twitter.com/SiouxsieW/status/1237275231783284736
_xD83D__xDD39_ American Flag Shotgun Guy video: https://www.youtube.com/watch?v=15tW4dEK7A4
_xD83D__xDD39_ Wuhan drone footage: https://www.youtube.com/watch?v=RMYQjqiCSHM
_xD83D__xDD39_ Music by PMWA: https://audiojungle.net/item/timelapse/12027034
_xD83D__xDC49_ Ways you can support us to keep making videos: 
_xD83D__xDD39_ Become a Patron: https://www.patreon.com/TheJuiceMedia 
_xD83D__xDD39_ Tip us on PayPal: https://www.paypal.me/thejuicemedia 
_xD83D__xDD39_ Tip us in Bitcoin: bc1qevsxr6a8uytqj63fjemdyevjkctnj3tlk3r9cq
_xD83D__xDC49_ KEY SOURCES
_xD83D__xDD39_ Read this first: https://medium.com/@tomaspueyo/coronavirus-act-today-or-people-will-die-f4d3d9cd99ca
_xD83D__xDD39_ Good article explaining Flattening the Curve: https://blogs.scientificamerican.com/observations/preparing-for-coronavirus-to-strike-the-u-s/?fbclid=IwAR2Zu15wrn6vBE_LRPufKu48CxUbE_A-FJvUoRiua3piSP-tXOxY2Dz8obY
_xD83D__xDD39_ A thread explaining the risk of systemic healthcare failure: https://twitter.com/LizSpecht/status/1236095180459003909
_xD83D__xDD39_ All the latest facts and stats about Covid19: https://ourworldindata.org/coronavirus
_xD83D__xDD39_ Fatality Rate figures: http://www.iiress.com/engine/doku.php?id=labs%3Acoronavirus_live_tracking
_xD83D__xDD39_ American Hospital Association epidemiology:  
https://www.businessinsider.com.au/presentation-us-hospitals-preparing-for-millions-of-hospitalizations-2020-3?r=US&amp;IR=T
_xD83D__xDC49_ TRANSLATIONS:
_xD83D__xDD39_ Portuguese by Bruno
_xD83D__xDD39_ Danish by Mathilde
_xD83D__xDD39_ Czech by Jaromír
_xD83D__xDD39_ Serbian by Tamara
_xD83D__xDD39_ Norwegian by Øystein Kolstad
_xD83D__xDD39_ French by Julie
_xD83D__xDD39_ Turkish by Mehmet Lar
_xD83D__xDD39_ Polish by Community
_xD83D__xDD39_ Chinese by Community
_xD83D__xDD39_ Hungarian by Community
_xD83D__xDD39_ Vietnamese by Community
_xD83D__xDD39_ Italian by Community
_xD83D__xDD39_ Bulgarian by Community
_xD83D__xDD39_ Hebrew by Community
_xD83D__xDD39_ Czech by Community
_xD83D__xDD39_ Indonesian by Community
_xD83D__xDD39_ German by Community
_xD83D__xDD39_ Arabic by Community
_xD83D__xDD39_ Polish by Community
_xD83D__xDD39_ Japanese by Community
_xD83D__xDD39_ Spanish by Community
_xD83D__xDD39_ Arabic by Community
_xD83D__xDD39_ Greek by Community
_xD83D__xDD39_ Korean by Community
_xD83D__xDD39_ Russian by Community</t>
  </si>
  <si>
    <t>WikiLeaks founder Julian Assange arrested in London, but is hacking his actual crime? #Tucker #FoxNews 
FOX News operates the FOX News Channel (FNC), FOX Business Network (FBN), FOX News Radio, FOX News Headlines 24/7, FOXNews.com and the direct-to-consumer streaming service, FOX Nation. FOX News also produces FOX News Sunday on FOX Broadcasting Company and FOX News Edge. A top five-cable network, FNC has been the most watched news channel in the country for 17 consecutive years. According to a 2018 Research Intelligencer study by Brand Keys, FOX News ranks as the second most trusted television brand in the country. Additionally, a Suffolk University/USA Today survey states Fox News is the most trusted source for television news or commentary in the country, while a 2017 Gallup/Knight Foundation survey found that among Americans who could name an objective news source, FOX News is the top-cited outlet. FNC is available in nearly 90 million homes and dominates the cable news landscape while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</si>
  <si>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Eric (Alex Moffat) and Donald Trump Jr. (Mikey Day) meet with Julian Assange (Kate McKinnon) to get dirt on Hillary Clinton.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</si>
  <si>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Subscribe to the Real Time YouTube: http://itsh.bo/10r5A1B
Bill is joined by WikiLeaks Editor-In-Chief Julian Assange via satellite for a discussion about the recent DNC leaks in this clip from August 5, 2016.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</si>
  <si>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In his editorial New Rule, Bill reiterates that economic recessions are survivable events; what Trump is doing to this country is not.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</si>
  <si>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Curatorial journalist and "Proof of Collusion" author Seth Abramson joins Bill Maher to discuss President Trump's shady behavior.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</si>
  <si>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Bill Maher and Seth Rogen discuss North Korea and the joys of marijuana in this clip from November 21, 2014. Rogen is the co-writer, co-director and star of “The Interview,” opening in theaters this Christmas.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</si>
  <si>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Vermont Senator and Democratic Presidential candidate Bernie Sanders joins Bill Maher for a wide-ranging discussion before the California primary election.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</si>
  <si>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In his editorial New Rule, Bill encourages President Trump to become an eco-warrior and take up the fight against climate change.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</si>
  <si>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Bill and his in-studio guests – Rob Reiner, Rick Santorum, Tara Setmayer and Jeff Ross –  answer viewer questions after the show.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</si>
  <si>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WikiLeaks founder, Julian Assange, defends publishing the DNC emails that were the result of a hack and led to Debbie Wasserman Schultz stepping down from her position as Chair.
» Subscribe to NBC News: http://nbcnews.to/SubscribeToNBC
» Watch more NBC video: http://bit.ly/MoreNBCNews
NBC News is a leading source of global news and information. Here you will find clips from NBC Nightly News, Meet The Press, and our original series Debunker, Flashback, Nerdwatch, and Show Me. Subscribe to our channel for news stories, technology, politics, health, entertainment, science, business, and exclusive NBC investigations.
Connect with NBC News Online!
Visit NBCNews.Com: http://nbcnews.to/ReadNBC
Find NBC News on Facebook: http://nbcnews.to/LikeNBC
Follow NBC News on Twitter: http://nbcnews.to/FollowNBC
Follow NBC News on Google+: http://nbcnews.to/PlusNBC
Follow NBC News on Instagram: http://nbcnews.to/InstaNBC
Follow NBC News on Pinterest: http://nbcnews.to/PinNBC
Julian Assange On DNC Emails And 2016 Election (Full Interview) | Meet The Press | NBC News</t>
  </si>
  <si>
    <t>Julian Assange habla por primera vez ante las cámaras de Movistar+ tras conocerse que la administración que preside Donald Trump le ha declarado enemigo público número uno. Una entrevista exclusiva concedida a Iñaki Gabilondo para su programa 'Cuando ya no esté'.
Assange ha afirmado que "la CIA es básicamente inútil. Son extremadamente incompetentes como organización". "Solamente hemos publicado el 1% de todo lo que tenemos", ha asegurado el fundador de Wikileaks desde la embajada de Ecuador en Londres, en donde se refugia.
Suscríbete a /cerotube para tener lo mejor de #0, HAZ CLICK AQUÍ: http://www.youtube.com/channel/UCPgvCUSmHWm2177LkwLtZQw?sub_confirmation=1
Y DESCUBRE MÁS EN: http://www.movistarplus.es/cero/cuandoyanoeste</t>
  </si>
  <si>
    <t>La rivalidad entre EE. UU. y China es cada vez más evidente. Mientras la crisis del coronavirus conmociona al mundo entero, la disputa entre las dos superpotencias plantea una nueva amenaza geopolítica. ¿Habrá una nueva Guerra Fría?
¿Por qué los EE. UU. y China eligen la confrontación? ¿Qué escenarios podrían surgir de esto? Y sobre todo: ¿qué puede y qué debe hacer el resto del mundo?
El principal corresponsal internacional de DW, Richard Walker, analiza el conflicto entre las dos superpotencias y entrevista a renombrados expertos de EE. UU., China, Europa y Australia.
---------------------------------------------------------- 
DW Documental le brinda información más allá de los titulares. Maravíllese con los mejores documentales de canales alemanes y empresas productoras internacionales. Conozca personas enigmáticas, viaje a territorios lejanos y entienda las complejidades de la vida moderna, siempre cerca de eventos globales y asuntos de actualidad. Suscríbase a DW Documental y descubra cada lunes, miércoles y viernes el mundo que le rodea. 
Suscríbase a DW Documental: https://www.youtube.com/dwdocumental 
Nuestros otros canales de YouTube:
DW Documentary (en inglés): https://www.youtube.com/dwdocumentary 
DW Documentary وثائقية دي دبليو: (en árabe): https://www.youtube.com/dwdocarabia 
Para más información visite también: 
http://www.dw.com/zonadocu 
http://www.dw.com/primerplano 
http://www.dw.com/español 
Instagram (en inglés): https://www.instagram.com/dwdocumentary/ 
Facebook (en inglés): https://www.facebook.com/dw.stories 
DW Netiqueta: http://p.dw.com/p/14KkY</t>
  </si>
  <si>
    <t>Hoy, en 'Cuando ya no esté. El mundo dentro de 25 años', Gabilondo se reunirá con Neil deGrasse Tyson, uno de los divulgadores más prestigiosos y mediáticos del momento y director del Planetario Hayden en el Centro Rose para la Tierra y el Espacio. Neil De Grasse Tyson, conocido por ser el narrador de la exitosa serie Cosmos, nos recuerda que somos polvo de estrellas; y nos alerta sobre la falta de apoyo a la ciencia. De su instituto de secundaria del Bronx han salido el mismo número de Premios Nobel que de España.
Suscríbete a /cerotube para tener lo mejor de #0, HAZ CLICK AQUÍ: http://www.youtube.com/channel/UCPgvCUSmHWm2177LkwLtZQw?sub_confirmation=1
Y DESCUBRE MÁS EN: http://www.movistarplus.es/cero/cuandoyanoeste</t>
  </si>
  <si>
    <t>El expresidente de Ecuador Rafael Correa, la persona que le otorgó el asilo político a Julian Assange, acusa duramente al gobierno de Lenin Moreno tras la expulsión del fundador de Wikileaks de la legación diplomática ecuatoriana en Londres.
Correa vincula esa decisión con la reciente publicación en Wikileaks de los "INA Papers", trama de corrupción que salpica al círculo familiar de Moreno.</t>
  </si>
  <si>
    <t>A 'sólo' 20 años luz de la Tierra se encuentra la estrella enana roja Glies 581. Uno de los cuatro planetas que giran a su alrededor podría reunir las condiciones necesarias para que allí haya agua, y por tanto vida. En el Madrid de los años cincuent</t>
  </si>
  <si>
    <t>Un equipo de "Los Reporteros" se infiltra con cámara oculta en la basílica de El Palmar de Troya en Utrera (Sevilla) en 1991. Consiguieron imágenes inéditas del Papa Gregorio XVII, llamado también Papa Clemente, y de los actos litúrgicos celebrados en el interior del templo. 
Recordamos el reportaje completo "La iglesia oscura" de Antonia Jesús Álvarez.
Presenta Lola Álvarez [Programa "Los Reporteros" 058, 7 de abril de 1991, Canal Sur Televisión]
Tras la expectación que acompaña al suceso de la visión de la Virgen el 30 de marzo de 1968, numerosos curiosos y videntes se dan cita en el lugar que se convertirá en poco tiempo en el germen de lo que se conoce como Iglesia Católica Palmariana. En 1975 Clemente Domínguez y Gómez, corredor de seguros de Sevilla, declaró haber visto a la Virgen María en las inmediaciones de la aldea. Clemente crea una organización religiosa, escindida de la Iglesia católica, denominada Iglesia Cristiana Palmariana de los Carmelitas de la Santa Faz. Clemente Domínguez Gómez y Manuel Alonso Corral son los artífices de la misma. En 1978 Clemente Domínguez declaró haber sido coronado papa místicamente por el propio Jesucristo y ser el único y legítimo sucesor de Pablo VI, haciéndose llamar Gregorio XVII y a Manuel Alonso Corral Padre Isidoro. Nombró a sus propios cardenales y fue excomulgado por Juan Pablo II.
Cisma eclesiástico para unos, secta religiosa para muchos... este reportaje "La Iglesia oscura" logró abrirse paso en la oscuridad que aún hoy rodea a la Orden Carmelita de la Santa Faz.
Otras fechas de interés:
2016: 26 de abril. El papa Gregorio XVIII abandona su pontificado porque ha "perdido la fe". Sergio María asumió el papado de la orden de los Carmelitos de la Santa Faz en julio del 2011 tras la muerte del papa Pedro II. 
1970: 15 de mayo. Acuden cuarenta mil personas al Palmar de Troya (Sevilla) para ver la supuesta aparición de la Virgen.
Blog Memoranda: memoranda.canalsur.es
También en @ArchivoCanalSur
 07/04/1991
 ma2mm</t>
  </si>
  <si>
    <t>Julian Assange explica que los gobiernos "muy frecuentemente" utilizan la Ley de Transparencia como coartada. Comenta que cuando en el Reino Unido pedían información bajo esta ley, se horrorizaban de que existiera. Una vez que entendieron de su existencia, cumplieron con ella, pero descubrieron "formas de esquivar la ley con excepciones".</t>
  </si>
  <si>
    <t>Weekend Update anchors Colin Jost and Michael Che tackle the week's biggest news, like Trump threatening to funnel detained immigrants to sanctuary cities.
#SNL #EmmaStone #BTS #SNL44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</si>
  <si>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Weekend Update anchors Colin Jost and Michael Che tackle the week's biggest news, including the shooting in Las Vegas. Justice Ruth Bader Ginsburg (Kate McKinnon) stops by.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</si>
  <si>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After two years of waiting (mostly) patiently, Stephen finally gets his hands on the Mueller report. And it was worth the wait.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</si>
  <si>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Weekend Update anchors Colin Jost and Michael Che tackle the week's biggest news, including a waitress at a Maine IHOP asking black teens to pay upfront. Pete Davidson and Stefon (Bill Hader) stop by.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</si>
  <si>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Seth takes a closer look at President Trump and his allies on Fox News doubling down on racism as the strategy for his re-election.
Late Night with Seth Meyers is supporting City Harvest to help those in need during the COVID-19 pandemic. City Harvest is New York City’s largest food rescue organization, working to end hunger throughout its communities by rescuing 66 million pounds of food each year and delivering it, free of charge, to hundreds of food pantries, soup kitchens and other community partners across five boroughs. Click the button on the above/below to donate or visit https://www.cityharvest.org/.
Subscribe to Late Night: http://bit.ly/LateNightSeth
Watch Late Night with Seth Meyers Weeknights 12:35/11:35c on NBC.
Get more Late Night with Seth Meyers: http://www.nbc.com/late-night-with-seth-meyers/
LATE NIGHT ON SOCIAL
Follow Late Night on Twitter: https://twitter.com/LateNightSeth
Like Late Night on Facebook: https://www.facebook.com/LateNightSeth
Follow Late Night Instagram: http://instagram.com/LateNightSeth
Late Night on Tumblr: http://latenightseth.tumblr.com/
Late Night with Seth Meyers on YouTube features A-list celebrity guests, memorable comedy, and topical monologue jokes.
GET MORE NBC
Like NBC: http://Facebook.com/NBC
Follow NBC: http://Twitter.com/NBC
NBC Tumblr: http://NBCtv.tumblr.com/
YouTube: http://www.youtube.com/nbc
NBC Instagram: http://instagram.com/nbctv
Trump Amps Up the Racism Because He’s Failed at Everything Else: A Closer Look- Late Night with Seth Meyers
https://youtu.be/Fc0Nq1TzfPw
Late Night with Seth Meyers
http://www.youtube.com/user/latenightseth</t>
  </si>
  <si>
    <t>Weekend Update anchors Colin Jost and Michael Che tackle the week's biggest news, including the publication of a dossier alleging Russia could blackmail Donald Trump. Pete Davidson stops by to discuss Donald Trump's cabinet picks.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</si>
  <si>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Seth takes a closer look at the president resisting calls to release his tax returns and calling the people who investigate him traitors.
» Subscribe to Late Night: http://bit.ly/LateNightSeth
» Get more Late Night with Seth Meyers: http://www.nbc.com/late-night-with-seth-meyers/
» Watch Late Night with Seth Meyers Weeknights 12:35/11:35c on NBC.
LATE NIGHT ON SOCIAL
Follow Late Night on Twitter: https://twitter.com/LateNightSeth
Like Late Night on Facebook: https://www.facebook.com/LateNightSeth
Find Late Night on Tumblr: http://latenightseth.tumblr.com/
Connect with Late Night on Google+: https://plus.google.com/+LateNightSeth/videos
Late Night with Seth Meyers on YouTube features A-list celebrity guests, memorable comedy, and topical monologue jokes.
NBC ON SOCIAL 
Like NBC: http://Facebook.com/NBC
Follow NBC: http://Twitter.com/NBC
NBC Tumblr: http://NBCtv.tumblr.com/
NBC Pinterest: http://Pinterest.com/NBCtv/
NBC Google+: https://plus.google.com/+NBC
YouTube: http://www.youtube.com/nbc
NBC Instagram: http://instagram.com/nbctv
Trump Dodges Questions on Mueller, Tax Returns, WikiLeaks: A Closer Look- Late Night with Seth Meyers
https://youtu.be/AcrYY-5PdgE
Late Night with Seth Meyers
http://www.youtube.com/user/latenightseth</t>
  </si>
  <si>
    <t>Weekend Update anchors Colin Jost and Michael Che tackle the week's biggest news, including President Donald Trump blaming the government shutdown on Senator Chuck Schumer. Stormy Daniels (Cecily Strong) stops by to discuss being an unlikely hero.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</si>
  <si>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Weekend Update anchors Colin Jost and Michael Che tackle the week's biggest news, including the publication of Michael Wolff's Fire and Fury. Oprah Winfrey (Leslie Jones) and Stedman Graham (Chris Redd) stop by to discuss Winfrey running for president.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</si>
  <si>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Weekend Update anchors Colin Jost and Michael Che tackle the week's biggest news, including Hope Hicks resigning as White House Communications Director and Jared Kushner losing his security clearance. Hope Hicks (Cecily Strong) stops by to explain her resignation.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</si>
  <si>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WikiLeaks founder Julian Assange is arrested on conspiracy charges, ending the nearly seven-year standoff between him and the U.S. Justice Department and raising questions about journalistic freedom.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</si>
  <si>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Reporters brave frigid temperatures to cover the Polar Vortex, and Trump still thinks that a cold snap means global warming isn’t real.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</si>
  <si>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In this week’s edition of white people calling the cops on innocent black people: A woman has earned the nickname “Cornerstone Caroline” for accusing a 9-year-old boy of sexual assault after his backpack brushed up against her in a Brooklyn deli.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</si>
  <si>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Everything you need to know about Bernie Sanders. #TheDailyShow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</si>
  <si>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DiscrimiNATION | The Daily Show
The Daily Show looks at recent stories of race and discrimination in America, including the black men who got arrested in Starbucks and Roseanne Barr’s racist tweet.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</si>
  <si>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Mobile homes may seem like an affordable housing option, but large investment companies are making them less and less so.
Connect with Last Week Tonight online... 
Subscribe to the Last Week Tonight YouTube channel for more almost news as it almost happens: www.youtube.com/lastweektonight 
Find Last Week Tonight on Facebook like your mom would: www.facebook.com/lastweektonight 
Follow us on Twitter for news about jokes and jokes about news: www.twitter.com/lastweektonight 
Visit our official site for all that other stuff at once: www.hbo.com/lastweektonight</t>
  </si>
  <si>
    <t>Trevor is awed by the raw fury of TheBlaze commentator Tomi Lahren, whose right-wing rants have made her an internet sensation. 
Watch full episodes of The Daily Show now -- no login required: http://www.cc.com/shows/the-daily-show-with-trevor-noah/full-episodes
The Daily Show with Trevor Noah airs weeknights at 11/10c on Comedy Central.</t>
  </si>
  <si>
    <t>Following two deadly crashes of Boeing’s 737 Max planes, Boeing takes another look at its training procedures for the new aircraft, and news reports revisit the relationship between the FAA and airlines on safety regulations.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</si>
  <si>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The Daily Show examines the role Fox News has had in the Trump presidency, from defending his child separation policy to Sean Hannity retaining Michael Cohen as his lawyer.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</si>
  <si>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Trevor compares Donald Trump to South African President Jacob Zuma, who also faces financial conflicts of interest, threatens to jail rivals and lashes out at the media.
Watch full episodes of The Daily Show now -- no login required: http://www.cc.com/shows/the-daily-show-with-trevor-noah/full-episodes
The Daily Show with Trevor Noah airs weeknights at 11/10c on Comedy Central.</t>
  </si>
  <si>
    <t>Edward Snowden discusses how his book “Permanent Record” sheds light on the evolving intelligence industry.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</si>
  <si>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Whistleblower Julian Assange has given one of his most incendiary interviews ever in a John Pilger Special, courtesy of Dartmouth Films, in which he summarizes what can be gleaned from the tens of thousands of Clinton emails released by WikiLeaks this year.
READ TRANSCRIPT: http://on.rt.com/7ty5
RT LIVE http://rt.com/on-air
Subscribe to RT! http://www.youtube.com/subscription_center?add_user=RussiaToday
Like us on Facebook http://www.facebook.com/RTnews
Follow us on Twitter http://twitter.com/RT_com
Follow us on Instagram http://instagram.com/rt
Follow us on Google+ http://plus.google.com/+RT
Listen to us on Soundcloud: https://soundcloud.com/rttv
RT (Russia Today) is a global news network broadcasting from Moscow and Washington studios. RT is the first news channel to break the 1 billion YouTube views benchmark.</t>
  </si>
  <si>
    <t>In the 2016 race to the White House, presidential candidate Donald Trump took a shine to the whistleblowing site WikiLeaks, led by its Australian founder Julian Assange. 
Trump revelled in the damage inflicted upon his opponent, Hillary Clinton, by a series of sensational leaks published by the site.
Now, as President, Donald Trump has performed a spectacular flip, presiding over an administration determined to imprison the publisher of the leaks.
In Part Two of its investigation into Julian Assange, Four Corners looks at Assange’s activities conducted during the nearly seven years he spent sheltering in the Ecuadorian Embassy.
For Part One, Hero or Villain: The Prosecution of Julian Assange, click here: https://youtu.be/HtelzRAPlT8
Read more about this story here: https://ab.co/2GyyXIh 
Watch more Four Corners investigations here: https://bit.ly/2JbpMkf 
You can also like us on Facebook: https://www.facebook.com/abc4corners/ 
Follow us on Twitter: https://twitter.com/4corners 
And sign up to our newsletter: www.abc.net.au/4corners/newsletter/</t>
  </si>
  <si>
    <t>WikiLeaks founder Julian Assange says he cannot forgive or forget the "terrible injustice" he's suffered over seven years.
Watch in full the moment he spoke on the balcony of the Ecuadorian embassy in London where he was holed up for five years.
SUBSCRIBE to our YouTube channel for more videos: http://www.youtube.com/skynews
Follow us on Twitter: https://twitter.com/skynews and https://twitter.com/skynewsbreak
Like us on Facebook: https://www.facebook.com/skynews
For more content go to http://news.sky.com and download our apps:
iPad https://itunes.apple.com/gb/app/Sky-News-for-iPad/id422583124
iPhone https://itunes.apple.com/gb/app/sky-news/id316391924?mt=8
Android https://play.google.com/store/apps/details?id=com.bskyb.skynews.android&amp;hl=en_GB</t>
  </si>
  <si>
    <t>Afshin Rattansi goes underground on when WikiLeaks met Google. Julian Assange discusses the meeting he had in 2011 with Eric Schmidt, then a top executive and now chairman of Google, and 3 others. He says the meeting was nominally over a book that was being written, which was published and had pre-publication endorsements from the likes of Tony Blair and Henry Kissinger, but the question he wanted to know was why was this book being written? He examines the networks behind Google, and their 'in-house state department' Google ideas, and reveals that they are pushing the position that the State should control what is and is not published, to the extent of a state body overseeing whistleblowers that they have to go through before they can release any material. He says that Google is in bed with the state department, citing as an example that the girlfriend of Eric Schmidt contacted him regarding arranging a meeting with Hilary Clinton. He also points out that the argument the US military use against WikiLeaks, that the publication of cables could theoretically cause harm, was undermined when the general charged with investigating any harm caused by WikiLeaks testified under oath at the trial of Chelsea Manning that they couldn't find a single person that had been harmed. He also talks about the mistakes he believe the Guardian made, and how HBGary tendered $2 million a month to attack WikiLeaks and Glen Greenwald. He talks about some of the more recent publications he has made, such as FinFisher, a cyberweapon which can hijack mobile phones and turn on the microphone, and can infect massive amounts of computers by putting itself in the major gateway of a country or ISP. He warns whilst people may be suspicious of the intentions of the NSA and the like regarding the internet, associations you may perceive to be working the other way are funded by the same players. He also points out that the amount of people with security clearances in the US has more than doubled since 2010, with 6 million people now part of this 'state within a state' who are subject to extra laws and requirements that are classified – 'an extremely alarming phenomenon'.
LIKE Going Underground http://fb.me/GoingUndergroundRT
FOLLOW Going Underground http://twitter.com/Underground_RT
FOLLOW Afshin Rattansi http://twitter.com/AfshinRattansi
FOLLOW on Instagram http://instagram.com/officialgoingundergroundrt</t>
  </si>
  <si>
    <t>http://democracynow.org  - Full interview with Julian Assange on Democracy Now!, including a debate with investigative journalist Allan Nairn.
Democracy Now! is an independent global news hour that airs weekdays on nearly 1,400 TV and radio stations Monday through Friday. Watch our livestream 8-9AM ET: http://democracynow.org
Please consider supporting independent media by making a donation to Democracy Now! today: http://democracynow.org/donate
FOLLOW DEMOCRACY NOW! ONLINE:
Facebook: http://facebook.com/democracynow 
Twitter: https://twitter.com/democracynow
YouTube: http://youtube.com/democracynow 
SoundCloud: http://soundcloud.com/democracynow 
Daily Email: http://democracynow.org/subscribe 
Google+: https://plus.google.com/+DemocracyNow
Instagram: http://instagram.com/democracynow
Tumblr: http://democracynow.tumblr.com
Pinterest: http://pinterest.com/democracynow
iTunes: https://itunes.apple.com/podcast/democracy-now!-audio/id73802554 
TuneIn: http://tunein.com/radio/Democracy-Now-p90/
Stitcher Radio: http://www.stitcher.com/podcast/democracy-now</t>
  </si>
  <si>
    <t>MANDATORY CREDIT: World Ethical Data Forum
WikiLeaks co-founder Julian Assange could be seen in his final video before Internet and communications were cut off at the Ecuadorian Embassy in London last March. 
In the video, Assange can be seen giving an interview and discussing a range of topics, including the future of cyber security, the current threat to nation-states and how he is portrayed in the media. 
Julian Assange has been residing in the Ecuadorian Embassy in London since 2012.
Subscribe to our channel! rupt.ly/subscribe
Video on Demand: http://www.ruptly.tv
Contact: cd@ruptly.tv
Twitter: http://twitter.com/Ruptly
Facebook: http://www.facebook.com/Ruptly</t>
  </si>
  <si>
    <t>Subscribe to RT! https://www.youtube.com/channel/UCpwvZwUam-URkxB7g4USKpg?sub_confirmation=1
24/7 News LIVE from RT's HQ in Moscow
#RT #RussiaToday #BreakingNews
Check out http://rt.com
RT LIVE http://rt.com/on-air
Subscribe to RT! http://www.youtube.com/subscription_center?add_user=RussiaToday
Like us on Facebook http://www.facebook.com/RTnews
Follow us on Telegram https://t.me/rtintl
Follow us on VK https://vk.com/rt_international
Follow us on Twitter http://twitter.com/RT_com
Follow us on Instagram http://instagram.com/rt
Follow us on Google+ http://plus.google.com/+RT
RT (Russia Today) is a global news network broadcasting from Moscow and Washington studios. RT is the first news channel to break the 1 billion YouTube views benchmark.</t>
  </si>
  <si>
    <t>Best of Calle 13 / Lo mejor de Calle 13: https://goo.gl/KqmqsF
Subscribe here: https://goo.gl/wjBHHU
Multi_Viral Music video. The film was produced by Calle 13 and filmed by Zapatero Filmes in the Palestinian cities of Bethlehem and Beit Sahour, Place of the Night Watch, a Palestinian village at the East of Bethlehem.</t>
  </si>
  <si>
    <t>#ProyectoCraneoC13 
"Aquí entraron todos: desde el preso confinado hasta el profesor universitario".
Calle 13
Digo lo que pienso -- Entren los que quieran
Director: Diego Lescano / Tom Veloso
Productor: Matías Mera / Germán Pecho Anzoategui
Dirección de Fotografía: Federico Cantini / Franco Ivanoff  / Leandro Mera / Karim Kachou
Postproducción: Demian Góngora
Directores cómplices: 
Daniel Perez Glez (La Habana, Cuba)
Mariano Colombo (Mercedes, Argentina)
Demian Góngora (Olavarría, Argentina)
Producción:  Camilo Segatta -- Mariano Colombo -- Andrés Suarez 
Logística: Andrés Bonamino -- Fernando Ramal - Mariano Anido 
Asistente dirección: Andrés Chenaut - Lucio Capristo
Cámara: Leandro Mera - Alejo Frías
Editor: Demian Góngora -- Diego Lescano
Efectos: Demian Góngora
Maquillaje: Guadalupe Angelucci
Foto fija: Ezequiel Bartolomei 
Equipos: La Zona Rental (Diego Sega) 
Colaboradores: Gastón Drogo -- Juan Manuel Sicuso - Mauricio Matheus - Tano Verón - Andrés Gibson - Matías Martinez - Javier Flores
www.craneo.tv
FB /craneofilms
TW @craneofilms</t>
  </si>
  <si>
    <t>Calle 13 - Latinoamérica 
Directores Jorge Carmona y Milovan Radovic 
Productor Alejandro Noriega
Patria Producciones</t>
  </si>
  <si>
    <t>Residente - "Milo" (Audio)
Residente's album is available on these digital platforms:
iTunes: http://smarturl.it/Residente
Spotify: http://smarturl.it/ResidenteSp 
Google Play: http://smarturl.it/ResidenteGP
Amazon: http://smarturl.it/ResidenteAm
Connect with Residente!
Official Site: http://residente.com
Facebook: http://www.facebook.com/residente
Twitter: http://twitter.com/Residente
Instagram: http://www.instagram.com/residente
Official music video by Residente performing "Milo." (C) 2017Sony Music Entertainment US Latin LLC</t>
  </si>
  <si>
    <t>Official music video for Immigrants (We Get The Job Done) by K'naan featuring Residente, Riz MC &amp; Snow Tha Product
Donate $10 to Lin-Manuel’s Immigrants: We Get The Job Done Coalition at: http://bit.ly/2tOfD3A and win a chance to attend the Los Angeles opening of Hamilton
Buy/Stream The Hamilton Mixtape Here: https://Atlantic.lnk.to/HamiltonMixtape
Directed By Tomás Whitmore
Produced by Kimberly Stuckwisch, Melora Donoghue
Executive Produced by Lin-Manuel Miranda, Robert Rodriguez, Kimberly Stuckwisch, Ian Blair
Production Company Diktator
Director of Photography Drew Bienemann
Production Designer Spencer Graves
Editor Tomás Whitmore, Alexander Aquino
Costume Designer Christina Flannery
Casting Director Michael Beaudry
Visual FX by Giant Propeller
Color by MPC LA
Post Sound provided by Unbridled Sound</t>
  </si>
  <si>
    <t>Vídeo oficial de Calle 13 de su tema 'La Perla'. Haz clic aquí para escuchar a Calle 13 en Spotify: http://smarturl.it/C13Spot?IQid=LaP
Incluido en Los de Atrás Vienen Conmigo. Haz clic aquí para comprar el track o el álbum en iTunes: http://smarturl.it/C13VCiTunes?IQid=LaP
Google Play: http://smarturl.it/C13LAPPlay?IQid=LaP
Amazon: http://smarturl.it/C13VCAm?IQid=LaP
Más de Calle 13
Muerte En Hawaii: https://youtu.be/ZAjASemgx3E
Atrevete Te Te: https://youtu.be/vXtJkDHEAAc
Ojos Color Sol: https://youtu.be/1Nr_tqkMsJs
Pincha aquí http://smarturl.it/FUPlaylist?IQid=LaP para escuchar más vídeos de buen Fiesta Urbana.
Sigue a Calle 13
Facebook: https://www.facebook.com/calle13oficial
Twitter: https://twitter.com/calle13
Listen to Calle 13
iTunes: https://itunes.apple.com/us/artist/calle-13/id101668733
Spotify: https://open.spotify.com/artist/0yNSzH5nZmHzeE2xn6Xshb
Suscríbete al canal de Calle 13 en YouTube: http://smarturl.it/C13Sub?IQid=LaP
---------
Letras:
Allá abajo en el hueco en el boquete
Nacen flores por ramillete
Casitas de colores con la ventana abierta
Vecinas de la playa puerta con puerta
Que yo tengo de todo, no me falta nada
Tengo la nocheque me sirve de sabana
Tengo los mejores paisajes del cielo
Tengo una neverita repleta de cerveza con hielo"</t>
  </si>
  <si>
    <t>"La vida (Respira el Momento)", de Calle 13. | Vídeo no oficial.
Tema incluído en el albúm MultiViral.
-
Artista: Calle 13
Canción 2: La vida (Respira el Momento)
Albúm: MultiViral
iTunes: https://itunes.apple.com/us/album/la-vida-respira-el-momento/id828622648?i=828622691
No soy dueño de la pista o los derechos de autor de ninguna manera, el clip lo hice recopilando vídeos que encontré en la web. 
Esto es sólo un homenaje a una canción de mi banda favorita.</t>
  </si>
  <si>
    <t>Historia: René Pérez Joglar
Dirección y Animación: José "Quique" Rivera</t>
  </si>
  <si>
    <t>Official Music Video for Calle 13's "El Aguante"  Buy Calle 13's "MultiViral" now on iTunes: www.smarturl.it/c13MultiViral  Director: Kacho López Mari Concept - René Pérez Joglar y Kacho López Mari Executive Producer: Tristana Robles Director of Photography: Santiago benet Editor: Kacho López Mari Production Company: Filmes Zapatero  Also visit: http://www.lacalle13.com/multiviral/  https://www.facebook.com/calle13oficial  https://twitter.com/Calle13Oficial   Music video by Calle 13 performing Adentro. (C) 2014 El Abismo, LLC</t>
  </si>
  <si>
    <t>Guerra - Residente / Video Oficial
Dirección : René Pérez Joglar
Fotografía : Santiago "Chago" Benet Mari
Productora : Adiela Marie
Coordinadora de Producción : Ariagny Martínez
Edición : Rebecca Adorno
Efectos Visuales : El Ranchito
Colorización : Bryan Smaller -  Company 3
Casas Productoras :  La Tara (Puerto Rico), Deseif (Madrid, Spain) &amp;
Clandestino (Beirut, Lebanon)</t>
  </si>
  <si>
    <t>Julian Assange conversa con John Pilger (ENTREVISTA)
Hoy, por cortesía de Dartmouth Films, RT muestra la versión completa de la entrevista a Julian Assange realizada por el periodista australiano John Pilger. El fundador de Wikileaks revela a quién representa Hillary Clinton en estas elecciones presidenciales en EE. UU. y quiénes formaron en realidad el gobierno de Obama. Además, Assange cuenta quién financia el Estado Islámico según lo muestran las revelaciones de Wikileaks y por qué Occidente no desea hablar de sus presos políticos.
¡Suscríbete a RT en español! 
http://www.youtube.com/user/ActualidadRT?sub_confirmation=1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</si>
  <si>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Pizzagate Donald Trump Anonymous Comet Ping Pong James Alephantis John Podesta Michael Jackson Lady Di avicii Madeleine McCann Bill Clinton Príncipe Andrés Yummy</t>
  </si>
  <si>
    <t>agárrate patricia poleo factores de poder Estados Unidos bill gates vacunas eugenesia filatropía</t>
  </si>
  <si>
    <t>el toro tv eltorotv intereconomiatv intereconomia el gato al agua el toro tv explosiva carta monseñor vigano trum iglesia eeuu</t>
  </si>
  <si>
    <t>el toro tv eltorotv intereconomiatv intereconomia el gato al agua el toro tv</t>
  </si>
  <si>
    <t>RT Actualidad rt russia today Entrevista exclusiva Detrás de la noticia América Latina Assange embajada de ecuador ecuatoriana Londres asilo EE.UU. Wikileaks entrevista exclusiva programa rt Eva Golinger Golinger guerra cibernética espionaje activista vigilancia Estados Unidos NSA Latinoamérica chantaje inteligencia Obama terroristas filtraciones informantes Soberanía Swift MasterCard Google ciberguerra Europa CIA Hollywood Edward Snowden gmail Manning FBI NWO Noticias Eva</t>
  </si>
  <si>
    <t>RT programas entrevista interview analysis news talking Wikileaks Julian Assange Julian Paul Assange Oriente Medio Guantánomo Reino Unido Suecia proceso extraditación censura prensa libre libertad de prensa anonymous anon wiki leaks RT exclusive documento confidencial secreto secretos mundo mundial EE.UU. EEUU Estados Unidos USA secret confidential enemigo estado enemigos liberty free libre Americas idol 2011 escandalo scandal noticias mejor TV Anonymity Commentary Politics</t>
  </si>
  <si>
    <t>el toro tv eltorotv intereconomiatv intereconomia el gato al agua el toro tv por que odian tanto trump eeuu bestia negra nuevo orden mundial industria farmaceutica enemigos</t>
  </si>
  <si>
    <t>edward snowden vigilancia masiva informante CIA NSA asilo rusia france 24 entrevista facebook google leyes estados unidos espiar gobierno</t>
  </si>
  <si>
    <t>assange julian assange julian assange arrested wikileaks assange arrested assange arrester footage of julian assange julian assange news ecuadorian embassy video of assange arrest footage of assange arrest assange arrest ecuador police assange arrest video assange embassy arrest crime arrest assange latest assange wikileaks julian assange arrest julian assange arrest video 2019 uk wikileaks arrest freedom gore vidal resist assange police embassy london leaks</t>
  </si>
  <si>
    <t>Assange Extradition US Assange Petition Assange Hearing Assange Wikileaks Julian Assange Hearing Julian Assange Pardon Assange Extadition Julian Assange Extradition Wikileaks Assange Pardon Pressfreedom Whistleblower Julianassange US Hacking Trial Pentagon TRT TRT World TRT News</t>
  </si>
  <si>
    <t>VICE News VICE News Tonight VICE on HBO news vice video vice news 2018 What Happens Next For Julian Assange julian assange assange ejected assange sentencing justice department assange indictment chelsea manning extradition julian assange lawyer wikileaks ecuador embassy pentagon computer 2018 indictment army intelligence federal prosecutor government prosecutor legal analyst russia today united nations</t>
  </si>
  <si>
    <t>youtube aljazeera.com julian assange aljazeera news al jazeera prison journalism aljazeera aljazeera english aljazeera live al jazeera english</t>
  </si>
  <si>
    <t>Australia abc abc news news julain asange wikileaks wiki leaks ecudor embasy</t>
  </si>
  <si>
    <t>documentary documentaries docs interview culture lifestyle world exclusive independent underground videos vice guide vice.com vice vice magazine vice mag vice videos film short films movies oobah butler dumb laws old laws britain uk united kingdom legal police i broke dumb laws weirdest laws salmon armour parliament comedy pranking cops pranks old-fashioned tripadvisor the shed tripadvisor #1 fake restaurant law british laws funny stupid laws ancient laws</t>
  </si>
  <si>
    <t>DW News julian assange assange wikileaks wikileaks founder assange health assange julian assange germany assange un un assange assange court assange torture assange extradition assange embassy assange news assange latest news wikileaks julian assange wikileaks julian assange explained assange rape torture assange tortured</t>
  </si>
  <si>
    <t>News bloomberg Julian Assange news wikileaks Ecuador London Russia state department emails security clearance espionage internet privacy</t>
  </si>
  <si>
    <t>Sean Hannity Hannity Apple News Scandals On Air Personality Politics Primary Politics Special Fox News News</t>
  </si>
  <si>
    <t>60 Minutes CBS News Julian Assange Pamela Anderson Arrest Arrest Warrant Wikileaks London</t>
  </si>
  <si>
    <t>Documentary Documentaries documentaries DW documentary full documentary DW documentary 2020 documentary Wikileaks Julian Assange surveillance extradition hearing Edward Snowden assange wikileaks julian assange ecuadorian embassy julian assange news news wikileaks founder wikileaks documentary assange documentary dw documentary julian assange interview julian assange 2020</t>
  </si>
  <si>
    <t>Julian Assange assange wikileaks dnc democrats clinton hillary clinton seth rich murder emailhack emails hack republicans trump</t>
  </si>
  <si>
    <t>news ruptly Julian Assange WikiLeaks Hillary Clinton Libya</t>
  </si>
  <si>
    <t>Fox Business Network Fox Business Business News politics Trish Regan Trish Regan Primetime Julian Assange Julian Assange arrest Assange Assange arrest Wikileaks Jerome Corsi Conservative hacking computer hacking Russia russian probe russia investigation mueller robert mueller fox news donald trump</t>
  </si>
  <si>
    <t>Ed Henry Elections Democrats Presidential Scandals Personality Politics Primary Politics Fox News News</t>
  </si>
  <si>
    <t>60 Minutes 60 Minutes Australia Liz Hayes Charles Wooley Tara Brown Liam Bartlett Allison Langdon Tom Steinfort wikileaks julian assange assange free assange pamela anderson pamela anderson foundation pamela baywatch pamela anderson baywatch star playboy cover girl pamela anderson playboy pamela anderson julian assange</t>
  </si>
  <si>
    <t>julian assange this generation generation julian assange interview julian assange documentary julian assange wikileaks julian assange latest news generations the legacy julian assange movie generation zero julian assange 2018</t>
  </si>
  <si>
    <t>Sean Hannity Hannity Democrats Apple News Elections On Air Personality Politics Primary Politics Special Fox News News</t>
  </si>
  <si>
    <t>Lou Dobbs Lou Dobbs Tonight Apple News News On Air Personality Special Fox Business</t>
  </si>
  <si>
    <t>video donald trump middle east hillary clinton secretary state caused tremendous death cbs news</t>
  </si>
  <si>
    <t>Sean Hannity Hannity On Air Personality Politics Primary Politics Fox News News</t>
  </si>
  <si>
    <t>Australia Assange Genuine satire journalism</t>
  </si>
  <si>
    <t>Satire Australia Economic recovery Fossil fuels Climate emergency Green New Deal</t>
  </si>
  <si>
    <t>Satire</t>
  </si>
  <si>
    <t>Hawai'i Hawaii Occupation Satire</t>
  </si>
  <si>
    <t>Australia Election 2019 Genuine satire</t>
  </si>
  <si>
    <t>Climate Emergency School strike Satire</t>
  </si>
  <si>
    <t>Satire Coronavirus</t>
  </si>
  <si>
    <t>Fox News Channel Fox News News special us Tucker Tucker Carlson Tucker Carlson tonight Carlson Tucker monologue Tucker Carlson monologue Tuckers thoughts fox news voices assange Julian Assange Assange arrest Assange charges wikileaks wikileaks founder julian assange wikileaks chelsea manning london ecuador embassy top stories obama barack obama obama manning president obama national security pentagon</t>
  </si>
  <si>
    <t>SNL Saturday Night Live SNL Season 43 Episode 1731 Chance the Rapper Eric Trump Alex Moffat Donald Trump Jr Mikey Day Julian Assange Kate McKinnon WikiLeaks s43 s43e6 episode 6 live new york comedy sketch funny hilarious late night host music guest laugh impersonation actor improv musician Chance Chicago Coloring Book I’m the One rapper rap Eminem Marshall Mathers Walk on Water Beyonce</t>
  </si>
  <si>
    <t>Julian Assange WikiLeaks Jeff Ross (comedian) Comedy Central Jeff Ross Roasts Cops will be airing in September Rob Reiner (Director) Rick Santorum Senator Pennsylvania Republican presidential candidate Tara Setmayer CNN Hamilton Foundation</t>
  </si>
  <si>
    <t>Colion Noir NRA TV Noir Michael Pollan Author of How to Change Your Mind Josh Barro Business Insider MSNBC NBC KCRW Left Right &amp; Center Podcast Michael Smerconish SiriusXM Radio Clowns to the Left of Me Jokers to the Right American Life in Columns Neera Tanden President and CEO Center for American Progress</t>
  </si>
  <si>
    <t>Seth Abramson Newsweek Proof of Collusion Proof of Conspiracy Amb. Wendy R. Sherman Center for Public Leadership Harvard Kennedy School Secretary of State President Obama Not for the Faint of Heart Matt Welch Reason Magazine Cornell Belcher pollster Brilliant Corners A Black Man in the White House Barack Obama and the Triggering of America's Racial-Aversion Crisis Dave Barry Pulitzer Prize Lessons from Lucy The Simple Joys of an Old Happy Dog</t>
  </si>
  <si>
    <t>HBO Real Time with Bill Maher Real Time Bill Maher Bill Mahr Bill Mar Bill Mahar Season Episode Quotes Show New Rules Overtime Realtime Podcasts Guests Series Comedy Full Episodes Watch Online Politics Government Roundtable Politicians Liberals Conservatives Republican Democrat President Jokes Laugh Funny Premiere Preview Clip Trailer</t>
  </si>
  <si>
    <t>Scott Adams (cartoonist) Dilbert comic strip How to Fail at Almost Everything and Still Win Big Senator Bernie Sanders (I-VT) Democratic Candidate President Michael Moynihan Cultural News The Daily Beast VICE News Melissa Harris-Perry Elle.com Wayne Allyn Root The Power of Relentless 7 Secrets to Achieving Mega-Success Financial Freedom and the Life of Your Dreams Donald Trump</t>
  </si>
  <si>
    <t>Katie Porter Democrat California UC Irvine School of Law Kevin Williamson National Review The NY Post The Smallest Minority Independent Thinking in the Age of Mob Politics Heidi Heitkamp One Country Project Eric Klinenberg Sociology NYU Palaces for the People How Social Infrastructure Can Help Fight Inequality Michael Smerconish SiriusXM CNN host Clowns to the Left of Me</t>
  </si>
  <si>
    <t>politics Chuck Todd NBC News Washington political interview public affairs public Senate President Representatives Sunday leader issues roundtable Congress commentary panel Julian Assange Julian Assange Interview DNC DNC Emails DNC Email Hack Debbie Wasserman Schultz Hillary Clinton Clinton Emails Clinton Private Server Russia Russian Hacking Bernie Sanders Bernie Sanders Campaign Wikileaks Election 2016 Decision 2016 Donald Trump</t>
  </si>
  <si>
    <t>canal #0 canal cero canal 0 movistar plus canal plus movistar #0 movistar cero cerotube iñaki gabilondo iñaki gabilondo cuando ya no este cyne julian assange assange donald trump enemigo publico wikileaks entrevista fbi hillary clinton usa eeuu estados unidos conspiracion elecciones elecciones documental cia</t>
  </si>
  <si>
    <t>DW DW Documental Documentales en español canal aleman documental documental 2019 ee. uu. china guerra comercial superpotencia guerra fría maga xi jinping donald trump</t>
  </si>
  <si>
    <t>El Punto en la i</t>
  </si>
  <si>
    <t>iñaki gabilondo cuando ya no este entrevista iñaki entrevista gabilondo mundo en 25 años como sera el mundo gabilondo cero gabilondo canal+ gabilondo reportaje #0 cero cerotube movistar cero cero movistar movistar+ cero cero movistar+ #0 movistar movistar+ movistar plus canal+ canal plus buenafuente canal cero canal 0 canal #0 neil degrasse cosmos galaxia</t>
  </si>
  <si>
    <t>DW Deutsche Welle Noticias News Español Spanish julian assange rafael correa lenin moreno wikileaks ina papers</t>
  </si>
  <si>
    <t>telemadrid Rastreadores de Misterios youtube móviles</t>
  </si>
  <si>
    <t>El Palmar De Troya Iglesia Cristiana Palmariana de los Carmelitas de la Santa Faz Memoranda Canal Sur Televisión Provincia de Sevilla España (País/Country) Iglesia Palmariana Spain (Country) Papa Gregorio XVII Clemente Domínguez Gómez Andalucía (Región/City/Town/Village) Vídeo Sectas Canal Sur (Production Company Los Reporteros ma2mm Andalusia (City/Town/Village) Twm 160510 30 de marzo</t>
  </si>
  <si>
    <t>LaSexta Salvados Jordi Évole Julian Assange Wikileaks fundador sin transparencia entrevista gobiernos ley de transparencia coartada Reino Unido England España Spain interview información esquivar excepciones embajada Ecuador Londres</t>
  </si>
  <si>
    <t>snl saturday night live snl season 44 snl 44 weekend update colin jost michael che s44 s44e18 episode 18 live new york comedy sketch funny hilarious late night host music guest laugh impersonation actor musician Emma Stone La La Land The Favourite Zombieland Maniac Easy A BTS Beyond the Scene Fake Love Love Yourself Mic Drop Burn the Stage Waste It On Me Persona album Bangtan Boys Julian Assange Julian Assange Arrested Trump</t>
  </si>
  <si>
    <t>SNL Saturday Night Live SNL Season 43 Episode 1727 Gal Gadot Weekend Update Colin Jost Michael Che s43 s43e2 episode 2 live new york comedy sketch funny hilarious late night host music guest laugh impersonation actor improv musician gal gadot wonder woman justice league fast and furious 6 israeli model sam smith too good at goodbyes in the lonely hour grammy</t>
  </si>
  <si>
    <t>The Late Show Late Show Stephen Colbert Steven Colbert Colbert celebrity celeb celebrities late night talk show comedian comedy CBS joke jokes funny funny video funny videos humor hollywood famous</t>
  </si>
  <si>
    <t>SNL Saturday Night Live SNL Season 43 Episode 1741 Bill Hader Weekend Update Colin Jost Michael Che s43 s43e16 episode 16 live new york comedy sketch funny hilarious late night host music guest laugh impersonation actor improv musician comedian barry trainwreck power rangers noelle arcade fire everything now run toni collette money + love</t>
  </si>
  <si>
    <t>Late Night with Seth Meyers Mike Birbiglia Regina Hall Trump Amps Up Racism Because Failed Everything Else A Closer Look NBC NBC TV television funny talk show comedy humor stand-up parody snl seth meyers host promo seth meyers weekend update news satire satire Donald Trump President Trump reelection election 2020 election Trump Rally Tulsa Rally Coronavirus Covid-19 Pandemic Kung-Flu Joe Biden voting voters race racist black hispanic poc people of color bipoc</t>
  </si>
  <si>
    <t>SNL Saturday Night Live Season 42 Episode 1715 Felicity Jones Colin Jost Michael Che Weekend Update Donald Trump Pete Davidson live new york comedy sketch funny hilarious late night host guest impersonation episode 11 star wars jyn erso golden globe theory of everything a monster calls rogue one inferno actress sturgill simpson singer country a sailor’s guide to earth Trump president golden showers buzzfeed Blackmailing Russia dossier isis CNN cabinet</t>
  </si>
  <si>
    <t>Late Night with Seth Meyers Trump Dodges Questions Mueller Tax Returns WikiLeaks A Closer Look NBC NBC TV television funny talk show comedy humor stand-up parody snl seth meyers host promo seth meyers weekend update news satire satire Julian Assange Ecuadorian Embassy London Michael Avenatti Stormy Daniels Trump Tax Returns tax returns</t>
  </si>
  <si>
    <t>SNL Saturday Night Live SNL Season 43 Episode 1736 Jessica Chastain Weekend Update Colin Jost Michael Che s43 s43e11 episode 11 live new york comedy sketch funny hilarious late night host music guest laugh impersonation actor improv musician actress Zero Dark Thirty The Help X Men Molly’s Game Troye Sivan Blue Neighbuorhood Boy Erased</t>
  </si>
  <si>
    <t>SNL Saturday Night Live SNL Season 43 Episode 1735 Sam Rockwell Weekend Update Colin Jost Michael Che s43 s43e10 episode 10 live new york comedy sketch funny hilarious late night host music guest laugh impersonation actor improv musician Three Billboards Three Billboards Outside Ebbing Missouri Mute Martin McDonagh Moon Mr. Right Halsey G-Eazy Bad at love Hopeless Fountain Kingdom</t>
  </si>
  <si>
    <t>SNL Saturday Night Live SNL Season 43 Episode 1739 Charles Barkley Weekend Update Colin Jost Michael Che s43 s43e14 episode 14 live new york comedy sketch funny hilarious late night host music guest laugh impersonation actor improv musician charles barkley basketball NBA Philadelphia 76ers Phoenix Suns Houston Rockets Migos Quavo Offset Takeoff bad and boujee stir fry</t>
  </si>
  <si>
    <t>the daily show trevor noah daily show with trevor noah the daily show episodes comedy central comedians comedian funny video comedy videos funny clips noah trevor trevor noah latest episode daily show latest episode daily show trevor news politics daily show trump trump Julian Assange Wikileaks Chelsea Manning Justice Department hacking arrest journalism Ecuador embassy Julian Assange arrested conspiracy freedom of the press freedom of speech</t>
  </si>
  <si>
    <t>the daily show trevor noah daily show with trevor noah the daily show episodes comedy central comedians comedian funny video comedy videos funny clips noah trevor trevor noah latest episode daily show trevor news politics daily show trump trevor noah trump trump polar vortex midwest chicago cold coldest mars winter snow blizzard global warming climate change cold snap freezing polar vortex 2019</t>
  </si>
  <si>
    <t>The daily show trevor noah daily show with trevor noah the daily show episodes comedy central comedians comedian funny video comedy videos funny clips noah trevor trevor noah latest episode daily show latest episode daily show trevor news politics white women racism race relations Cornerstore Caroline Brooklyn police Corner Store Caroline Brooklyn deli New York City white lady black people sexual assault Cornerstone Caroline apology</t>
  </si>
  <si>
    <t>the daily show trevor noah daily show with trevor noah the daily show episodes comedy central comedians comedian funny video comedy videos funny clips noah trevor trevor noah latest episode daily show trevor news politics trump 2020 2020 election bernie sanders bernie sanders getting to know dem get to know bernie sanders public access show democratic socialism socialism 2020 candidates jaboukie young-white jaboukie bernie sanders interview</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</si>
  <si>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Starbucks arrest police racism black women golfing Yale grad student Dulce Sloan Permit Patty Civil War Roseanne Barr Valerie Jarrett Kanye West</t>
  </si>
  <si>
    <t>the daily show trevor noah daily show with trevor noah new trevor noah show comedy central politics the daily show episodes Facebook Internet conservative white people Jesse Williams African American speeches Colin Kaepernick rants rage late night talk show hosts comedy central stand up comedy comedians comedy central comedians comedy funny</t>
  </si>
  <si>
    <t>the daily show trevor noah daily show with trevor noah the daily show episodes comedy central comedians comedian funny video comedy videos funny clips noah trevor trevor noah latest episode daily show trevor news politics daily show trump trevor noah trump trump boeing ethiopia boeing 737 MAX 737 max airplane crash plane crash FAA federal aviation administration regulations training ipad airline safety</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</si>
  <si>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Fox News Sean Hannity border crisis Laura Ingraham Brian Kilmeade Fox and friends Michael Cohen</t>
  </si>
  <si>
    <t>the daily show trevor noah daily show with trevor noah new trevor noah show comedy central politics the daily show episodes Donald Trump Trump administration Jacob Zuma Canada immigration South Africa dictators south African dictator Africa censorship late night talk show hosts comedy central stand up comedy comedians comedy central comedians comedy funny comedian funny video comedy videos funny jokes funny clips hilarious videos</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</si>
  <si>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trevor noah interview daily show interview Edward Snowden NSA Permanent Record</t>
  </si>
  <si>
    <t>RT Russia Today Assange to John Pilger Dartmouth Films Whistleblower Julian Assange political prisoners assange Wikileaks leak Podesta Russia Putin hack US elections influence scary affect White House plot cold war hide whistleblower Trump CIA FBI Benghazi Iraq Julian Assange John Pilger Darthmouth Films ISIS Saudi Arabia Hillary Clinton of misleading Americans about the true scope of Islamic State’s support Clinton &amp; ISIS funded by same money</t>
  </si>
  <si>
    <t>Australia julian assange donald trump hillary clinton united states election us president trump russia wikileaks collateral murder collusion four corners espionage treason chelsea manning</t>
  </si>
  <si>
    <t>Julian Assange WikiLeaks London embassy</t>
  </si>
  <si>
    <t>RT Going Underground Afshin Rattansi Politics Julian Assange (Musical Artist) WikiLeaks (Nonprofit Organization) Snowden Interview Exclusive FinFisher Google Ideas Corruption NSA Spying Cyberwarfare Cyber attacks Internet Online Security United States Department Of State (Government Agency) Orwellian</t>
  </si>
  <si>
    <t>Democracy Now Amy Goodman DN News Politics democracynow.org Video Independent Media Daily News Breaking News World News Interview web extra Julian Assange WikiLeaks Allan Nairn Election 2016 John Podesta Russia DNC hacking leaks James Comey Adam Schiff Hillary Clinton Donald Trump Paul Manafort Roger Stone Vault 7 CIA NSA Naomi Klein Democrats surveillance Republicans</t>
  </si>
  <si>
    <t>news ruptly</t>
  </si>
  <si>
    <t>RT channel on air live news breaking news latest news live current events viral watch news live happening now special coverage watch news russia today</t>
  </si>
  <si>
    <t>Calle 13 C-13 Residente Visitante René Pérez Joglar Eduardo Cabra Martínez Zapatero Filmes Multi_Viral Multiviral Assange Kamilya Jubran Tom Morello Palestina Palestine Multi Viral Multi-Viral new video new song official oficial Rage Against The Machine Wikileaks Julian or</t>
  </si>
  <si>
    <t>calle 13 c13 digo lo que pienso Entren los que quieran Diego Lescano Tom Veloso Matías Mera Germán Pecho Anzoategui Cuba Mercedes Argentina Calle 13 (Musical Artist) René Pérez Joglar (Composer) videoclip Latinoamérica Latino Music Video (TV Genre) Music (TV Genre) video Cráneo Craneo films</t>
  </si>
  <si>
    <t>Calle13 Latinoamérica</t>
  </si>
  <si>
    <t>Hamilton Hamilton Mixtape Immigrants The Hamilton Mixtape Broadway Lin-Manuel Miranda K'naan Residente Riz MC Snow Tha Product Musical Hip-Hop</t>
  </si>
  <si>
    <t>Calle 13 Calle 13 lyrics Calle13vevo vídeo musical Calle 13 La Perla no hay nadie como tu official los de atrás vienen conmigo video Calle 13 live music video instrumental album álbum música featuring Ruben Blades Y La Chilinga hd muerte en hawaii Cumbia de los Aburridos vevo hip hop latinoamerica oficial rap Un Beso de Desayuno baile de pobres La Perla Oficial Residente o Visitante En Directo karaoke remix audio</t>
  </si>
  <si>
    <t>Calle13 C13 MultiViral RespiraElMomento Multi_Viral Calle 13 (Musical Artist) Musica Music Latina</t>
  </si>
  <si>
    <t>Calle 13 (Musical Artist) Así De Grande Son Las Ideas (Canonical Version) René Pérez Joglar (Composer) Jose Quique Rivera Stop Animation Animación MultiViral</t>
  </si>
  <si>
    <t>Calle13vevo vevo official video music video hq album single Multi Viral Calle 13 El Aguante Latin Urban Sony Music Latin</t>
  </si>
  <si>
    <t>ozuna canciones populares musica 2017 despacito maluma la mejor musica latina rap music j balvin latin urban mark anthony lo mas nuevo pop music musica pop nueva nicky jam daddy yankee tempo catedra musica nueva calle 13 atrevete te te te latinomerica no hay nadie como tu chulin chulin chun fly mis disculpas somos anormales desencuentro guerra war siria</t>
  </si>
  <si>
    <t>rt rt español assange entrevista entrevista assange Dartmouth Films Julian Assange</t>
  </si>
  <si>
    <t>Frewaska Channel</t>
  </si>
  <si>
    <t>Factores De Poder</t>
  </si>
  <si>
    <t>El Toro TV</t>
  </si>
  <si>
    <t>RT en Español</t>
  </si>
  <si>
    <t>FRANCE 24 Español</t>
  </si>
  <si>
    <t>Guardian News</t>
  </si>
  <si>
    <t>TRT World</t>
  </si>
  <si>
    <t>VICE News</t>
  </si>
  <si>
    <t>Al Jazeera English</t>
  </si>
  <si>
    <t>ABC News (Australia)</t>
  </si>
  <si>
    <t>VICE</t>
  </si>
  <si>
    <t>DW News</t>
  </si>
  <si>
    <t>Bloomberg QuickTake Originals</t>
  </si>
  <si>
    <t>Fox News</t>
  </si>
  <si>
    <t>60 Minutes</t>
  </si>
  <si>
    <t>DW Documentary</t>
  </si>
  <si>
    <t>Nieuwsuur</t>
  </si>
  <si>
    <t>Ruptly</t>
  </si>
  <si>
    <t>Fox Business</t>
  </si>
  <si>
    <t>60 Minutes Australia</t>
  </si>
  <si>
    <t>Daily Mail</t>
  </si>
  <si>
    <t>Face the Nation</t>
  </si>
  <si>
    <t>thejuicemedia</t>
  </si>
  <si>
    <t>Saturday Night Live</t>
  </si>
  <si>
    <t>Real Time with Bill Maher</t>
  </si>
  <si>
    <t>NBC News</t>
  </si>
  <si>
    <t>#0</t>
  </si>
  <si>
    <t>DW Documental</t>
  </si>
  <si>
    <t>teleSUR tv</t>
  </si>
  <si>
    <t>DW Español</t>
  </si>
  <si>
    <t>eldiarioes</t>
  </si>
  <si>
    <t>Telemadrid</t>
  </si>
  <si>
    <t>MemorANDA</t>
  </si>
  <si>
    <t>laSexta</t>
  </si>
  <si>
    <t>The Late Show with Stephen Colbert</t>
  </si>
  <si>
    <t>Late Night with Seth Meyers</t>
  </si>
  <si>
    <t>The Daily Show with Trevor Noah</t>
  </si>
  <si>
    <t>LastWeekTonight</t>
  </si>
  <si>
    <t>RT</t>
  </si>
  <si>
    <t>ABC News In-depth</t>
  </si>
  <si>
    <t>Sky News</t>
  </si>
  <si>
    <t>Going Underground on RT</t>
  </si>
  <si>
    <t>Democracy Now!</t>
  </si>
  <si>
    <t>Calle13VEVO</t>
  </si>
  <si>
    <t>Craneo Films</t>
  </si>
  <si>
    <t>elvecindariocalle13</t>
  </si>
  <si>
    <t>Feel Music</t>
  </si>
  <si>
    <t>Hamilton</t>
  </si>
  <si>
    <t>Jorge Falcon Campos</t>
  </si>
  <si>
    <t>Residente</t>
  </si>
  <si>
    <t>2020-06-07T16:00:14Z</t>
  </si>
  <si>
    <t>2020-05-23T23:00:11Z</t>
  </si>
  <si>
    <t>2020-06-10T11:54:22Z</t>
  </si>
  <si>
    <t>2020-01-15T08:40:00Z</t>
  </si>
  <si>
    <t>2013-10-11T12:32:28Z</t>
  </si>
  <si>
    <t>2011-05-02T13:53:54Z</t>
  </si>
  <si>
    <t>2020-06-10T11:42:38Z</t>
  </si>
  <si>
    <t>2019-09-10T15:57:37Z</t>
  </si>
  <si>
    <t>2019-04-11T10:13:55Z</t>
  </si>
  <si>
    <t>2020-03-04T13:57:15Z</t>
  </si>
  <si>
    <t>2019-04-12T13:13:51Z</t>
  </si>
  <si>
    <t>2020-03-01T13:45:22Z</t>
  </si>
  <si>
    <t>2020-02-23T20:17:03Z</t>
  </si>
  <si>
    <t>2019-03-25T16:35:36Z</t>
  </si>
  <si>
    <t>2020-02-06T15:00:09Z</t>
  </si>
  <si>
    <t>2019-05-24T14:02:48Z</t>
  </si>
  <si>
    <t>2016-09-07T03:31:19Z</t>
  </si>
  <si>
    <t>2019-04-11T22:23:40Z</t>
  </si>
  <si>
    <t>2020-02-25T14:00:14Z</t>
  </si>
  <si>
    <t>2016-08-09T16:52:09Z</t>
  </si>
  <si>
    <t>2016-11-05T12:04:14Z</t>
  </si>
  <si>
    <t>2019-04-12T13:31:27Z</t>
  </si>
  <si>
    <t>2016-10-14T15:29:59Z</t>
  </si>
  <si>
    <t>2018-11-06T07:00:04Z</t>
  </si>
  <si>
    <t>2018-09-24T14:44:44Z</t>
  </si>
  <si>
    <t>2017-01-05T05:00:11Z</t>
  </si>
  <si>
    <t>2017-05-17T01:13:53Z</t>
  </si>
  <si>
    <t>2016-01-03T16:50:56Z</t>
  </si>
  <si>
    <t>2017-01-04T04:02:17Z</t>
  </si>
  <si>
    <t>2019-04-15T08:37:00Z</t>
  </si>
  <si>
    <t>2020-06-05T01:04:35Z</t>
  </si>
  <si>
    <t>2020-02-11T07:37:41Z</t>
  </si>
  <si>
    <t>2017-03-22T22:30:14Z</t>
  </si>
  <si>
    <t>2019-05-06T08:54:06Z</t>
  </si>
  <si>
    <t>2020-04-30T10:03:40Z</t>
  </si>
  <si>
    <t>2019-09-02T22:58:04Z</t>
  </si>
  <si>
    <t>2020-03-14T01:55:30Z</t>
  </si>
  <si>
    <t>2019-04-12T01:24:21Z</t>
  </si>
  <si>
    <t>2017-11-19T05:38:09Z</t>
  </si>
  <si>
    <t>2016-08-06T04:33:48Z</t>
  </si>
  <si>
    <t>2018-06-23T05:01:29Z</t>
  </si>
  <si>
    <t>2019-04-13T04:36:11Z</t>
  </si>
  <si>
    <t>2014-11-25T17:10:07Z</t>
  </si>
  <si>
    <t>2016-05-28T04:34:27Z</t>
  </si>
  <si>
    <t>2019-08-24T06:25:40Z</t>
  </si>
  <si>
    <t>2016-08-06T04:26:18Z</t>
  </si>
  <si>
    <t>2016-08-01T13:02:10Z</t>
  </si>
  <si>
    <t>2017-05-11T21:00:03Z</t>
  </si>
  <si>
    <t>2020-06-12T17:00:14Z</t>
  </si>
  <si>
    <t>2017-09-05T03:22:35Z</t>
  </si>
  <si>
    <t>2016-09-22T21:00:03Z</t>
  </si>
  <si>
    <t>2019-04-12T19:11:04Z</t>
  </si>
  <si>
    <t>2016-03-15T09:02:07Z</t>
  </si>
  <si>
    <t>2012-09-28T09:10:58Z</t>
  </si>
  <si>
    <t>2014-03-09T13:16:31Z</t>
  </si>
  <si>
    <t>2013-05-21T10:22:41Z</t>
  </si>
  <si>
    <t>2017-05-11T21:00:04Z</t>
  </si>
  <si>
    <t>2019-04-14T06:01:47Z</t>
  </si>
  <si>
    <t>2017-10-08T07:00:32Z</t>
  </si>
  <si>
    <t>2019-04-19T05:02:46Z</t>
  </si>
  <si>
    <t>2018-03-18T08:06:04Z</t>
  </si>
  <si>
    <t>2020-06-25T01:00:03Z</t>
  </si>
  <si>
    <t>2017-02-27T14:00:04Z</t>
  </si>
  <si>
    <t>2019-04-12T01:47:13Z</t>
  </si>
  <si>
    <t>2018-01-21T07:14:31Z</t>
  </si>
  <si>
    <t>2018-01-14T07:23:58Z</t>
  </si>
  <si>
    <t>2018-03-04T06:55:42Z</t>
  </si>
  <si>
    <t>2019-04-12T00:27:50Z</t>
  </si>
  <si>
    <t>2019-01-31T03:07:51Z</t>
  </si>
  <si>
    <t>2018-10-16T02:01:27Z</t>
  </si>
  <si>
    <t>2020-02-17T14:00:00Z</t>
  </si>
  <si>
    <t>2018-08-29T13:00:00Z</t>
  </si>
  <si>
    <t>2019-04-08T06:30:00Z</t>
  </si>
  <si>
    <t>2016-09-23T19:30:01Z</t>
  </si>
  <si>
    <t>2019-03-20T02:09:16Z</t>
  </si>
  <si>
    <t>2018-09-23T13:00:05Z</t>
  </si>
  <si>
    <t>2016-11-16T20:30:00Z</t>
  </si>
  <si>
    <t>2019-09-20T18:03:15Z</t>
  </si>
  <si>
    <t>2016-11-05T08:23:22Z</t>
  </si>
  <si>
    <t>2019-07-29T10:30:00Z</t>
  </si>
  <si>
    <t>2017-05-19T17:13:55Z</t>
  </si>
  <si>
    <t>2014-09-22T13:58:08Z</t>
  </si>
  <si>
    <t>2017-04-12T18:36:57Z</t>
  </si>
  <si>
    <t>2018-09-20T19:19:10Z</t>
  </si>
  <si>
    <t>2019-10-20T06:29:44Z</t>
  </si>
  <si>
    <t>2013-12-13T16:40:00Z</t>
  </si>
  <si>
    <t>2013-11-03T18:22:14Z</t>
  </si>
  <si>
    <t>2011-09-27T17:47:41Z</t>
  </si>
  <si>
    <t>2017-04-01T23:41:43Z</t>
  </si>
  <si>
    <t>2017-06-28T12:24:47Z</t>
  </si>
  <si>
    <t>2009-10-25T07:14:50Z</t>
  </si>
  <si>
    <t>2014-12-30T11:05:09Z</t>
  </si>
  <si>
    <t>2014-09-16T12:56:11Z</t>
  </si>
  <si>
    <t>2014-04-01T22:00:03Z</t>
  </si>
  <si>
    <t>2017-08-18T03:59:25Z</t>
  </si>
  <si>
    <t>2016-11-07T13:12:05Z</t>
  </si>
  <si>
    <t>Play Video in Browser</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</si>
  <si>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</si>
  <si>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</si>
  <si>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t>
  </si>
  <si>
    <t>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t>
  </si>
  <si>
    <t xml:space="preserve">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t>
  </si>
  <si>
    <t>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t>
  </si>
  <si>
    <t>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t>
  </si>
  <si>
    <t>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t>
  </si>
  <si>
    <t>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t>
  </si>
  <si>
    <t>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t>
  </si>
  <si>
    <t>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t>
  </si>
  <si>
    <t>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t>
  </si>
  <si>
    <t>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t>
  </si>
  <si>
    <t xml:space="preserve">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t>
  </si>
  <si>
    <t xml:space="preserve">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t>
  </si>
  <si>
    <t>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t>
  </si>
  <si>
    <t>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80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24pt White BottomCenter 40 2147483647 Black True 410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</si>
  <si>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</si>
  <si>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</si>
  <si>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</si>
  <si>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</si>
  <si>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</si>
  <si>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</si>
  <si>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</si>
  <si>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</si>
  <si>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</si>
  <si>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</si>
  <si>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</si>
  <si>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</si>
  <si>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</si>
  <si>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</si>
  <si>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</si>
  <si>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</si>
  <si>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</si>
  <si>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</si>
  <si>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</si>
  <si>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</si>
  <si>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</si>
  <si>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</si>
  <si>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</si>
  <si>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</si>
  <si>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</si>
  <si>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</si>
  <si>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</si>
  <si>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</si>
  <si>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</si>
  <si>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</si>
  <si>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</si>
  <si>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assange</t>
  </si>
  <si>
    <t>news</t>
  </si>
  <si>
    <t>julian</t>
  </si>
  <si>
    <t>daily</t>
  </si>
  <si>
    <t>trevor</t>
  </si>
  <si>
    <t>trump</t>
  </si>
  <si>
    <t>noah</t>
  </si>
  <si>
    <t>wikileaks</t>
  </si>
  <si>
    <t>comedy</t>
  </si>
  <si>
    <t>funny</t>
  </si>
  <si>
    <t>episode</t>
  </si>
  <si>
    <t>politics</t>
  </si>
  <si>
    <t>live</t>
  </si>
  <si>
    <t>night</t>
  </si>
  <si>
    <t>snl</t>
  </si>
  <si>
    <t>canal</t>
  </si>
  <si>
    <t>arrest</t>
  </si>
  <si>
    <t>central</t>
  </si>
  <si>
    <t>late</t>
  </si>
  <si>
    <t>music</t>
  </si>
  <si>
    <t>donald</t>
  </si>
  <si>
    <t>michael</t>
  </si>
  <si>
    <t>clinton</t>
  </si>
  <si>
    <t>el</t>
  </si>
  <si>
    <t>videos</t>
  </si>
  <si>
    <t>fox</t>
  </si>
  <si>
    <t>comedian</t>
  </si>
  <si>
    <t>movistar</t>
  </si>
  <si>
    <t>russia</t>
  </si>
  <si>
    <t>interview</t>
  </si>
  <si>
    <t>vice</t>
  </si>
  <si>
    <t>satire</t>
  </si>
  <si>
    <t>comedians</t>
  </si>
  <si>
    <t>13</t>
  </si>
  <si>
    <t>entrevista</t>
  </si>
  <si>
    <t>host</t>
  </si>
  <si>
    <t>episodes</t>
  </si>
  <si>
    <t>cero</t>
  </si>
  <si>
    <t>calle</t>
  </si>
  <si>
    <t>embassy</t>
  </si>
  <si>
    <t>documentary</t>
  </si>
  <si>
    <t>hillary</t>
  </si>
  <si>
    <t>president</t>
  </si>
  <si>
    <t>season</t>
  </si>
  <si>
    <t>york</t>
  </si>
  <si>
    <t>hilarious</t>
  </si>
  <si>
    <t>gabilondo</t>
  </si>
  <si>
    <t>weekend</t>
  </si>
  <si>
    <t>update</t>
  </si>
  <si>
    <t>clips</t>
  </si>
  <si>
    <t>seth</t>
  </si>
  <si>
    <t>saturday</t>
  </si>
  <si>
    <t>sketch</t>
  </si>
  <si>
    <t>guest</t>
  </si>
  <si>
    <t>laugh</t>
  </si>
  <si>
    <t>impersonation</t>
  </si>
  <si>
    <t>colin</t>
  </si>
  <si>
    <t>ecuador</t>
  </si>
  <si>
    <t>obama</t>
  </si>
  <si>
    <t>laws</t>
  </si>
  <si>
    <t>dw</t>
  </si>
  <si>
    <t>hannity</t>
  </si>
  <si>
    <t>pamela</t>
  </si>
  <si>
    <t>election</t>
  </si>
  <si>
    <t>actor</t>
  </si>
  <si>
    <t>musician</t>
  </si>
  <si>
    <t>bernie</t>
  </si>
  <si>
    <t>sanders</t>
  </si>
  <si>
    <t>jost</t>
  </si>
  <si>
    <t>che</t>
  </si>
  <si>
    <t>estados</t>
  </si>
  <si>
    <t>unidos</t>
  </si>
  <si>
    <t>toro</t>
  </si>
  <si>
    <t>cia</t>
  </si>
  <si>
    <t>manning</t>
  </si>
  <si>
    <t>london</t>
  </si>
  <si>
    <t>hacking</t>
  </si>
  <si>
    <t>australia</t>
  </si>
  <si>
    <t>anderson</t>
  </si>
  <si>
    <t>2020</t>
  </si>
  <si>
    <t>43</t>
  </si>
  <si>
    <t>s43</t>
  </si>
  <si>
    <t>improv</t>
  </si>
  <si>
    <t>nbc</t>
  </si>
  <si>
    <t>white</t>
  </si>
  <si>
    <t>iñaki</t>
  </si>
  <si>
    <t>meyers</t>
  </si>
  <si>
    <t>musical</t>
  </si>
  <si>
    <t>films</t>
  </si>
  <si>
    <t>eeuu</t>
  </si>
  <si>
    <t>nsa</t>
  </si>
  <si>
    <t>snowden</t>
  </si>
  <si>
    <t>police</t>
  </si>
  <si>
    <t>extradition</t>
  </si>
  <si>
    <t>aljazeera</t>
  </si>
  <si>
    <t>air</t>
  </si>
  <si>
    <t>personality</t>
  </si>
  <si>
    <t>special</t>
  </si>
  <si>
    <t>dnc</t>
  </si>
  <si>
    <t>business</t>
  </si>
  <si>
    <t>tucker</t>
  </si>
  <si>
    <t>hamilton</t>
  </si>
  <si>
    <t>documental</t>
  </si>
  <si>
    <t>en</t>
  </si>
  <si>
    <t>los</t>
  </si>
  <si>
    <t>talk</t>
  </si>
  <si>
    <t>musica</t>
  </si>
  <si>
    <t>john</t>
  </si>
  <si>
    <t>guerra</t>
  </si>
  <si>
    <t>edward</t>
  </si>
  <si>
    <t>fbi</t>
  </si>
  <si>
    <t>leaks</t>
  </si>
  <si>
    <t>arrested</t>
  </si>
  <si>
    <t>2019</t>
  </si>
  <si>
    <t>freedom</t>
  </si>
  <si>
    <t>department</t>
  </si>
  <si>
    <t>chelsea</t>
  </si>
  <si>
    <t>united</t>
  </si>
  <si>
    <t>emails</t>
  </si>
  <si>
    <t>sean</t>
  </si>
  <si>
    <t>primary</t>
  </si>
  <si>
    <t>democrats</t>
  </si>
  <si>
    <t>carlson</t>
  </si>
  <si>
    <t>jeff</t>
  </si>
  <si>
    <t>ross</t>
  </si>
  <si>
    <t>cnn</t>
  </si>
  <si>
    <t>public</t>
  </si>
  <si>
    <t>black</t>
  </si>
  <si>
    <t>country</t>
  </si>
  <si>
    <t>people</t>
  </si>
  <si>
    <t>elecciones</t>
  </si>
  <si>
    <t>love</t>
  </si>
  <si>
    <t>stand</t>
  </si>
  <si>
    <t>artist</t>
  </si>
  <si>
    <t>viral</t>
  </si>
  <si>
    <t>español</t>
  </si>
  <si>
    <t>podesta</t>
  </si>
  <si>
    <t>eltorotv</t>
  </si>
  <si>
    <t>intereconomiatv</t>
  </si>
  <si>
    <t>intereconomia</t>
  </si>
  <si>
    <t>gato</t>
  </si>
  <si>
    <t>agua</t>
  </si>
  <si>
    <t>iglesia</t>
  </si>
  <si>
    <t>latina</t>
  </si>
  <si>
    <t>uu</t>
  </si>
  <si>
    <t>latinoamérica</t>
  </si>
  <si>
    <t>google</t>
  </si>
  <si>
    <t>noticias</t>
  </si>
  <si>
    <t>exclusive</t>
  </si>
  <si>
    <t>mundo</t>
  </si>
  <si>
    <t>usa</t>
  </si>
  <si>
    <t>enemigo</t>
  </si>
  <si>
    <t>ecuadorian</t>
  </si>
  <si>
    <t>hearing</t>
  </si>
  <si>
    <t>whistleblower</t>
  </si>
  <si>
    <t>pentagon</t>
  </si>
  <si>
    <t>trt</t>
  </si>
  <si>
    <t>tonight</t>
  </si>
  <si>
    <t>2018</t>
  </si>
  <si>
    <t>justice</t>
  </si>
  <si>
    <t>government</t>
  </si>
  <si>
    <t>journalism</t>
  </si>
  <si>
    <t>documentaries</t>
  </si>
  <si>
    <t>independent</t>
  </si>
  <si>
    <t>cops</t>
  </si>
  <si>
    <t>founder</t>
  </si>
  <si>
    <t>security</t>
  </si>
  <si>
    <t>internet</t>
  </si>
  <si>
    <t>apple</t>
  </si>
  <si>
    <t>60</t>
  </si>
  <si>
    <t>minutes</t>
  </si>
  <si>
    <t>cbs</t>
  </si>
  <si>
    <t>hack</t>
  </si>
  <si>
    <t>mueller</t>
  </si>
  <si>
    <t>elections</t>
  </si>
  <si>
    <t>presidential</t>
  </si>
  <si>
    <t>charles</t>
  </si>
  <si>
    <t>tara</t>
  </si>
  <si>
    <t>tom</t>
  </si>
  <si>
    <t>foundation</t>
  </si>
  <si>
    <t>generation</t>
  </si>
  <si>
    <t>climate</t>
  </si>
  <si>
    <t>school</t>
  </si>
  <si>
    <t>rap</t>
  </si>
  <si>
    <t>senator</t>
  </si>
  <si>
    <t>republican</t>
  </si>
  <si>
    <t>candidate</t>
  </si>
  <si>
    <t>left</t>
  </si>
  <si>
    <t>center</t>
  </si>
  <si>
    <t>american</t>
  </si>
  <si>
    <t>jokes</t>
  </si>
  <si>
    <t>2016</t>
  </si>
  <si>
    <t>cerotube</t>
  </si>
  <si>
    <t>cuando</t>
  </si>
  <si>
    <t>ya</t>
  </si>
  <si>
    <t>este</t>
  </si>
  <si>
    <t>como</t>
  </si>
  <si>
    <t>city</t>
  </si>
  <si>
    <t>album</t>
  </si>
  <si>
    <t>colbert</t>
  </si>
  <si>
    <t>humor</t>
  </si>
  <si>
    <t>racism</t>
  </si>
  <si>
    <t>isis</t>
  </si>
  <si>
    <t>tax</t>
  </si>
  <si>
    <t>returns</t>
  </si>
  <si>
    <t>cold</t>
  </si>
  <si>
    <t>caroline</t>
  </si>
  <si>
    <t>war</t>
  </si>
  <si>
    <t>residente</t>
  </si>
  <si>
    <t>rené</t>
  </si>
  <si>
    <t>pérez</t>
  </si>
  <si>
    <t>joglar</t>
  </si>
  <si>
    <t>multiviral</t>
  </si>
  <si>
    <t>multi</t>
  </si>
  <si>
    <t>oficial</t>
  </si>
  <si>
    <t>latin</t>
  </si>
  <si>
    <t>te</t>
  </si>
  <si>
    <t>dartmouth</t>
  </si>
  <si>
    <t>anonymous</t>
  </si>
  <si>
    <t>james</t>
  </si>
  <si>
    <t>lady</t>
  </si>
  <si>
    <t>exclusiva</t>
  </si>
  <si>
    <t>embajada</t>
  </si>
  <si>
    <t>londres</t>
  </si>
  <si>
    <t>asilo</t>
  </si>
  <si>
    <t>eva</t>
  </si>
  <si>
    <t>golinger</t>
  </si>
  <si>
    <t>vigilancia</t>
  </si>
  <si>
    <t>hollywood</t>
  </si>
  <si>
    <t>paul</t>
  </si>
  <si>
    <t>reino</t>
  </si>
  <si>
    <t>unido</t>
  </si>
  <si>
    <t>prensa</t>
  </si>
  <si>
    <t>libre</t>
  </si>
  <si>
    <t>wiki</t>
  </si>
  <si>
    <t>mundial</t>
  </si>
  <si>
    <t>enemigos</t>
  </si>
  <si>
    <t>mejor</t>
  </si>
  <si>
    <t>commentary</t>
  </si>
  <si>
    <t>nuevo</t>
  </si>
  <si>
    <t>facebook</t>
  </si>
  <si>
    <t>footage</t>
  </si>
  <si>
    <t>pardon</t>
  </si>
  <si>
    <t>hbo</t>
  </si>
  <si>
    <t>indictment</t>
  </si>
  <si>
    <t>federal</t>
  </si>
  <si>
    <t>prosecutor</t>
  </si>
  <si>
    <t>legal</t>
  </si>
  <si>
    <t>jazeera</t>
  </si>
  <si>
    <t>english</t>
  </si>
  <si>
    <t>abc</t>
  </si>
  <si>
    <t>underground</t>
  </si>
  <si>
    <t>guide</t>
  </si>
  <si>
    <t>magazine</t>
  </si>
  <si>
    <t>dumb</t>
  </si>
  <si>
    <t>kingdom</t>
  </si>
  <si>
    <t>tripadvisor</t>
  </si>
  <si>
    <t>fake</t>
  </si>
  <si>
    <t>law</t>
  </si>
  <si>
    <t>torture</t>
  </si>
  <si>
    <t>espionage</t>
  </si>
  <si>
    <t>scandals</t>
  </si>
  <si>
    <t>surveillance</t>
  </si>
  <si>
    <t>murder</t>
  </si>
  <si>
    <t>republicans</t>
  </si>
  <si>
    <t>ruptly</t>
  </si>
  <si>
    <t>trish</t>
  </si>
  <si>
    <t>regan</t>
  </si>
  <si>
    <t>conservative</t>
  </si>
  <si>
    <t>russian</t>
  </si>
  <si>
    <t>baywatch</t>
  </si>
  <si>
    <t>star</t>
  </si>
  <si>
    <t>playboy</t>
  </si>
  <si>
    <t>lou</t>
  </si>
  <si>
    <t>dobbs</t>
  </si>
  <si>
    <t>secretary</t>
  </si>
  <si>
    <t>genuine</t>
  </si>
  <si>
    <t>emergency</t>
  </si>
  <si>
    <t>hawaii</t>
  </si>
  <si>
    <t>coronavirus</t>
  </si>
  <si>
    <t>monologue</t>
  </si>
  <si>
    <t>barack</t>
  </si>
  <si>
    <t>national</t>
  </si>
  <si>
    <t>chance</t>
  </si>
  <si>
    <t>rapper</t>
  </si>
  <si>
    <t>eric</t>
  </si>
  <si>
    <t>chicago</t>
  </si>
  <si>
    <t>roasts</t>
  </si>
  <si>
    <t>airing</t>
  </si>
  <si>
    <t>september</t>
  </si>
  <si>
    <t>rob</t>
  </si>
  <si>
    <t>reiner</t>
  </si>
  <si>
    <t>director</t>
  </si>
  <si>
    <t>rick</t>
  </si>
  <si>
    <t>santorum</t>
  </si>
  <si>
    <t>pennsylvania</t>
  </si>
  <si>
    <t>setmayer</t>
  </si>
  <si>
    <t>noir</t>
  </si>
  <si>
    <t>change</t>
  </si>
  <si>
    <t>smerconish</t>
  </si>
  <si>
    <t>siriusxm</t>
  </si>
  <si>
    <t>clowns</t>
  </si>
  <si>
    <t>life</t>
  </si>
  <si>
    <t>proof</t>
  </si>
  <si>
    <t>collusion</t>
  </si>
  <si>
    <t>conspiracy</t>
  </si>
  <si>
    <t>corners</t>
  </si>
  <si>
    <t>house</t>
  </si>
  <si>
    <t>crisis</t>
  </si>
  <si>
    <t>barry</t>
  </si>
  <si>
    <t>real</t>
  </si>
  <si>
    <t>time</t>
  </si>
  <si>
    <t>maher</t>
  </si>
  <si>
    <t>online</t>
  </si>
  <si>
    <t>roundtable</t>
  </si>
  <si>
    <t>democrat</t>
  </si>
  <si>
    <t>democratic</t>
  </si>
  <si>
    <t>power</t>
  </si>
  <si>
    <t>political</t>
  </si>
  <si>
    <t>cyne</t>
  </si>
  <si>
    <t>publico</t>
  </si>
  <si>
    <t>conspiracion</t>
  </si>
  <si>
    <t>palmariana</t>
  </si>
  <si>
    <t>sur</t>
  </si>
  <si>
    <t>españa</t>
  </si>
  <si>
    <t>spain</t>
  </si>
  <si>
    <t>town</t>
  </si>
  <si>
    <t>village</t>
  </si>
  <si>
    <t>vídeo</t>
  </si>
  <si>
    <t>transparencia</t>
  </si>
  <si>
    <t>44</t>
  </si>
  <si>
    <t>stone</t>
  </si>
  <si>
    <t>gal</t>
  </si>
  <si>
    <t>gadot</t>
  </si>
  <si>
    <t>sam</t>
  </si>
  <si>
    <t>money</t>
  </si>
  <si>
    <t>closer</t>
  </si>
  <si>
    <t>television</t>
  </si>
  <si>
    <t>parody</t>
  </si>
  <si>
    <t>promo</t>
  </si>
  <si>
    <t>rally</t>
  </si>
  <si>
    <t>race</t>
  </si>
  <si>
    <t>11</t>
  </si>
  <si>
    <t>golden</t>
  </si>
  <si>
    <t>actress</t>
  </si>
  <si>
    <t>billboards</t>
  </si>
  <si>
    <t>bad</t>
  </si>
  <si>
    <t>barkley</t>
  </si>
  <si>
    <t>polar</t>
  </si>
  <si>
    <t>vortex</t>
  </si>
  <si>
    <t>snow</t>
  </si>
  <si>
    <t>women</t>
  </si>
  <si>
    <t>brooklyn</t>
  </si>
  <si>
    <t>socialism</t>
  </si>
  <si>
    <t>jaboukie</t>
  </si>
  <si>
    <t>african</t>
  </si>
  <si>
    <t>rage</t>
  </si>
  <si>
    <t>hosts</t>
  </si>
  <si>
    <t>boeing</t>
  </si>
  <si>
    <t>737</t>
  </si>
  <si>
    <t>max</t>
  </si>
  <si>
    <t>crash</t>
  </si>
  <si>
    <t>administration</t>
  </si>
  <si>
    <t>south</t>
  </si>
  <si>
    <t>africa</t>
  </si>
  <si>
    <t>pilger</t>
  </si>
  <si>
    <t>ideas</t>
  </si>
  <si>
    <t>breaking</t>
  </si>
  <si>
    <t>visitante</t>
  </si>
  <si>
    <t>multi_viral</t>
  </si>
  <si>
    <t>c13</t>
  </si>
  <si>
    <t>lo</t>
  </si>
  <si>
    <t>composer</t>
  </si>
  <si>
    <t>genre</t>
  </si>
  <si>
    <t>calle13</t>
  </si>
  <si>
    <t>mixtape</t>
  </si>
  <si>
    <t>hip</t>
  </si>
  <si>
    <t>hop</t>
  </si>
  <si>
    <t>calle13vevo</t>
  </si>
  <si>
    <t>perla</t>
  </si>
  <si>
    <t>hay</t>
  </si>
  <si>
    <t>nadie</t>
  </si>
  <si>
    <t>tu</t>
  </si>
  <si>
    <t>vevo</t>
  </si>
  <si>
    <t>urban</t>
  </si>
  <si>
    <t>pop</t>
  </si>
  <si>
    <t>nueva</t>
  </si>
  <si>
    <t>chulin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</si>
  <si>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</si>
  <si>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</si>
  <si>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</si>
  <si>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</si>
  <si>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</si>
  <si>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</si>
  <si>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</si>
  <si>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</si>
  <si>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</si>
  <si>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</si>
  <si>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</si>
  <si>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</si>
  <si>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</si>
  <si>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</si>
  <si>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</si>
  <si>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</si>
  <si>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</si>
  <si>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</si>
  <si>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</si>
  <si>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</si>
  <si>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</si>
  <si>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</si>
  <si>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</si>
  <si>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</si>
  <si>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</si>
  <si>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</si>
  <si>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</si>
  <si>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</si>
  <si>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</si>
  <si>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</si>
  <si>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</si>
  <si>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</si>
  <si>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</si>
  <si>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</si>
  <si>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</si>
  <si>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</si>
  <si>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</si>
  <si>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</si>
  <si>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</si>
  <si>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</si>
  <si>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</si>
  <si>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</si>
  <si>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</si>
  <si>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</si>
  <si>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</si>
  <si>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</si>
  <si>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</si>
  <si>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</si>
  <si>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</si>
  <si>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</si>
  <si>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</si>
  <si>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</si>
  <si>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</si>
  <si>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</si>
  <si>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</si>
  <si>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</si>
  <si>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</si>
  <si>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</si>
  <si>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</si>
  <si>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</si>
  <si>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</si>
  <si>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</si>
  <si>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</si>
  <si>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</si>
  <si>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</si>
  <si>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</si>
  <si>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</si>
  <si>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</si>
  <si>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</si>
  <si>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</si>
  <si>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</si>
  <si>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</si>
  <si>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</si>
  <si>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</si>
  <si>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</si>
  <si>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</si>
  <si>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</si>
  <si>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</si>
  <si>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</si>
  <si>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Top Words in Tags in G9</t>
  </si>
  <si>
    <t>G8 Count</t>
  </si>
  <si>
    <t>G9 Count</t>
  </si>
  <si>
    <t>Top Words in Tags</t>
  </si>
  <si>
    <t>canal movistar assange el cero entrevista gabilondo #0 julian iñaki</t>
  </si>
  <si>
    <t>trevor daily noah comedy funny trump central episode comedians episodes</t>
  </si>
  <si>
    <t>night snl live episode funny late comedy trump host weekend</t>
  </si>
  <si>
    <t>13 calle music musica musical residente rené pérez joglar multiviral</t>
  </si>
  <si>
    <t>satire assange news tucker wikileaks carlson obama julian arrest australia</t>
  </si>
  <si>
    <t>assange news julian politics fox pamela wikileaks anderson hannity personality</t>
  </si>
  <si>
    <t>politics news president julian assange jeff ross michael public dnc</t>
  </si>
  <si>
    <t>assange news julian wikileaks documentary russia trump clinton john hillary</t>
  </si>
  <si>
    <t>assange julian news wikileaks vice arrest laws embassy aljazeera extradition</t>
  </si>
  <si>
    <t>Top Word Pairs in Tags in Entire Graph</t>
  </si>
  <si>
    <t>julian,assange</t>
  </si>
  <si>
    <t>trevor,noah</t>
  </si>
  <si>
    <t>daily,trevor</t>
  </si>
  <si>
    <t>noah,daily</t>
  </si>
  <si>
    <t>assange,wikileaks</t>
  </si>
  <si>
    <t>comedy,central</t>
  </si>
  <si>
    <t>donald,trump</t>
  </si>
  <si>
    <t>late,night</t>
  </si>
  <si>
    <t>episode,daily</t>
  </si>
  <si>
    <t>assange,assange</t>
  </si>
  <si>
    <t>Top Word Pairs in Tags in G1</t>
  </si>
  <si>
    <t>estados,unidos</t>
  </si>
  <si>
    <t>el,toro</t>
  </si>
  <si>
    <t>iñaki,gabilondo</t>
  </si>
  <si>
    <t>canal,movistar</t>
  </si>
  <si>
    <t>movistar,cero</t>
  </si>
  <si>
    <t>canal,#0</t>
  </si>
  <si>
    <t>canal,cero</t>
  </si>
  <si>
    <t>cero,canal</t>
  </si>
  <si>
    <t>Top Word Pairs in Tags in G2</t>
  </si>
  <si>
    <t>daily,episodes</t>
  </si>
  <si>
    <t>central,comedians</t>
  </si>
  <si>
    <t>noah,trevor</t>
  </si>
  <si>
    <t>comedian,funny</t>
  </si>
  <si>
    <t>funny,comedy</t>
  </si>
  <si>
    <t>Top Word Pairs in Tags in G3</t>
  </si>
  <si>
    <t>weekend,update</t>
  </si>
  <si>
    <t>snl,saturday</t>
  </si>
  <si>
    <t>saturday,night</t>
  </si>
  <si>
    <t>night,live</t>
  </si>
  <si>
    <t>live,york</t>
  </si>
  <si>
    <t>york,comedy</t>
  </si>
  <si>
    <t>comedy,sketch</t>
  </si>
  <si>
    <t>sketch,funny</t>
  </si>
  <si>
    <t>funny,hilarious</t>
  </si>
  <si>
    <t>Top Word Pairs in Tags in G4</t>
  </si>
  <si>
    <t>calle,13</t>
  </si>
  <si>
    <t>rené,pérez</t>
  </si>
  <si>
    <t>pérez,joglar</t>
  </si>
  <si>
    <t>multi,viral</t>
  </si>
  <si>
    <t>13,musical</t>
  </si>
  <si>
    <t>musical,artist</t>
  </si>
  <si>
    <t>residente,visitante</t>
  </si>
  <si>
    <t>latin,urban</t>
  </si>
  <si>
    <t>te,te</t>
  </si>
  <si>
    <t>hay,nadie</t>
  </si>
  <si>
    <t>Top Word Pairs in Tags in G5</t>
  </si>
  <si>
    <t>fox,news</t>
  </si>
  <si>
    <t>tucker,carlson</t>
  </si>
  <si>
    <t>genuine,satire</t>
  </si>
  <si>
    <t>carlson,tucker</t>
  </si>
  <si>
    <t>climate,emergency</t>
  </si>
  <si>
    <t>Top Word Pairs in Tags in G6</t>
  </si>
  <si>
    <t>pamela,anderson</t>
  </si>
  <si>
    <t>news,news</t>
  </si>
  <si>
    <t>apple,news</t>
  </si>
  <si>
    <t>air,personality</t>
  </si>
  <si>
    <t>personality,politics</t>
  </si>
  <si>
    <t>politics,primary</t>
  </si>
  <si>
    <t>primary,politics</t>
  </si>
  <si>
    <t>Top Word Pairs in Tags in G7</t>
  </si>
  <si>
    <t>jeff,ross</t>
  </si>
  <si>
    <t>bernie,sanders</t>
  </si>
  <si>
    <t>wikileaks,jeff</t>
  </si>
  <si>
    <t>ross,comedian</t>
  </si>
  <si>
    <t>comedian,comedy</t>
  </si>
  <si>
    <t>central,jeff</t>
  </si>
  <si>
    <t>Top Word Pairs in Tags in G8</t>
  </si>
  <si>
    <t>hillary,clinton</t>
  </si>
  <si>
    <t>dw,documentary</t>
  </si>
  <si>
    <t>assange,john</t>
  </si>
  <si>
    <t>john,pilger</t>
  </si>
  <si>
    <t>podesta,russia</t>
  </si>
  <si>
    <t>news,breaking</t>
  </si>
  <si>
    <t>breaking,news</t>
  </si>
  <si>
    <t>Top Word Pairs in Tags in G9</t>
  </si>
  <si>
    <t>assange,arrest</t>
  </si>
  <si>
    <t>assange,julian</t>
  </si>
  <si>
    <t>assange,news</t>
  </si>
  <si>
    <t>wikileaks,julian</t>
  </si>
  <si>
    <t>arrest,assange</t>
  </si>
  <si>
    <t>assange,extradition</t>
  </si>
  <si>
    <t>vice,vice</t>
  </si>
  <si>
    <t>Top Word Pairs in Tags</t>
  </si>
  <si>
    <t>julian,assange  estados,unidos  el,toro  iñaki,gabilondo  canal,movistar  movistar,cero  donald,trump  canal,#0  canal,cero  cero,canal</t>
  </si>
  <si>
    <t>trevor,noah  daily,trevor  noah,daily  comedy,central  episode,daily  daily,episodes  central,comedians  noah,trevor  comedian,funny  funny,comedy</t>
  </si>
  <si>
    <t>late,night  weekend,update  snl,saturday  saturday,night  night,live  live,york  york,comedy  comedy,sketch  sketch,funny  funny,hilarious</t>
  </si>
  <si>
    <t>calle,13  rené,pérez  pérez,joglar  multi,viral  13,musical  musical,artist  residente,visitante  latin,urban  te,te  hay,nadie</t>
  </si>
  <si>
    <t>julian,assange  fox,news  tucker,carlson  genuine,satire  carlson,tucker  climate,emergency</t>
  </si>
  <si>
    <t>julian,assange  pamela,anderson  fox,news  news,news  assange,assange  apple,news  air,personality  personality,politics  politics,primary  primary,politics</t>
  </si>
  <si>
    <t>julian,assange  jeff,ross  bernie,sanders  donald,trump  assange,wikileaks  wikileaks,jeff  ross,comedian  comedian,comedy  comedy,central  central,jeff</t>
  </si>
  <si>
    <t>julian,assange  assange,wikileaks  hillary,clinton  news,news  dw,documentary  assange,john  john,pilger  podesta,russia  news,breaking  breaking,news</t>
  </si>
  <si>
    <t>julian,assange  assange,arrest  assange,julian  assange,assange  assange,news  assange,wikileaks  wikileaks,julian  arrest,assange  assange,extradition  vice,vice</t>
  </si>
  <si>
    <t>Top Words in Tags by Count</t>
  </si>
  <si>
    <t/>
  </si>
  <si>
    <t>Top Words in Tags by Salience</t>
  </si>
  <si>
    <t>Top Word Pairs in Tags by Count</t>
  </si>
  <si>
    <t>Top Word Pairs in Tags by Salience</t>
  </si>
  <si>
    <t>128, 128, 128</t>
  </si>
  <si>
    <t>G1: canal movistar assange el cero entrevista gabilondo #0 julian iñaki</t>
  </si>
  <si>
    <t>G2: trevor daily noah comedy funny trump central episode comedians episodes</t>
  </si>
  <si>
    <t>G3: night snl live episode funny late comedy trump host weekend</t>
  </si>
  <si>
    <t>G4: 13 calle music musica musical residente rené pérez joglar multiviral</t>
  </si>
  <si>
    <t>G5: satire assange news tucker wikileaks carlson obama julian arrest australia</t>
  </si>
  <si>
    <t>G6: assange news julian politics fox pamela wikileaks anderson hannity personality</t>
  </si>
  <si>
    <t>G7: politics news president julian assange jeff ross michael public dnc</t>
  </si>
  <si>
    <t>G8: assange news julian wikileaks documentary russia trump clinton john hillary</t>
  </si>
  <si>
    <t>G9: assange julian news wikileaks vice arrest laws embassy aljazeera extradition</t>
  </si>
  <si>
    <t>Edge Weight▓1▓1▓0▓True▓Gray▓Red▓▓Edge Weight▓1▓1▓0▓3▓10▓False▓Edge Weight▓1▓1▓0▓50▓20▓False▓▓0▓0▓0▓True▓Black▓Black▓▓Views▓20545▓16969953▓0▓80▓1000▓False▓▓0▓0▓0▓0▓0▓False▓▓0▓0▓0▓0▓0▓False▓▓0▓0▓0▓0▓0▓False</t>
  </si>
  <si>
    <t>GraphSource░YouTubeVideo▓GraphTerm░Assange▓ImportDescription░The graph represents the network of YouTube videos whose title, keywords, description, categories, or author's username contain "Assange".  The network was obtained from YouTube on Friday, 26 June 2020 at 09:30 UTC.
The network was limited to 10 videos.
There is an edge for each pair of videos that have the same category.▓ImportSuggestedTitle░YouTube Video Assange▓ImportSuggestedFileNameNoExtension░2020-06-26 09-30-28 NodeXL YouTube Video Assange▓GroupingDescription░The graph's vertices were grouped by cluster using the Clauset-Newman-Moore cluster algorithm.▓LayoutAlgorithm░The graph was laid out using the Harel-Koren Fast Multiscale layout algorithm.▓GraphDirectedness░The graph is directed.</t>
  </si>
  <si>
    <t>YouTubeVideo</t>
  </si>
  <si>
    <t>Assange</t>
  </si>
  <si>
    <t>The graph represents the network of YouTube videos whose title, keywords, description, categories, or author's username contain "Assange".  The network was obtained from YouTube on Friday, 26 June 2020 at 09:30 UTC.
The network was limited to 10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</si>
  <si>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</si>
  <si>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</si>
  <si>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https://nodexlgraphgallery.org/Pages/Graph.aspx?graphID=229918</t>
  </si>
  <si>
    <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</si>
</sst>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6" fillId="5" borderId="1" xfId="25" applyNumberFormat="1" applyAlignment="1">
      <alignment/>
    </xf>
    <xf numFmtId="49" fontId="6" fillId="5" borderId="11" xfId="25" applyNumberForma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6"/>
      <tableStyleElement type="headerRow" dxfId="225"/>
    </tableStyle>
    <tableStyle name="NodeXL Table" pivot="0" count="1">
      <tableStyleElement type="headerRow" dxfId="2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259965"/>
        <c:axId val="44013094"/>
      </c:barChart>
      <c:catAx>
        <c:axId val="272599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13094"/>
        <c:crosses val="autoZero"/>
        <c:auto val="1"/>
        <c:lblOffset val="100"/>
        <c:noMultiLvlLbl val="0"/>
      </c:catAx>
      <c:valAx>
        <c:axId val="4401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9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573527"/>
        <c:axId val="8290832"/>
      </c:barChart>
      <c:catAx>
        <c:axId val="605735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90832"/>
        <c:crosses val="autoZero"/>
        <c:auto val="1"/>
        <c:lblOffset val="100"/>
        <c:noMultiLvlLbl val="0"/>
      </c:catAx>
      <c:valAx>
        <c:axId val="8290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3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508625"/>
        <c:axId val="468762"/>
      </c:barChart>
      <c:catAx>
        <c:axId val="75086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762"/>
        <c:crosses val="autoZero"/>
        <c:auto val="1"/>
        <c:lblOffset val="100"/>
        <c:noMultiLvlLbl val="0"/>
      </c:catAx>
      <c:valAx>
        <c:axId val="468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8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18859"/>
        <c:axId val="37969732"/>
      </c:barChart>
      <c:catAx>
        <c:axId val="4218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69732"/>
        <c:crosses val="autoZero"/>
        <c:auto val="1"/>
        <c:lblOffset val="100"/>
        <c:noMultiLvlLbl val="0"/>
      </c:catAx>
      <c:valAx>
        <c:axId val="3796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83269"/>
        <c:axId val="55649422"/>
      </c:barChart>
      <c:catAx>
        <c:axId val="6183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649422"/>
        <c:crosses val="autoZero"/>
        <c:auto val="1"/>
        <c:lblOffset val="100"/>
        <c:noMultiLvlLbl val="0"/>
      </c:catAx>
      <c:valAx>
        <c:axId val="5564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082751"/>
        <c:axId val="11309304"/>
      </c:barChart>
      <c:catAx>
        <c:axId val="31082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09304"/>
        <c:crosses val="autoZero"/>
        <c:auto val="1"/>
        <c:lblOffset val="100"/>
        <c:noMultiLvlLbl val="0"/>
      </c:catAx>
      <c:valAx>
        <c:axId val="1130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82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674873"/>
        <c:axId val="43638402"/>
      </c:barChart>
      <c:catAx>
        <c:axId val="346748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38402"/>
        <c:crosses val="autoZero"/>
        <c:auto val="1"/>
        <c:lblOffset val="100"/>
        <c:noMultiLvlLbl val="0"/>
      </c:catAx>
      <c:valAx>
        <c:axId val="4363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201299"/>
        <c:axId val="45049644"/>
      </c:barChart>
      <c:catAx>
        <c:axId val="57201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49644"/>
        <c:crosses val="autoZero"/>
        <c:auto val="1"/>
        <c:lblOffset val="100"/>
        <c:noMultiLvlLbl val="0"/>
      </c:catAx>
      <c:valAx>
        <c:axId val="45049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1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93613"/>
        <c:axId val="25142518"/>
      </c:barChart>
      <c:catAx>
        <c:axId val="2793613"/>
        <c:scaling>
          <c:orientation val="minMax"/>
        </c:scaling>
        <c:axPos val="b"/>
        <c:delete val="1"/>
        <c:majorTickMark val="out"/>
        <c:minorTickMark val="none"/>
        <c:tickLblPos val="none"/>
        <c:crossAx val="25142518"/>
        <c:crosses val="autoZero"/>
        <c:auto val="1"/>
        <c:lblOffset val="100"/>
        <c:noMultiLvlLbl val="0"/>
      </c:catAx>
      <c:valAx>
        <c:axId val="25142518"/>
        <c:scaling>
          <c:orientation val="minMax"/>
        </c:scaling>
        <c:axPos val="l"/>
        <c:delete val="1"/>
        <c:majorTickMark val="out"/>
        <c:minorTickMark val="none"/>
        <c:tickLblPos val="none"/>
        <c:crossAx val="2793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100" totalsRowShown="0" headerRowDxfId="223" dataDxfId="222">
  <autoFilter ref="A2:AA100"/>
  <tableColumns count="27">
    <tableColumn id="1" name="Vertex 1" dataDxfId="172"/>
    <tableColumn id="2" name="Vertex 2" dataDxfId="170"/>
    <tableColumn id="3" name="Color" dataDxfId="171"/>
    <tableColumn id="4" name="Width" dataDxfId="221"/>
    <tableColumn id="11" name="Style" dataDxfId="220"/>
    <tableColumn id="5" name="Opacity" dataDxfId="219"/>
    <tableColumn id="6" name="Visibility" dataDxfId="218"/>
    <tableColumn id="10" name="Label" dataDxfId="217"/>
    <tableColumn id="12" name="Label Text Color" dataDxfId="216"/>
    <tableColumn id="13" name="Label Font Size" dataDxfId="215"/>
    <tableColumn id="14" name="Reciprocated?" dataDxfId="127"/>
    <tableColumn id="7" name="ID" dataDxfId="214"/>
    <tableColumn id="9" name="Dynamic Filter" dataDxfId="213"/>
    <tableColumn id="8" name="Add Your Own Columns Here" dataDxfId="169"/>
    <tableColumn id="15" name="Relationship" dataDxfId="168"/>
    <tableColumn id="16" name="Edge Weight"/>
    <tableColumn id="17" name="Vertex 1 Group" dataDxfId="142">
      <calculatedColumnFormula>REPLACE(INDEX(GroupVertices[Group], MATCH(Edges[[#This Row],[Vertex 1]],GroupVertices[Vertex],0)),1,1,"")</calculatedColumnFormula>
    </tableColumn>
    <tableColumn id="18" name="Vertex 2 Group" dataDxfId="103">
      <calculatedColumnFormula>REPLACE(INDEX(GroupVertices[Group], MATCH(Edges[[#This Row],[Vertex 2]],GroupVertices[Vertex],0)),1,1,"")</calculatedColumnFormula>
    </tableColumn>
    <tableColumn id="19" name="Sentiment List #1: List1 Word Count" dataDxfId="102"/>
    <tableColumn id="20" name="Sentiment List #1: List1 Word Percentage (%)" dataDxfId="101"/>
    <tableColumn id="21" name="Sentiment List #2: List2 Word Count" dataDxfId="100"/>
    <tableColumn id="22" name="Sentiment List #2: List2 Word Percentage (%)" dataDxfId="99"/>
    <tableColumn id="23" name="Sentiment List #3: List3 Word Count" dataDxfId="98"/>
    <tableColumn id="24" name="Sentiment List #3: List3 Word Percentage (%)" dataDxfId="97"/>
    <tableColumn id="25" name="Non-categorized Word Count" dataDxfId="96"/>
    <tableColumn id="26" name="Non-categorized Word Percentage (%)" dataDxfId="95"/>
    <tableColumn id="27"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1" totalsRowShown="0" headerRowDxfId="126" dataDxfId="125">
  <autoFilter ref="A1:G811"/>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1" totalsRowShown="0" headerRowDxfId="117" dataDxfId="116">
  <autoFilter ref="A1:L561"/>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0" totalsRowShown="0" headerRowDxfId="75" dataDxfId="74">
  <autoFilter ref="A2:C20"/>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3"/>
    <tableColumn id="2" name="Value" dataDxfId="5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7" dataDxfId="56">
  <autoFilter ref="A1:B11"/>
  <tableColumns count="2">
    <tableColumn id="1" name="Top 10 Vertices, Ranked by Betweenness Centrality" dataDxfId="55"/>
    <tableColumn id="2" name="Betweenness Centrality" dataDxfId="5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T11" totalsRowShown="0" headerRowDxfId="51" dataDxfId="50">
  <autoFilter ref="A1:T11"/>
  <tableColumns count="20">
    <tableColumn id="1" name="Top Words in Tags in Entire Graph" dataDxfId="49"/>
    <tableColumn id="2" name="Entire Graph Count" dataDxfId="48"/>
    <tableColumn id="3" name="Top Words in Tags in G1" dataDxfId="47"/>
    <tableColumn id="4" name="G1 Count" dataDxfId="46"/>
    <tableColumn id="5" name="Top Words in Tags in G2" dataDxfId="45"/>
    <tableColumn id="6" name="G2 Count" dataDxfId="44"/>
    <tableColumn id="7" name="Top Words in Tags in G3" dataDxfId="43"/>
    <tableColumn id="8" name="G3 Count" dataDxfId="42"/>
    <tableColumn id="9" name="Top Words in Tags in G4" dataDxfId="41"/>
    <tableColumn id="10" name="G4 Count" dataDxfId="40"/>
    <tableColumn id="11" name="Top Words in Tags in G5" dataDxfId="39"/>
    <tableColumn id="12" name="G5 Count" dataDxfId="38"/>
    <tableColumn id="13" name="Top Words in Tags in G6" dataDxfId="37"/>
    <tableColumn id="14" name="G6 Count" dataDxfId="36"/>
    <tableColumn id="15" name="Top Words in Tags in G7" dataDxfId="35"/>
    <tableColumn id="16" name="G7 Count" dataDxfId="34"/>
    <tableColumn id="17" name="Top Words in Tags in G8" dataDxfId="33"/>
    <tableColumn id="18" name="G8 Count" dataDxfId="32"/>
    <tableColumn id="19" name="Top Words in Tags in G9" dataDxfId="31"/>
    <tableColumn id="20" name="G9 Count" dataDxfId="3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T24" totalsRowShown="0" headerRowDxfId="28" dataDxfId="27">
  <autoFilter ref="A14:T24"/>
  <tableColumns count="20">
    <tableColumn id="1" name="Top Word Pairs in Tags in Entire Graph" dataDxfId="26"/>
    <tableColumn id="2" name="Entire Graph Count" dataDxfId="25"/>
    <tableColumn id="3" name="Top Word Pairs in Tags in G1" dataDxfId="24"/>
    <tableColumn id="4" name="G1 Count" dataDxfId="23"/>
    <tableColumn id="5" name="Top Word Pairs in Tags in G2" dataDxfId="22"/>
    <tableColumn id="6" name="G2 Count" dataDxfId="21"/>
    <tableColumn id="7" name="Top Word Pairs in Tags in G3" dataDxfId="20"/>
    <tableColumn id="8" name="G3 Count" dataDxfId="19"/>
    <tableColumn id="9" name="Top Word Pairs in Tags in G4" dataDxfId="18"/>
    <tableColumn id="10" name="G4 Count" dataDxfId="17"/>
    <tableColumn id="11" name="Top Word Pairs in Tags in G5" dataDxfId="16"/>
    <tableColumn id="12" name="G5 Count" dataDxfId="15"/>
    <tableColumn id="13" name="Top Word Pairs in Tags in G6" dataDxfId="14"/>
    <tableColumn id="14" name="G6 Count" dataDxfId="13"/>
    <tableColumn id="15" name="Top Word Pairs in Tags in G7" dataDxfId="12"/>
    <tableColumn id="16" name="G7 Count" dataDxfId="11"/>
    <tableColumn id="17" name="Top Word Pairs in Tags in G8" dataDxfId="10"/>
    <tableColumn id="18" name="G8 Count" dataDxfId="9"/>
    <tableColumn id="19" name="Top Word Pairs in Tags in G9" dataDxfId="8"/>
    <tableColumn id="20" name="G9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98" totalsRowShown="0" headerRowDxfId="212" dataDxfId="211">
  <autoFilter ref="A2:BB98"/>
  <tableColumns count="54">
    <tableColumn id="1" name="Vertex" dataDxfId="210"/>
    <tableColumn id="2" name="Color" dataDxfId="209"/>
    <tableColumn id="5" name="Shape" dataDxfId="208"/>
    <tableColumn id="6" name="Size" dataDxfId="207"/>
    <tableColumn id="4" name="Opacity" dataDxfId="155"/>
    <tableColumn id="7" name="Image File" dataDxfId="153"/>
    <tableColumn id="3" name="Visibility" dataDxfId="154"/>
    <tableColumn id="10" name="Label" dataDxfId="206"/>
    <tableColumn id="16" name="Label Fill Color" dataDxfId="205"/>
    <tableColumn id="9" name="Label Position" dataDxfId="167"/>
    <tableColumn id="8" name="Tooltip" dataDxfId="165"/>
    <tableColumn id="18" name="Layout Order" dataDxfId="166"/>
    <tableColumn id="13" name="X" dataDxfId="204"/>
    <tableColumn id="14" name="Y" dataDxfId="203"/>
    <tableColumn id="12" name="Locked?" dataDxfId="202"/>
    <tableColumn id="19" name="Polar R" dataDxfId="201"/>
    <tableColumn id="20" name="Polar Angle" dataDxfId="200"/>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99"/>
    <tableColumn id="28" name="Dynamic Filter" dataDxfId="198"/>
    <tableColumn id="17" name="Add Your Own Columns Here" dataDxfId="164"/>
    <tableColumn id="30" name="Title" dataDxfId="163"/>
    <tableColumn id="31" name="Description" dataDxfId="162"/>
    <tableColumn id="32" name="Tags" dataDxfId="161"/>
    <tableColumn id="33" name="Author" dataDxfId="160"/>
    <tableColumn id="34" name="Created Date (UTC)" dataDxfId="159"/>
    <tableColumn id="35" name="Views" dataDxfId="158"/>
    <tableColumn id="36" name="Comments" dataDxfId="157"/>
    <tableColumn id="37" name="Likes Count" dataDxfId="156"/>
    <tableColumn id="38" name="Dislikes Count" dataDxfId="152"/>
    <tableColumn id="39" name="Custom Menu Item Text" dataDxfId="151"/>
    <tableColumn id="40" name="Custom Menu Item Action" dataDxfId="143"/>
    <tableColumn id="41" name="Vertex Group" dataDxfId="93">
      <calculatedColumnFormula>REPLACE(INDEX(GroupVertices[Group], MATCH(Vertices[[#This Row],[Vertex]],GroupVertices[Vertex],0)),1,1,"")</calculatedColumnFormula>
    </tableColumn>
    <tableColumn id="42" name="Sentiment List #1: List1 Word Count" dataDxfId="92"/>
    <tableColumn id="43" name="Sentiment List #1: List1 Word Percentage (%)" dataDxfId="91"/>
    <tableColumn id="44" name="Sentiment List #2: List2 Word Count" dataDxfId="90"/>
    <tableColumn id="45" name="Sentiment List #2: List2 Word Percentage (%)" dataDxfId="89"/>
    <tableColumn id="46" name="Sentiment List #3: List3 Word Count" dataDxfId="88"/>
    <tableColumn id="47" name="Sentiment List #3: List3 Word Percentage (%)" dataDxfId="87"/>
    <tableColumn id="48" name="Non-categorized Word Count" dataDxfId="86"/>
    <tableColumn id="49" name="Non-categorized Word Percentage (%)" dataDxfId="85"/>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1" totalsRowShown="0" headerRowDxfId="197">
  <autoFilter ref="A2:AI11"/>
  <tableColumns count="35">
    <tableColumn id="1" name="Group" dataDxfId="150"/>
    <tableColumn id="2" name="Vertex Color" dataDxfId="149"/>
    <tableColumn id="3" name="Vertex Shape" dataDxfId="147"/>
    <tableColumn id="22" name="Visibility" dataDxfId="148"/>
    <tableColumn id="4" name="Collapsed?"/>
    <tableColumn id="18" name="Label" dataDxfId="196"/>
    <tableColumn id="20" name="Collapsed X"/>
    <tableColumn id="21" name="Collapsed Y"/>
    <tableColumn id="6" name="ID" dataDxfId="195"/>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29"/>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194" dataDxfId="193">
  <autoFilter ref="A1:C97"/>
  <tableColumns count="3">
    <tableColumn id="1" name="Group" dataDxfId="146"/>
    <tableColumn id="2" name="Vertex" dataDxfId="145"/>
    <tableColumn id="3" name="Vertex ID" dataDxfId="1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92"/>
    <tableColumn id="2" name="Degree Frequency" dataDxfId="191">
      <calculatedColumnFormula>COUNTIF(Vertices[Degree], "&gt;= " &amp; D2) - COUNTIF(Vertices[Degree], "&gt;=" &amp; D3)</calculatedColumnFormula>
    </tableColumn>
    <tableColumn id="3" name="In-Degree Bin" dataDxfId="190"/>
    <tableColumn id="4" name="In-Degree Frequency" dataDxfId="189">
      <calculatedColumnFormula>COUNTIF(Vertices[In-Degree], "&gt;= " &amp; F2) - COUNTIF(Vertices[In-Degree], "&gt;=" &amp; F3)</calculatedColumnFormula>
    </tableColumn>
    <tableColumn id="5" name="Out-Degree Bin" dataDxfId="188"/>
    <tableColumn id="6" name="Out-Degree Frequency" dataDxfId="187">
      <calculatedColumnFormula>COUNTIF(Vertices[Out-Degree], "&gt;= " &amp; H2) - COUNTIF(Vertices[Out-Degree], "&gt;=" &amp; H3)</calculatedColumnFormula>
    </tableColumn>
    <tableColumn id="7" name="Betweenness Centrality Bin" dataDxfId="186"/>
    <tableColumn id="8" name="Betweenness Centrality Frequency" dataDxfId="185">
      <calculatedColumnFormula>COUNTIF(Vertices[Betweenness Centrality], "&gt;= " &amp; J2) - COUNTIF(Vertices[Betweenness Centrality], "&gt;=" &amp; J3)</calculatedColumnFormula>
    </tableColumn>
    <tableColumn id="9" name="Closeness Centrality Bin" dataDxfId="184"/>
    <tableColumn id="10" name="Closeness Centrality Frequency" dataDxfId="183">
      <calculatedColumnFormula>COUNTIF(Vertices[Closeness Centrality], "&gt;= " &amp; L2) - COUNTIF(Vertices[Closeness Centrality], "&gt;=" &amp; L3)</calculatedColumnFormula>
    </tableColumn>
    <tableColumn id="11" name="Eigenvector Centrality Bin" dataDxfId="182"/>
    <tableColumn id="12" name="Eigenvector Centrality Frequency" dataDxfId="181">
      <calculatedColumnFormula>COUNTIF(Vertices[Eigenvector Centrality], "&gt;= " &amp; N2) - COUNTIF(Vertices[Eigenvector Centrality], "&gt;=" &amp; N3)</calculatedColumnFormula>
    </tableColumn>
    <tableColumn id="18" name="PageRank Bin" dataDxfId="180"/>
    <tableColumn id="17" name="PageRank Frequency" dataDxfId="179">
      <calculatedColumnFormula>COUNTIF(Vertices[Eigenvector Centrality], "&gt;= " &amp; P2) - COUNTIF(Vertices[Eigenvector Centrality], "&gt;=" &amp; P3)</calculatedColumnFormula>
    </tableColumn>
    <tableColumn id="13" name="Clustering Coefficient Bin" dataDxfId="178"/>
    <tableColumn id="14" name="Clustering Coefficient Frequency" dataDxfId="177">
      <calculatedColumnFormula>COUNTIF(Vertices[Clustering Coefficient], "&gt;= " &amp; R2) - COUNTIF(Vertices[Clustering Coefficient], "&gt;=" &amp; R3)</calculatedColumnFormula>
    </tableColumn>
    <tableColumn id="15" name="Dynamic Filter Bin" dataDxfId="176"/>
    <tableColumn id="16" name="Dynamic Filter Frequency" dataDxfId="1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8" t="s">
        <v>39</v>
      </c>
      <c r="D1" s="19"/>
      <c r="E1" s="19"/>
      <c r="F1" s="19"/>
      <c r="G1" s="18"/>
      <c r="H1" s="16" t="s">
        <v>43</v>
      </c>
      <c r="I1" s="64"/>
      <c r="J1" s="64"/>
      <c r="K1" s="35" t="s">
        <v>42</v>
      </c>
      <c r="L1" s="20" t="s">
        <v>40</v>
      </c>
      <c r="M1" s="20"/>
      <c r="N1" s="17"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t="s">
        <v>748</v>
      </c>
      <c r="Q2" s="13" t="s">
        <v>768</v>
      </c>
      <c r="R2" s="13" t="s">
        <v>769</v>
      </c>
      <c r="S2" s="67" t="s">
        <v>1185</v>
      </c>
      <c r="T2" s="67" t="s">
        <v>1186</v>
      </c>
      <c r="U2" s="67" t="s">
        <v>1187</v>
      </c>
      <c r="V2" s="67" t="s">
        <v>1188</v>
      </c>
      <c r="W2" s="67" t="s">
        <v>1189</v>
      </c>
      <c r="X2" s="67" t="s">
        <v>1190</v>
      </c>
      <c r="Y2" s="67" t="s">
        <v>1191</v>
      </c>
      <c r="Z2" s="67" t="s">
        <v>1192</v>
      </c>
      <c r="AA2" s="67" t="s">
        <v>1193</v>
      </c>
    </row>
    <row r="3" spans="1:27" ht="15" customHeight="1">
      <c r="A3" s="84" t="s">
        <v>197</v>
      </c>
      <c r="B3" s="84" t="s">
        <v>292</v>
      </c>
      <c r="C3" s="53" t="s">
        <v>1358</v>
      </c>
      <c r="D3" s="54">
        <v>3</v>
      </c>
      <c r="E3" s="65"/>
      <c r="F3" s="55">
        <v>50</v>
      </c>
      <c r="G3" s="53"/>
      <c r="H3" s="57"/>
      <c r="I3" s="56"/>
      <c r="J3" s="56"/>
      <c r="K3" s="36" t="s">
        <v>65</v>
      </c>
      <c r="L3" s="62">
        <v>3</v>
      </c>
      <c r="M3" s="62"/>
      <c r="N3" s="63"/>
      <c r="O3" s="85" t="s">
        <v>293</v>
      </c>
      <c r="P3">
        <v>1</v>
      </c>
      <c r="Q3" s="85" t="str">
        <f>REPLACE(INDEX(GroupVertices[Group],MATCH(Edges[[#This Row],[Vertex 1]],GroupVertices[Vertex],0)),1,1,"")</f>
        <v>1</v>
      </c>
      <c r="R3" s="85" t="str">
        <f>REPLACE(INDEX(GroupVertices[Group],MATCH(Edges[[#This Row],[Vertex 2]],GroupVertices[Vertex],0)),1,1,"")</f>
        <v>1</v>
      </c>
      <c r="S3" s="36"/>
      <c r="T3" s="36"/>
      <c r="U3" s="36"/>
      <c r="V3" s="36"/>
      <c r="W3" s="36"/>
      <c r="X3" s="36"/>
      <c r="Y3" s="36"/>
      <c r="Z3" s="36"/>
      <c r="AA3" s="36"/>
    </row>
    <row r="4" spans="1:27" ht="15" customHeight="1">
      <c r="A4" s="84" t="s">
        <v>197</v>
      </c>
      <c r="B4" s="84" t="s">
        <v>207</v>
      </c>
      <c r="C4" s="53" t="s">
        <v>1358</v>
      </c>
      <c r="D4" s="54">
        <v>3</v>
      </c>
      <c r="E4" s="65"/>
      <c r="F4" s="55">
        <v>50</v>
      </c>
      <c r="G4" s="53"/>
      <c r="H4" s="57"/>
      <c r="I4" s="56"/>
      <c r="J4" s="56"/>
      <c r="K4" s="36" t="s">
        <v>65</v>
      </c>
      <c r="L4" s="83">
        <v>4</v>
      </c>
      <c r="M4" s="83"/>
      <c r="N4" s="63"/>
      <c r="O4" s="86" t="s">
        <v>293</v>
      </c>
      <c r="P4">
        <v>1</v>
      </c>
      <c r="Q4" s="85" t="str">
        <f>REPLACE(INDEX(GroupVertices[Group],MATCH(Edges[[#This Row],[Vertex 1]],GroupVertices[Vertex],0)),1,1,"")</f>
        <v>1</v>
      </c>
      <c r="R4" s="85" t="str">
        <f>REPLACE(INDEX(GroupVertices[Group],MATCH(Edges[[#This Row],[Vertex 2]],GroupVertices[Vertex],0)),1,1,"")</f>
        <v>1</v>
      </c>
      <c r="S4" s="36"/>
      <c r="T4" s="36"/>
      <c r="U4" s="36"/>
      <c r="V4" s="36"/>
      <c r="W4" s="36"/>
      <c r="X4" s="36"/>
      <c r="Y4" s="36"/>
      <c r="Z4" s="36"/>
      <c r="AA4" s="36"/>
    </row>
    <row r="5" spans="1:27" ht="45">
      <c r="A5" s="84" t="s">
        <v>197</v>
      </c>
      <c r="B5" s="84" t="s">
        <v>208</v>
      </c>
      <c r="C5" s="53" t="s">
        <v>1358</v>
      </c>
      <c r="D5" s="54">
        <v>3</v>
      </c>
      <c r="E5" s="65"/>
      <c r="F5" s="55">
        <v>50</v>
      </c>
      <c r="G5" s="53"/>
      <c r="H5" s="57"/>
      <c r="I5" s="56"/>
      <c r="J5" s="56"/>
      <c r="K5" s="36" t="s">
        <v>65</v>
      </c>
      <c r="L5" s="83">
        <v>5</v>
      </c>
      <c r="M5" s="83"/>
      <c r="N5" s="63"/>
      <c r="O5" s="86" t="s">
        <v>293</v>
      </c>
      <c r="P5">
        <v>1</v>
      </c>
      <c r="Q5" s="85" t="str">
        <f>REPLACE(INDEX(GroupVertices[Group],MATCH(Edges[[#This Row],[Vertex 1]],GroupVertices[Vertex],0)),1,1,"")</f>
        <v>1</v>
      </c>
      <c r="R5" s="85" t="str">
        <f>REPLACE(INDEX(GroupVertices[Group],MATCH(Edges[[#This Row],[Vertex 2]],GroupVertices[Vertex],0)),1,1,"")</f>
        <v>1</v>
      </c>
      <c r="S5" s="36"/>
      <c r="T5" s="36"/>
      <c r="U5" s="36"/>
      <c r="V5" s="36"/>
      <c r="W5" s="36"/>
      <c r="X5" s="36"/>
      <c r="Y5" s="36"/>
      <c r="Z5" s="36"/>
      <c r="AA5" s="36"/>
    </row>
    <row r="6" spans="1:27" ht="45">
      <c r="A6" s="84" t="s">
        <v>197</v>
      </c>
      <c r="B6" s="84" t="s">
        <v>209</v>
      </c>
      <c r="C6" s="53" t="s">
        <v>1358</v>
      </c>
      <c r="D6" s="54">
        <v>3</v>
      </c>
      <c r="E6" s="65"/>
      <c r="F6" s="55">
        <v>50</v>
      </c>
      <c r="G6" s="53"/>
      <c r="H6" s="57"/>
      <c r="I6" s="56"/>
      <c r="J6" s="56"/>
      <c r="K6" s="36" t="s">
        <v>65</v>
      </c>
      <c r="L6" s="83">
        <v>6</v>
      </c>
      <c r="M6" s="83"/>
      <c r="N6" s="63"/>
      <c r="O6" s="86" t="s">
        <v>293</v>
      </c>
      <c r="P6">
        <v>1</v>
      </c>
      <c r="Q6" s="85" t="str">
        <f>REPLACE(INDEX(GroupVertices[Group],MATCH(Edges[[#This Row],[Vertex 1]],GroupVertices[Vertex],0)),1,1,"")</f>
        <v>1</v>
      </c>
      <c r="R6" s="85" t="str">
        <f>REPLACE(INDEX(GroupVertices[Group],MATCH(Edges[[#This Row],[Vertex 2]],GroupVertices[Vertex],0)),1,1,"")</f>
        <v>1</v>
      </c>
      <c r="S6" s="36"/>
      <c r="T6" s="36"/>
      <c r="U6" s="36"/>
      <c r="V6" s="36"/>
      <c r="W6" s="36"/>
      <c r="X6" s="36"/>
      <c r="Y6" s="36"/>
      <c r="Z6" s="36"/>
      <c r="AA6" s="36"/>
    </row>
    <row r="7" spans="1:27" ht="45">
      <c r="A7" s="84" t="s">
        <v>197</v>
      </c>
      <c r="B7" s="84" t="s">
        <v>210</v>
      </c>
      <c r="C7" s="53" t="s">
        <v>1358</v>
      </c>
      <c r="D7" s="54">
        <v>3</v>
      </c>
      <c r="E7" s="65"/>
      <c r="F7" s="55">
        <v>50</v>
      </c>
      <c r="G7" s="53"/>
      <c r="H7" s="57"/>
      <c r="I7" s="56"/>
      <c r="J7" s="56"/>
      <c r="K7" s="36" t="s">
        <v>65</v>
      </c>
      <c r="L7" s="83">
        <v>7</v>
      </c>
      <c r="M7" s="83"/>
      <c r="N7" s="63"/>
      <c r="O7" s="86" t="s">
        <v>293</v>
      </c>
      <c r="P7">
        <v>1</v>
      </c>
      <c r="Q7" s="85" t="str">
        <f>REPLACE(INDEX(GroupVertices[Group],MATCH(Edges[[#This Row],[Vertex 1]],GroupVertices[Vertex],0)),1,1,"")</f>
        <v>1</v>
      </c>
      <c r="R7" s="85" t="str">
        <f>REPLACE(INDEX(GroupVertices[Group],MATCH(Edges[[#This Row],[Vertex 2]],GroupVertices[Vertex],0)),1,1,"")</f>
        <v>1</v>
      </c>
      <c r="S7" s="36"/>
      <c r="T7" s="36"/>
      <c r="U7" s="36"/>
      <c r="V7" s="36"/>
      <c r="W7" s="36"/>
      <c r="X7" s="36"/>
      <c r="Y7" s="36"/>
      <c r="Z7" s="36"/>
      <c r="AA7" s="36"/>
    </row>
    <row r="8" spans="1:27" ht="45">
      <c r="A8" s="84" t="s">
        <v>197</v>
      </c>
      <c r="B8" s="84" t="s">
        <v>211</v>
      </c>
      <c r="C8" s="53" t="s">
        <v>1358</v>
      </c>
      <c r="D8" s="54">
        <v>3</v>
      </c>
      <c r="E8" s="65"/>
      <c r="F8" s="55">
        <v>50</v>
      </c>
      <c r="G8" s="53"/>
      <c r="H8" s="57"/>
      <c r="I8" s="56"/>
      <c r="J8" s="56"/>
      <c r="K8" s="36" t="s">
        <v>65</v>
      </c>
      <c r="L8" s="83">
        <v>8</v>
      </c>
      <c r="M8" s="83"/>
      <c r="N8" s="63"/>
      <c r="O8" s="86" t="s">
        <v>293</v>
      </c>
      <c r="P8">
        <v>1</v>
      </c>
      <c r="Q8" s="85" t="str">
        <f>REPLACE(INDEX(GroupVertices[Group],MATCH(Edges[[#This Row],[Vertex 1]],GroupVertices[Vertex],0)),1,1,"")</f>
        <v>1</v>
      </c>
      <c r="R8" s="85" t="str">
        <f>REPLACE(INDEX(GroupVertices[Group],MATCH(Edges[[#This Row],[Vertex 2]],GroupVertices[Vertex],0)),1,1,"")</f>
        <v>1</v>
      </c>
      <c r="S8" s="36"/>
      <c r="T8" s="36"/>
      <c r="U8" s="36"/>
      <c r="V8" s="36"/>
      <c r="W8" s="36"/>
      <c r="X8" s="36"/>
      <c r="Y8" s="36"/>
      <c r="Z8" s="36"/>
      <c r="AA8" s="36"/>
    </row>
    <row r="9" spans="1:27" ht="45">
      <c r="A9" s="84" t="s">
        <v>197</v>
      </c>
      <c r="B9" s="84" t="s">
        <v>212</v>
      </c>
      <c r="C9" s="53" t="s">
        <v>1358</v>
      </c>
      <c r="D9" s="54">
        <v>3</v>
      </c>
      <c r="E9" s="65"/>
      <c r="F9" s="55">
        <v>50</v>
      </c>
      <c r="G9" s="53"/>
      <c r="H9" s="57"/>
      <c r="I9" s="56"/>
      <c r="J9" s="56"/>
      <c r="K9" s="36" t="s">
        <v>65</v>
      </c>
      <c r="L9" s="83">
        <v>9</v>
      </c>
      <c r="M9" s="83"/>
      <c r="N9" s="63"/>
      <c r="O9" s="86" t="s">
        <v>293</v>
      </c>
      <c r="P9">
        <v>1</v>
      </c>
      <c r="Q9" s="85" t="str">
        <f>REPLACE(INDEX(GroupVertices[Group],MATCH(Edges[[#This Row],[Vertex 1]],GroupVertices[Vertex],0)),1,1,"")</f>
        <v>1</v>
      </c>
      <c r="R9" s="85" t="str">
        <f>REPLACE(INDEX(GroupVertices[Group],MATCH(Edges[[#This Row],[Vertex 2]],GroupVertices[Vertex],0)),1,1,"")</f>
        <v>1</v>
      </c>
      <c r="S9" s="36"/>
      <c r="T9" s="36"/>
      <c r="U9" s="36"/>
      <c r="V9" s="36"/>
      <c r="W9" s="36"/>
      <c r="X9" s="36"/>
      <c r="Y9" s="36"/>
      <c r="Z9" s="36"/>
      <c r="AA9" s="36"/>
    </row>
    <row r="10" spans="1:27" ht="45">
      <c r="A10" s="84" t="s">
        <v>197</v>
      </c>
      <c r="B10" s="84" t="s">
        <v>213</v>
      </c>
      <c r="C10" s="53" t="s">
        <v>1358</v>
      </c>
      <c r="D10" s="54">
        <v>3</v>
      </c>
      <c r="E10" s="65"/>
      <c r="F10" s="55">
        <v>50</v>
      </c>
      <c r="G10" s="53"/>
      <c r="H10" s="57"/>
      <c r="I10" s="56"/>
      <c r="J10" s="56"/>
      <c r="K10" s="36" t="s">
        <v>65</v>
      </c>
      <c r="L10" s="83">
        <v>10</v>
      </c>
      <c r="M10" s="83"/>
      <c r="N10" s="63"/>
      <c r="O10" s="86" t="s">
        <v>293</v>
      </c>
      <c r="P10">
        <v>1</v>
      </c>
      <c r="Q10" s="85" t="str">
        <f>REPLACE(INDEX(GroupVertices[Group],MATCH(Edges[[#This Row],[Vertex 1]],GroupVertices[Vertex],0)),1,1,"")</f>
        <v>1</v>
      </c>
      <c r="R10" s="85" t="str">
        <f>REPLACE(INDEX(GroupVertices[Group],MATCH(Edges[[#This Row],[Vertex 2]],GroupVertices[Vertex],0)),1,1,"")</f>
        <v>1</v>
      </c>
      <c r="S10" s="36"/>
      <c r="T10" s="36"/>
      <c r="U10" s="36"/>
      <c r="V10" s="36"/>
      <c r="W10" s="36"/>
      <c r="X10" s="36"/>
      <c r="Y10" s="36"/>
      <c r="Z10" s="36"/>
      <c r="AA10" s="36"/>
    </row>
    <row r="11" spans="1:27" ht="45">
      <c r="A11" s="84" t="s">
        <v>198</v>
      </c>
      <c r="B11" s="84" t="s">
        <v>214</v>
      </c>
      <c r="C11" s="53" t="s">
        <v>1358</v>
      </c>
      <c r="D11" s="54">
        <v>3</v>
      </c>
      <c r="E11" s="65"/>
      <c r="F11" s="55">
        <v>50</v>
      </c>
      <c r="G11" s="53"/>
      <c r="H11" s="57"/>
      <c r="I11" s="56"/>
      <c r="J11" s="56"/>
      <c r="K11" s="36" t="s">
        <v>65</v>
      </c>
      <c r="L11" s="83">
        <v>11</v>
      </c>
      <c r="M11" s="83"/>
      <c r="N11" s="63"/>
      <c r="O11" s="86" t="s">
        <v>293</v>
      </c>
      <c r="P11">
        <v>1</v>
      </c>
      <c r="Q11" s="85" t="str">
        <f>REPLACE(INDEX(GroupVertices[Group],MATCH(Edges[[#This Row],[Vertex 1]],GroupVertices[Vertex],0)),1,1,"")</f>
        <v>9</v>
      </c>
      <c r="R11" s="85" t="str">
        <f>REPLACE(INDEX(GroupVertices[Group],MATCH(Edges[[#This Row],[Vertex 2]],GroupVertices[Vertex],0)),1,1,"")</f>
        <v>9</v>
      </c>
      <c r="S11" s="36"/>
      <c r="T11" s="36"/>
      <c r="U11" s="36"/>
      <c r="V11" s="36"/>
      <c r="W11" s="36"/>
      <c r="X11" s="36"/>
      <c r="Y11" s="36"/>
      <c r="Z11" s="36"/>
      <c r="AA11" s="36"/>
    </row>
    <row r="12" spans="1:27" ht="45">
      <c r="A12" s="84" t="s">
        <v>198</v>
      </c>
      <c r="B12" s="84" t="s">
        <v>215</v>
      </c>
      <c r="C12" s="53" t="s">
        <v>1358</v>
      </c>
      <c r="D12" s="54">
        <v>3</v>
      </c>
      <c r="E12" s="65"/>
      <c r="F12" s="55">
        <v>50</v>
      </c>
      <c r="G12" s="53"/>
      <c r="H12" s="57"/>
      <c r="I12" s="56"/>
      <c r="J12" s="56"/>
      <c r="K12" s="36" t="s">
        <v>65</v>
      </c>
      <c r="L12" s="83">
        <v>12</v>
      </c>
      <c r="M12" s="83"/>
      <c r="N12" s="63"/>
      <c r="O12" s="86" t="s">
        <v>293</v>
      </c>
      <c r="P12">
        <v>1</v>
      </c>
      <c r="Q12" s="85" t="str">
        <f>REPLACE(INDEX(GroupVertices[Group],MATCH(Edges[[#This Row],[Vertex 1]],GroupVertices[Vertex],0)),1,1,"")</f>
        <v>9</v>
      </c>
      <c r="R12" s="85" t="str">
        <f>REPLACE(INDEX(GroupVertices[Group],MATCH(Edges[[#This Row],[Vertex 2]],GroupVertices[Vertex],0)),1,1,"")</f>
        <v>9</v>
      </c>
      <c r="S12" s="36"/>
      <c r="T12" s="36"/>
      <c r="U12" s="36"/>
      <c r="V12" s="36"/>
      <c r="W12" s="36"/>
      <c r="X12" s="36"/>
      <c r="Y12" s="36"/>
      <c r="Z12" s="36"/>
      <c r="AA12" s="36"/>
    </row>
    <row r="13" spans="1:27" ht="45">
      <c r="A13" s="84" t="s">
        <v>198</v>
      </c>
      <c r="B13" s="84" t="s">
        <v>216</v>
      </c>
      <c r="C13" s="53" t="s">
        <v>1358</v>
      </c>
      <c r="D13" s="54">
        <v>3</v>
      </c>
      <c r="E13" s="65"/>
      <c r="F13" s="55">
        <v>50</v>
      </c>
      <c r="G13" s="53"/>
      <c r="H13" s="57"/>
      <c r="I13" s="56"/>
      <c r="J13" s="56"/>
      <c r="K13" s="36" t="s">
        <v>65</v>
      </c>
      <c r="L13" s="83">
        <v>13</v>
      </c>
      <c r="M13" s="83"/>
      <c r="N13" s="63"/>
      <c r="O13" s="86" t="s">
        <v>293</v>
      </c>
      <c r="P13">
        <v>1</v>
      </c>
      <c r="Q13" s="85" t="str">
        <f>REPLACE(INDEX(GroupVertices[Group],MATCH(Edges[[#This Row],[Vertex 1]],GroupVertices[Vertex],0)),1,1,"")</f>
        <v>9</v>
      </c>
      <c r="R13" s="85" t="str">
        <f>REPLACE(INDEX(GroupVertices[Group],MATCH(Edges[[#This Row],[Vertex 2]],GroupVertices[Vertex],0)),1,1,"")</f>
        <v>9</v>
      </c>
      <c r="S13" s="36"/>
      <c r="T13" s="36"/>
      <c r="U13" s="36"/>
      <c r="V13" s="36"/>
      <c r="W13" s="36"/>
      <c r="X13" s="36"/>
      <c r="Y13" s="36"/>
      <c r="Z13" s="36"/>
      <c r="AA13" s="36"/>
    </row>
    <row r="14" spans="1:27" ht="45">
      <c r="A14" s="84" t="s">
        <v>198</v>
      </c>
      <c r="B14" s="84" t="s">
        <v>217</v>
      </c>
      <c r="C14" s="53" t="s">
        <v>1358</v>
      </c>
      <c r="D14" s="54">
        <v>3</v>
      </c>
      <c r="E14" s="65"/>
      <c r="F14" s="55">
        <v>50</v>
      </c>
      <c r="G14" s="53"/>
      <c r="H14" s="57"/>
      <c r="I14" s="56"/>
      <c r="J14" s="56"/>
      <c r="K14" s="36" t="s">
        <v>65</v>
      </c>
      <c r="L14" s="83">
        <v>14</v>
      </c>
      <c r="M14" s="83"/>
      <c r="N14" s="63"/>
      <c r="O14" s="86" t="s">
        <v>293</v>
      </c>
      <c r="P14">
        <v>1</v>
      </c>
      <c r="Q14" s="85" t="str">
        <f>REPLACE(INDEX(GroupVertices[Group],MATCH(Edges[[#This Row],[Vertex 1]],GroupVertices[Vertex],0)),1,1,"")</f>
        <v>9</v>
      </c>
      <c r="R14" s="85" t="str">
        <f>REPLACE(INDEX(GroupVertices[Group],MATCH(Edges[[#This Row],[Vertex 2]],GroupVertices[Vertex],0)),1,1,"")</f>
        <v>9</v>
      </c>
      <c r="S14" s="36"/>
      <c r="T14" s="36"/>
      <c r="U14" s="36"/>
      <c r="V14" s="36"/>
      <c r="W14" s="36"/>
      <c r="X14" s="36"/>
      <c r="Y14" s="36"/>
      <c r="Z14" s="36"/>
      <c r="AA14" s="36"/>
    </row>
    <row r="15" spans="1:27" ht="45">
      <c r="A15" s="84" t="s">
        <v>198</v>
      </c>
      <c r="B15" s="84" t="s">
        <v>218</v>
      </c>
      <c r="C15" s="53" t="s">
        <v>1358</v>
      </c>
      <c r="D15" s="54">
        <v>3</v>
      </c>
      <c r="E15" s="65"/>
      <c r="F15" s="55">
        <v>50</v>
      </c>
      <c r="G15" s="53"/>
      <c r="H15" s="57"/>
      <c r="I15" s="56"/>
      <c r="J15" s="56"/>
      <c r="K15" s="36" t="s">
        <v>65</v>
      </c>
      <c r="L15" s="83">
        <v>15</v>
      </c>
      <c r="M15" s="83"/>
      <c r="N15" s="63"/>
      <c r="O15" s="86" t="s">
        <v>293</v>
      </c>
      <c r="P15">
        <v>1</v>
      </c>
      <c r="Q15" s="85" t="str">
        <f>REPLACE(INDEX(GroupVertices[Group],MATCH(Edges[[#This Row],[Vertex 1]],GroupVertices[Vertex],0)),1,1,"")</f>
        <v>9</v>
      </c>
      <c r="R15" s="85" t="str">
        <f>REPLACE(INDEX(GroupVertices[Group],MATCH(Edges[[#This Row],[Vertex 2]],GroupVertices[Vertex],0)),1,1,"")</f>
        <v>9</v>
      </c>
      <c r="S15" s="36"/>
      <c r="T15" s="36"/>
      <c r="U15" s="36"/>
      <c r="V15" s="36"/>
      <c r="W15" s="36"/>
      <c r="X15" s="36"/>
      <c r="Y15" s="36"/>
      <c r="Z15" s="36"/>
      <c r="AA15" s="36"/>
    </row>
    <row r="16" spans="1:27" ht="45">
      <c r="A16" s="84" t="s">
        <v>198</v>
      </c>
      <c r="B16" s="84" t="s">
        <v>219</v>
      </c>
      <c r="C16" s="53" t="s">
        <v>1358</v>
      </c>
      <c r="D16" s="54">
        <v>3</v>
      </c>
      <c r="E16" s="65"/>
      <c r="F16" s="55">
        <v>50</v>
      </c>
      <c r="G16" s="53"/>
      <c r="H16" s="57"/>
      <c r="I16" s="56"/>
      <c r="J16" s="56"/>
      <c r="K16" s="36" t="s">
        <v>65</v>
      </c>
      <c r="L16" s="83">
        <v>16</v>
      </c>
      <c r="M16" s="83"/>
      <c r="N16" s="63"/>
      <c r="O16" s="86" t="s">
        <v>293</v>
      </c>
      <c r="P16">
        <v>1</v>
      </c>
      <c r="Q16" s="85" t="str">
        <f>REPLACE(INDEX(GroupVertices[Group],MATCH(Edges[[#This Row],[Vertex 1]],GroupVertices[Vertex],0)),1,1,"")</f>
        <v>9</v>
      </c>
      <c r="R16" s="85" t="str">
        <f>REPLACE(INDEX(GroupVertices[Group],MATCH(Edges[[#This Row],[Vertex 2]],GroupVertices[Vertex],0)),1,1,"")</f>
        <v>9</v>
      </c>
      <c r="S16" s="36"/>
      <c r="T16" s="36"/>
      <c r="U16" s="36"/>
      <c r="V16" s="36"/>
      <c r="W16" s="36"/>
      <c r="X16" s="36"/>
      <c r="Y16" s="36"/>
      <c r="Z16" s="36"/>
      <c r="AA16" s="36"/>
    </row>
    <row r="17" spans="1:27" ht="45">
      <c r="A17" s="84" t="s">
        <v>198</v>
      </c>
      <c r="B17" s="84" t="s">
        <v>220</v>
      </c>
      <c r="C17" s="53" t="s">
        <v>1358</v>
      </c>
      <c r="D17" s="54">
        <v>3</v>
      </c>
      <c r="E17" s="65"/>
      <c r="F17" s="55">
        <v>50</v>
      </c>
      <c r="G17" s="53"/>
      <c r="H17" s="57"/>
      <c r="I17" s="56"/>
      <c r="J17" s="56"/>
      <c r="K17" s="36" t="s">
        <v>65</v>
      </c>
      <c r="L17" s="83">
        <v>17</v>
      </c>
      <c r="M17" s="83"/>
      <c r="N17" s="63"/>
      <c r="O17" s="86" t="s">
        <v>293</v>
      </c>
      <c r="P17">
        <v>1</v>
      </c>
      <c r="Q17" s="85" t="str">
        <f>REPLACE(INDEX(GroupVertices[Group],MATCH(Edges[[#This Row],[Vertex 1]],GroupVertices[Vertex],0)),1,1,"")</f>
        <v>9</v>
      </c>
      <c r="R17" s="85" t="str">
        <f>REPLACE(INDEX(GroupVertices[Group],MATCH(Edges[[#This Row],[Vertex 2]],GroupVertices[Vertex],0)),1,1,"")</f>
        <v>9</v>
      </c>
      <c r="S17" s="36"/>
      <c r="T17" s="36"/>
      <c r="U17" s="36"/>
      <c r="V17" s="36"/>
      <c r="W17" s="36"/>
      <c r="X17" s="36"/>
      <c r="Y17" s="36"/>
      <c r="Z17" s="36"/>
      <c r="AA17" s="36"/>
    </row>
    <row r="18" spans="1:27" ht="45">
      <c r="A18" s="84" t="s">
        <v>198</v>
      </c>
      <c r="B18" s="84" t="s">
        <v>221</v>
      </c>
      <c r="C18" s="53" t="s">
        <v>1358</v>
      </c>
      <c r="D18" s="54">
        <v>3</v>
      </c>
      <c r="E18" s="65"/>
      <c r="F18" s="55">
        <v>50</v>
      </c>
      <c r="G18" s="53"/>
      <c r="H18" s="57"/>
      <c r="I18" s="56"/>
      <c r="J18" s="56"/>
      <c r="K18" s="36" t="s">
        <v>65</v>
      </c>
      <c r="L18" s="83">
        <v>18</v>
      </c>
      <c r="M18" s="83"/>
      <c r="N18" s="63"/>
      <c r="O18" s="86" t="s">
        <v>293</v>
      </c>
      <c r="P18">
        <v>1</v>
      </c>
      <c r="Q18" s="85" t="str">
        <f>REPLACE(INDEX(GroupVertices[Group],MATCH(Edges[[#This Row],[Vertex 1]],GroupVertices[Vertex],0)),1,1,"")</f>
        <v>9</v>
      </c>
      <c r="R18" s="85" t="str">
        <f>REPLACE(INDEX(GroupVertices[Group],MATCH(Edges[[#This Row],[Vertex 2]],GroupVertices[Vertex],0)),1,1,"")</f>
        <v>6</v>
      </c>
      <c r="S18" s="36"/>
      <c r="T18" s="36"/>
      <c r="U18" s="36"/>
      <c r="V18" s="36"/>
      <c r="W18" s="36"/>
      <c r="X18" s="36"/>
      <c r="Y18" s="36"/>
      <c r="Z18" s="36"/>
      <c r="AA18" s="36"/>
    </row>
    <row r="19" spans="1:27" ht="45">
      <c r="A19" s="84" t="s">
        <v>198</v>
      </c>
      <c r="B19" s="84" t="s">
        <v>222</v>
      </c>
      <c r="C19" s="53" t="s">
        <v>1358</v>
      </c>
      <c r="D19" s="54">
        <v>3</v>
      </c>
      <c r="E19" s="65"/>
      <c r="F19" s="55">
        <v>50</v>
      </c>
      <c r="G19" s="53"/>
      <c r="H19" s="57"/>
      <c r="I19" s="56"/>
      <c r="J19" s="56"/>
      <c r="K19" s="36" t="s">
        <v>65</v>
      </c>
      <c r="L19" s="83">
        <v>19</v>
      </c>
      <c r="M19" s="83"/>
      <c r="N19" s="63"/>
      <c r="O19" s="86" t="s">
        <v>293</v>
      </c>
      <c r="P19">
        <v>1</v>
      </c>
      <c r="Q19" s="85" t="str">
        <f>REPLACE(INDEX(GroupVertices[Group],MATCH(Edges[[#This Row],[Vertex 1]],GroupVertices[Vertex],0)),1,1,"")</f>
        <v>9</v>
      </c>
      <c r="R19" s="85" t="str">
        <f>REPLACE(INDEX(GroupVertices[Group],MATCH(Edges[[#This Row],[Vertex 2]],GroupVertices[Vertex],0)),1,1,"")</f>
        <v>5</v>
      </c>
      <c r="S19" s="36"/>
      <c r="T19" s="36"/>
      <c r="U19" s="36"/>
      <c r="V19" s="36"/>
      <c r="W19" s="36"/>
      <c r="X19" s="36"/>
      <c r="Y19" s="36"/>
      <c r="Z19" s="36"/>
      <c r="AA19" s="36"/>
    </row>
    <row r="20" spans="1:27" ht="45">
      <c r="A20" s="84" t="s">
        <v>198</v>
      </c>
      <c r="B20" s="84" t="s">
        <v>223</v>
      </c>
      <c r="C20" s="53" t="s">
        <v>1358</v>
      </c>
      <c r="D20" s="54">
        <v>3</v>
      </c>
      <c r="E20" s="65"/>
      <c r="F20" s="55">
        <v>50</v>
      </c>
      <c r="G20" s="53"/>
      <c r="H20" s="57"/>
      <c r="I20" s="56"/>
      <c r="J20" s="56"/>
      <c r="K20" s="36" t="s">
        <v>65</v>
      </c>
      <c r="L20" s="83">
        <v>20</v>
      </c>
      <c r="M20" s="83"/>
      <c r="N20" s="63"/>
      <c r="O20" s="86" t="s">
        <v>293</v>
      </c>
      <c r="P20">
        <v>1</v>
      </c>
      <c r="Q20" s="85" t="str">
        <f>REPLACE(INDEX(GroupVertices[Group],MATCH(Edges[[#This Row],[Vertex 1]],GroupVertices[Vertex],0)),1,1,"")</f>
        <v>9</v>
      </c>
      <c r="R20" s="85" t="str">
        <f>REPLACE(INDEX(GroupVertices[Group],MATCH(Edges[[#This Row],[Vertex 2]],GroupVertices[Vertex],0)),1,1,"")</f>
        <v>8</v>
      </c>
      <c r="S20" s="36"/>
      <c r="T20" s="36"/>
      <c r="U20" s="36"/>
      <c r="V20" s="36"/>
      <c r="W20" s="36"/>
      <c r="X20" s="36"/>
      <c r="Y20" s="36"/>
      <c r="Z20" s="36"/>
      <c r="AA20" s="36"/>
    </row>
    <row r="21" spans="1:27" ht="45">
      <c r="A21" s="84" t="s">
        <v>199</v>
      </c>
      <c r="B21" s="84" t="s">
        <v>224</v>
      </c>
      <c r="C21" s="53" t="s">
        <v>1358</v>
      </c>
      <c r="D21" s="54">
        <v>3</v>
      </c>
      <c r="E21" s="65"/>
      <c r="F21" s="55">
        <v>50</v>
      </c>
      <c r="G21" s="53"/>
      <c r="H21" s="57"/>
      <c r="I21" s="56"/>
      <c r="J21" s="56"/>
      <c r="K21" s="36" t="s">
        <v>65</v>
      </c>
      <c r="L21" s="83">
        <v>21</v>
      </c>
      <c r="M21" s="83"/>
      <c r="N21" s="63"/>
      <c r="O21" s="86" t="s">
        <v>293</v>
      </c>
      <c r="P21">
        <v>1</v>
      </c>
      <c r="Q21" s="85" t="str">
        <f>REPLACE(INDEX(GroupVertices[Group],MATCH(Edges[[#This Row],[Vertex 1]],GroupVertices[Vertex],0)),1,1,"")</f>
        <v>6</v>
      </c>
      <c r="R21" s="85" t="str">
        <f>REPLACE(INDEX(GroupVertices[Group],MATCH(Edges[[#This Row],[Vertex 2]],GroupVertices[Vertex],0)),1,1,"")</f>
        <v>6</v>
      </c>
      <c r="S21" s="36"/>
      <c r="T21" s="36"/>
      <c r="U21" s="36"/>
      <c r="V21" s="36"/>
      <c r="W21" s="36"/>
      <c r="X21" s="36"/>
      <c r="Y21" s="36"/>
      <c r="Z21" s="36"/>
      <c r="AA21" s="36"/>
    </row>
    <row r="22" spans="1:27" ht="45">
      <c r="A22" s="84" t="s">
        <v>199</v>
      </c>
      <c r="B22" s="84" t="s">
        <v>225</v>
      </c>
      <c r="C22" s="53" t="s">
        <v>1358</v>
      </c>
      <c r="D22" s="54">
        <v>3</v>
      </c>
      <c r="E22" s="65"/>
      <c r="F22" s="55">
        <v>50</v>
      </c>
      <c r="G22" s="53"/>
      <c r="H22" s="57"/>
      <c r="I22" s="56"/>
      <c r="J22" s="56"/>
      <c r="K22" s="36" t="s">
        <v>65</v>
      </c>
      <c r="L22" s="83">
        <v>22</v>
      </c>
      <c r="M22" s="83"/>
      <c r="N22" s="63"/>
      <c r="O22" s="86" t="s">
        <v>293</v>
      </c>
      <c r="P22">
        <v>1</v>
      </c>
      <c r="Q22" s="85" t="str">
        <f>REPLACE(INDEX(GroupVertices[Group],MATCH(Edges[[#This Row],[Vertex 1]],GroupVertices[Vertex],0)),1,1,"")</f>
        <v>6</v>
      </c>
      <c r="R22" s="85" t="str">
        <f>REPLACE(INDEX(GroupVertices[Group],MATCH(Edges[[#This Row],[Vertex 2]],GroupVertices[Vertex],0)),1,1,"")</f>
        <v>6</v>
      </c>
      <c r="S22" s="36"/>
      <c r="T22" s="36"/>
      <c r="U22" s="36"/>
      <c r="V22" s="36"/>
      <c r="W22" s="36"/>
      <c r="X22" s="36"/>
      <c r="Y22" s="36"/>
      <c r="Z22" s="36"/>
      <c r="AA22" s="36"/>
    </row>
    <row r="23" spans="1:27" ht="45">
      <c r="A23" s="84" t="s">
        <v>199</v>
      </c>
      <c r="B23" s="84" t="s">
        <v>226</v>
      </c>
      <c r="C23" s="53" t="s">
        <v>1358</v>
      </c>
      <c r="D23" s="54">
        <v>3</v>
      </c>
      <c r="E23" s="65"/>
      <c r="F23" s="55">
        <v>50</v>
      </c>
      <c r="G23" s="53"/>
      <c r="H23" s="57"/>
      <c r="I23" s="56"/>
      <c r="J23" s="56"/>
      <c r="K23" s="36" t="s">
        <v>65</v>
      </c>
      <c r="L23" s="83">
        <v>23</v>
      </c>
      <c r="M23" s="83"/>
      <c r="N23" s="63"/>
      <c r="O23" s="86" t="s">
        <v>293</v>
      </c>
      <c r="P23">
        <v>1</v>
      </c>
      <c r="Q23" s="85" t="str">
        <f>REPLACE(INDEX(GroupVertices[Group],MATCH(Edges[[#This Row],[Vertex 1]],GroupVertices[Vertex],0)),1,1,"")</f>
        <v>6</v>
      </c>
      <c r="R23" s="85" t="str">
        <f>REPLACE(INDEX(GroupVertices[Group],MATCH(Edges[[#This Row],[Vertex 2]],GroupVertices[Vertex],0)),1,1,"")</f>
        <v>6</v>
      </c>
      <c r="S23" s="36"/>
      <c r="T23" s="36"/>
      <c r="U23" s="36"/>
      <c r="V23" s="36"/>
      <c r="W23" s="36"/>
      <c r="X23" s="36"/>
      <c r="Y23" s="36"/>
      <c r="Z23" s="36"/>
      <c r="AA23" s="36"/>
    </row>
    <row r="24" spans="1:27" ht="45">
      <c r="A24" s="84" t="s">
        <v>199</v>
      </c>
      <c r="B24" s="84" t="s">
        <v>227</v>
      </c>
      <c r="C24" s="53" t="s">
        <v>1358</v>
      </c>
      <c r="D24" s="54">
        <v>3</v>
      </c>
      <c r="E24" s="65"/>
      <c r="F24" s="55">
        <v>50</v>
      </c>
      <c r="G24" s="53"/>
      <c r="H24" s="57"/>
      <c r="I24" s="56"/>
      <c r="J24" s="56"/>
      <c r="K24" s="36" t="s">
        <v>65</v>
      </c>
      <c r="L24" s="83">
        <v>24</v>
      </c>
      <c r="M24" s="83"/>
      <c r="N24" s="63"/>
      <c r="O24" s="86" t="s">
        <v>293</v>
      </c>
      <c r="P24">
        <v>1</v>
      </c>
      <c r="Q24" s="85" t="str">
        <f>REPLACE(INDEX(GroupVertices[Group],MATCH(Edges[[#This Row],[Vertex 1]],GroupVertices[Vertex],0)),1,1,"")</f>
        <v>6</v>
      </c>
      <c r="R24" s="85" t="str">
        <f>REPLACE(INDEX(GroupVertices[Group],MATCH(Edges[[#This Row],[Vertex 2]],GroupVertices[Vertex],0)),1,1,"")</f>
        <v>6</v>
      </c>
      <c r="S24" s="36"/>
      <c r="T24" s="36"/>
      <c r="U24" s="36"/>
      <c r="V24" s="36"/>
      <c r="W24" s="36"/>
      <c r="X24" s="36"/>
      <c r="Y24" s="36"/>
      <c r="Z24" s="36"/>
      <c r="AA24" s="36"/>
    </row>
    <row r="25" spans="1:27" ht="45">
      <c r="A25" s="84" t="s">
        <v>199</v>
      </c>
      <c r="B25" s="84" t="s">
        <v>228</v>
      </c>
      <c r="C25" s="53" t="s">
        <v>1358</v>
      </c>
      <c r="D25" s="54">
        <v>3</v>
      </c>
      <c r="E25" s="65"/>
      <c r="F25" s="55">
        <v>50</v>
      </c>
      <c r="G25" s="53"/>
      <c r="H25" s="57"/>
      <c r="I25" s="56"/>
      <c r="J25" s="56"/>
      <c r="K25" s="36" t="s">
        <v>65</v>
      </c>
      <c r="L25" s="83">
        <v>25</v>
      </c>
      <c r="M25" s="83"/>
      <c r="N25" s="63"/>
      <c r="O25" s="86" t="s">
        <v>293</v>
      </c>
      <c r="P25">
        <v>1</v>
      </c>
      <c r="Q25" s="85" t="str">
        <f>REPLACE(INDEX(GroupVertices[Group],MATCH(Edges[[#This Row],[Vertex 1]],GroupVertices[Vertex],0)),1,1,"")</f>
        <v>6</v>
      </c>
      <c r="R25" s="85" t="str">
        <f>REPLACE(INDEX(GroupVertices[Group],MATCH(Edges[[#This Row],[Vertex 2]],GroupVertices[Vertex],0)),1,1,"")</f>
        <v>6</v>
      </c>
      <c r="S25" s="36"/>
      <c r="T25" s="36"/>
      <c r="U25" s="36"/>
      <c r="V25" s="36"/>
      <c r="W25" s="36"/>
      <c r="X25" s="36"/>
      <c r="Y25" s="36"/>
      <c r="Z25" s="36"/>
      <c r="AA25" s="36"/>
    </row>
    <row r="26" spans="1:27" ht="45">
      <c r="A26" s="84" t="s">
        <v>199</v>
      </c>
      <c r="B26" s="84" t="s">
        <v>229</v>
      </c>
      <c r="C26" s="53" t="s">
        <v>1358</v>
      </c>
      <c r="D26" s="54">
        <v>3</v>
      </c>
      <c r="E26" s="65"/>
      <c r="F26" s="55">
        <v>50</v>
      </c>
      <c r="G26" s="53"/>
      <c r="H26" s="57"/>
      <c r="I26" s="56"/>
      <c r="J26" s="56"/>
      <c r="K26" s="36" t="s">
        <v>65</v>
      </c>
      <c r="L26" s="83">
        <v>26</v>
      </c>
      <c r="M26" s="83"/>
      <c r="N26" s="63"/>
      <c r="O26" s="86" t="s">
        <v>293</v>
      </c>
      <c r="P26">
        <v>1</v>
      </c>
      <c r="Q26" s="85" t="str">
        <f>REPLACE(INDEX(GroupVertices[Group],MATCH(Edges[[#This Row],[Vertex 1]],GroupVertices[Vertex],0)),1,1,"")</f>
        <v>6</v>
      </c>
      <c r="R26" s="85" t="str">
        <f>REPLACE(INDEX(GroupVertices[Group],MATCH(Edges[[#This Row],[Vertex 2]],GroupVertices[Vertex],0)),1,1,"")</f>
        <v>6</v>
      </c>
      <c r="S26" s="36"/>
      <c r="T26" s="36"/>
      <c r="U26" s="36"/>
      <c r="V26" s="36"/>
      <c r="W26" s="36"/>
      <c r="X26" s="36"/>
      <c r="Y26" s="36"/>
      <c r="Z26" s="36"/>
      <c r="AA26" s="36"/>
    </row>
    <row r="27" spans="1:27" ht="45">
      <c r="A27" s="84" t="s">
        <v>199</v>
      </c>
      <c r="B27" s="84" t="s">
        <v>230</v>
      </c>
      <c r="C27" s="53" t="s">
        <v>1358</v>
      </c>
      <c r="D27" s="54">
        <v>3</v>
      </c>
      <c r="E27" s="65"/>
      <c r="F27" s="55">
        <v>50</v>
      </c>
      <c r="G27" s="53"/>
      <c r="H27" s="57"/>
      <c r="I27" s="56"/>
      <c r="J27" s="56"/>
      <c r="K27" s="36" t="s">
        <v>65</v>
      </c>
      <c r="L27" s="83">
        <v>27</v>
      </c>
      <c r="M27" s="83"/>
      <c r="N27" s="63"/>
      <c r="O27" s="86" t="s">
        <v>293</v>
      </c>
      <c r="P27">
        <v>1</v>
      </c>
      <c r="Q27" s="85" t="str">
        <f>REPLACE(INDEX(GroupVertices[Group],MATCH(Edges[[#This Row],[Vertex 1]],GroupVertices[Vertex],0)),1,1,"")</f>
        <v>6</v>
      </c>
      <c r="R27" s="85" t="str">
        <f>REPLACE(INDEX(GroupVertices[Group],MATCH(Edges[[#This Row],[Vertex 2]],GroupVertices[Vertex],0)),1,1,"")</f>
        <v>6</v>
      </c>
      <c r="S27" s="36"/>
      <c r="T27" s="36"/>
      <c r="U27" s="36"/>
      <c r="V27" s="36"/>
      <c r="W27" s="36"/>
      <c r="X27" s="36"/>
      <c r="Y27" s="36"/>
      <c r="Z27" s="36"/>
      <c r="AA27" s="36"/>
    </row>
    <row r="28" spans="1:27" ht="45">
      <c r="A28" s="84" t="s">
        <v>199</v>
      </c>
      <c r="B28" s="84" t="s">
        <v>231</v>
      </c>
      <c r="C28" s="53" t="s">
        <v>1358</v>
      </c>
      <c r="D28" s="54">
        <v>3</v>
      </c>
      <c r="E28" s="65"/>
      <c r="F28" s="55">
        <v>50</v>
      </c>
      <c r="G28" s="53"/>
      <c r="H28" s="57"/>
      <c r="I28" s="56"/>
      <c r="J28" s="56"/>
      <c r="K28" s="36" t="s">
        <v>65</v>
      </c>
      <c r="L28" s="83">
        <v>28</v>
      </c>
      <c r="M28" s="83"/>
      <c r="N28" s="63"/>
      <c r="O28" s="86" t="s">
        <v>293</v>
      </c>
      <c r="P28">
        <v>1</v>
      </c>
      <c r="Q28" s="85" t="str">
        <f>REPLACE(INDEX(GroupVertices[Group],MATCH(Edges[[#This Row],[Vertex 1]],GroupVertices[Vertex],0)),1,1,"")</f>
        <v>6</v>
      </c>
      <c r="R28" s="85" t="str">
        <f>REPLACE(INDEX(GroupVertices[Group],MATCH(Edges[[#This Row],[Vertex 2]],GroupVertices[Vertex],0)),1,1,"")</f>
        <v>6</v>
      </c>
      <c r="S28" s="36"/>
      <c r="T28" s="36"/>
      <c r="U28" s="36"/>
      <c r="V28" s="36"/>
      <c r="W28" s="36"/>
      <c r="X28" s="36"/>
      <c r="Y28" s="36"/>
      <c r="Z28" s="36"/>
      <c r="AA28" s="36"/>
    </row>
    <row r="29" spans="1:27" ht="45">
      <c r="A29" s="84" t="s">
        <v>199</v>
      </c>
      <c r="B29" s="84" t="s">
        <v>232</v>
      </c>
      <c r="C29" s="53" t="s">
        <v>1358</v>
      </c>
      <c r="D29" s="54">
        <v>3</v>
      </c>
      <c r="E29" s="65"/>
      <c r="F29" s="55">
        <v>50</v>
      </c>
      <c r="G29" s="53"/>
      <c r="H29" s="57"/>
      <c r="I29" s="56"/>
      <c r="J29" s="56"/>
      <c r="K29" s="36" t="s">
        <v>65</v>
      </c>
      <c r="L29" s="83">
        <v>29</v>
      </c>
      <c r="M29" s="83"/>
      <c r="N29" s="63"/>
      <c r="O29" s="86" t="s">
        <v>293</v>
      </c>
      <c r="P29">
        <v>1</v>
      </c>
      <c r="Q29" s="85" t="str">
        <f>REPLACE(INDEX(GroupVertices[Group],MATCH(Edges[[#This Row],[Vertex 1]],GroupVertices[Vertex],0)),1,1,"")</f>
        <v>6</v>
      </c>
      <c r="R29" s="85" t="str">
        <f>REPLACE(INDEX(GroupVertices[Group],MATCH(Edges[[#This Row],[Vertex 2]],GroupVertices[Vertex],0)),1,1,"")</f>
        <v>7</v>
      </c>
      <c r="S29" s="36"/>
      <c r="T29" s="36"/>
      <c r="U29" s="36"/>
      <c r="V29" s="36"/>
      <c r="W29" s="36"/>
      <c r="X29" s="36"/>
      <c r="Y29" s="36"/>
      <c r="Z29" s="36"/>
      <c r="AA29" s="36"/>
    </row>
    <row r="30" spans="1:27" ht="45">
      <c r="A30" s="84" t="s">
        <v>199</v>
      </c>
      <c r="B30" s="84" t="s">
        <v>221</v>
      </c>
      <c r="C30" s="53" t="s">
        <v>1358</v>
      </c>
      <c r="D30" s="54">
        <v>3</v>
      </c>
      <c r="E30" s="65"/>
      <c r="F30" s="55">
        <v>50</v>
      </c>
      <c r="G30" s="53"/>
      <c r="H30" s="57"/>
      <c r="I30" s="56"/>
      <c r="J30" s="56"/>
      <c r="K30" s="36" t="s">
        <v>65</v>
      </c>
      <c r="L30" s="83">
        <v>30</v>
      </c>
      <c r="M30" s="83"/>
      <c r="N30" s="63"/>
      <c r="O30" s="86" t="s">
        <v>293</v>
      </c>
      <c r="P30">
        <v>1</v>
      </c>
      <c r="Q30" s="85" t="str">
        <f>REPLACE(INDEX(GroupVertices[Group],MATCH(Edges[[#This Row],[Vertex 1]],GroupVertices[Vertex],0)),1,1,"")</f>
        <v>6</v>
      </c>
      <c r="R30" s="85" t="str">
        <f>REPLACE(INDEX(GroupVertices[Group],MATCH(Edges[[#This Row],[Vertex 2]],GroupVertices[Vertex],0)),1,1,"")</f>
        <v>6</v>
      </c>
      <c r="S30" s="36"/>
      <c r="T30" s="36"/>
      <c r="U30" s="36"/>
      <c r="V30" s="36"/>
      <c r="W30" s="36"/>
      <c r="X30" s="36"/>
      <c r="Y30" s="36"/>
      <c r="Z30" s="36"/>
      <c r="AA30" s="36"/>
    </row>
    <row r="31" spans="1:27" ht="45">
      <c r="A31" s="84" t="s">
        <v>200</v>
      </c>
      <c r="B31" s="84" t="s">
        <v>233</v>
      </c>
      <c r="C31" s="53" t="s">
        <v>1358</v>
      </c>
      <c r="D31" s="54">
        <v>3</v>
      </c>
      <c r="E31" s="65"/>
      <c r="F31" s="55">
        <v>50</v>
      </c>
      <c r="G31" s="53"/>
      <c r="H31" s="57"/>
      <c r="I31" s="56"/>
      <c r="J31" s="56"/>
      <c r="K31" s="36" t="s">
        <v>65</v>
      </c>
      <c r="L31" s="83">
        <v>31</v>
      </c>
      <c r="M31" s="83"/>
      <c r="N31" s="63"/>
      <c r="O31" s="86" t="s">
        <v>293</v>
      </c>
      <c r="P31">
        <v>1</v>
      </c>
      <c r="Q31" s="85" t="str">
        <f>REPLACE(INDEX(GroupVertices[Group],MATCH(Edges[[#This Row],[Vertex 1]],GroupVertices[Vertex],0)),1,1,"")</f>
        <v>5</v>
      </c>
      <c r="R31" s="85" t="str">
        <f>REPLACE(INDEX(GroupVertices[Group],MATCH(Edges[[#This Row],[Vertex 2]],GroupVertices[Vertex],0)),1,1,"")</f>
        <v>5</v>
      </c>
      <c r="S31" s="36"/>
      <c r="T31" s="36"/>
      <c r="U31" s="36"/>
      <c r="V31" s="36"/>
      <c r="W31" s="36"/>
      <c r="X31" s="36"/>
      <c r="Y31" s="36"/>
      <c r="Z31" s="36"/>
      <c r="AA31" s="36"/>
    </row>
    <row r="32" spans="1:27" ht="45">
      <c r="A32" s="84" t="s">
        <v>200</v>
      </c>
      <c r="B32" s="84" t="s">
        <v>234</v>
      </c>
      <c r="C32" s="53" t="s">
        <v>1358</v>
      </c>
      <c r="D32" s="54">
        <v>3</v>
      </c>
      <c r="E32" s="65"/>
      <c r="F32" s="55">
        <v>50</v>
      </c>
      <c r="G32" s="53"/>
      <c r="H32" s="57"/>
      <c r="I32" s="56"/>
      <c r="J32" s="56"/>
      <c r="K32" s="36" t="s">
        <v>65</v>
      </c>
      <c r="L32" s="83">
        <v>32</v>
      </c>
      <c r="M32" s="83"/>
      <c r="N32" s="63"/>
      <c r="O32" s="86" t="s">
        <v>293</v>
      </c>
      <c r="P32">
        <v>1</v>
      </c>
      <c r="Q32" s="85" t="str">
        <f>REPLACE(INDEX(GroupVertices[Group],MATCH(Edges[[#This Row],[Vertex 1]],GroupVertices[Vertex],0)),1,1,"")</f>
        <v>5</v>
      </c>
      <c r="R32" s="85" t="str">
        <f>REPLACE(INDEX(GroupVertices[Group],MATCH(Edges[[#This Row],[Vertex 2]],GroupVertices[Vertex],0)),1,1,"")</f>
        <v>5</v>
      </c>
      <c r="S32" s="36"/>
      <c r="T32" s="36"/>
      <c r="U32" s="36"/>
      <c r="V32" s="36"/>
      <c r="W32" s="36"/>
      <c r="X32" s="36"/>
      <c r="Y32" s="36"/>
      <c r="Z32" s="36"/>
      <c r="AA32" s="36"/>
    </row>
    <row r="33" spans="1:27" ht="45">
      <c r="A33" s="84" t="s">
        <v>200</v>
      </c>
      <c r="B33" s="84" t="s">
        <v>235</v>
      </c>
      <c r="C33" s="53" t="s">
        <v>1358</v>
      </c>
      <c r="D33" s="54">
        <v>3</v>
      </c>
      <c r="E33" s="65"/>
      <c r="F33" s="55">
        <v>50</v>
      </c>
      <c r="G33" s="53"/>
      <c r="H33" s="57"/>
      <c r="I33" s="56"/>
      <c r="J33" s="56"/>
      <c r="K33" s="36" t="s">
        <v>65</v>
      </c>
      <c r="L33" s="83">
        <v>33</v>
      </c>
      <c r="M33" s="83"/>
      <c r="N33" s="63"/>
      <c r="O33" s="86" t="s">
        <v>293</v>
      </c>
      <c r="P33">
        <v>1</v>
      </c>
      <c r="Q33" s="85" t="str">
        <f>REPLACE(INDEX(GroupVertices[Group],MATCH(Edges[[#This Row],[Vertex 1]],GroupVertices[Vertex],0)),1,1,"")</f>
        <v>5</v>
      </c>
      <c r="R33" s="85" t="str">
        <f>REPLACE(INDEX(GroupVertices[Group],MATCH(Edges[[#This Row],[Vertex 2]],GroupVertices[Vertex],0)),1,1,"")</f>
        <v>5</v>
      </c>
      <c r="S33" s="36"/>
      <c r="T33" s="36"/>
      <c r="U33" s="36"/>
      <c r="V33" s="36"/>
      <c r="W33" s="36"/>
      <c r="X33" s="36"/>
      <c r="Y33" s="36"/>
      <c r="Z33" s="36"/>
      <c r="AA33" s="36"/>
    </row>
    <row r="34" spans="1:27" ht="45">
      <c r="A34" s="84" t="s">
        <v>200</v>
      </c>
      <c r="B34" s="84" t="s">
        <v>236</v>
      </c>
      <c r="C34" s="53" t="s">
        <v>1358</v>
      </c>
      <c r="D34" s="54">
        <v>3</v>
      </c>
      <c r="E34" s="65"/>
      <c r="F34" s="55">
        <v>50</v>
      </c>
      <c r="G34" s="53"/>
      <c r="H34" s="57"/>
      <c r="I34" s="56"/>
      <c r="J34" s="56"/>
      <c r="K34" s="36" t="s">
        <v>65</v>
      </c>
      <c r="L34" s="83">
        <v>34</v>
      </c>
      <c r="M34" s="83"/>
      <c r="N34" s="63"/>
      <c r="O34" s="86" t="s">
        <v>293</v>
      </c>
      <c r="P34">
        <v>1</v>
      </c>
      <c r="Q34" s="85" t="str">
        <f>REPLACE(INDEX(GroupVertices[Group],MATCH(Edges[[#This Row],[Vertex 1]],GroupVertices[Vertex],0)),1,1,"")</f>
        <v>5</v>
      </c>
      <c r="R34" s="85" t="str">
        <f>REPLACE(INDEX(GroupVertices[Group],MATCH(Edges[[#This Row],[Vertex 2]],GroupVertices[Vertex],0)),1,1,"")</f>
        <v>5</v>
      </c>
      <c r="S34" s="36"/>
      <c r="T34" s="36"/>
      <c r="U34" s="36"/>
      <c r="V34" s="36"/>
      <c r="W34" s="36"/>
      <c r="X34" s="36"/>
      <c r="Y34" s="36"/>
      <c r="Z34" s="36"/>
      <c r="AA34" s="36"/>
    </row>
    <row r="35" spans="1:27" ht="45">
      <c r="A35" s="84" t="s">
        <v>200</v>
      </c>
      <c r="B35" s="84" t="s">
        <v>237</v>
      </c>
      <c r="C35" s="53" t="s">
        <v>1358</v>
      </c>
      <c r="D35" s="54">
        <v>3</v>
      </c>
      <c r="E35" s="65"/>
      <c r="F35" s="55">
        <v>50</v>
      </c>
      <c r="G35" s="53"/>
      <c r="H35" s="57"/>
      <c r="I35" s="56"/>
      <c r="J35" s="56"/>
      <c r="K35" s="36" t="s">
        <v>65</v>
      </c>
      <c r="L35" s="83">
        <v>35</v>
      </c>
      <c r="M35" s="83"/>
      <c r="N35" s="63"/>
      <c r="O35" s="86" t="s">
        <v>293</v>
      </c>
      <c r="P35">
        <v>1</v>
      </c>
      <c r="Q35" s="85" t="str">
        <f>REPLACE(INDEX(GroupVertices[Group],MATCH(Edges[[#This Row],[Vertex 1]],GroupVertices[Vertex],0)),1,1,"")</f>
        <v>5</v>
      </c>
      <c r="R35" s="85" t="str">
        <f>REPLACE(INDEX(GroupVertices[Group],MATCH(Edges[[#This Row],[Vertex 2]],GroupVertices[Vertex],0)),1,1,"")</f>
        <v>5</v>
      </c>
      <c r="S35" s="36"/>
      <c r="T35" s="36"/>
      <c r="U35" s="36"/>
      <c r="V35" s="36"/>
      <c r="W35" s="36"/>
      <c r="X35" s="36"/>
      <c r="Y35" s="36"/>
      <c r="Z35" s="36"/>
      <c r="AA35" s="36"/>
    </row>
    <row r="36" spans="1:27" ht="45">
      <c r="A36" s="84" t="s">
        <v>200</v>
      </c>
      <c r="B36" s="84" t="s">
        <v>238</v>
      </c>
      <c r="C36" s="53" t="s">
        <v>1358</v>
      </c>
      <c r="D36" s="54">
        <v>3</v>
      </c>
      <c r="E36" s="65"/>
      <c r="F36" s="55">
        <v>50</v>
      </c>
      <c r="G36" s="53"/>
      <c r="H36" s="57"/>
      <c r="I36" s="56"/>
      <c r="J36" s="56"/>
      <c r="K36" s="36" t="s">
        <v>65</v>
      </c>
      <c r="L36" s="83">
        <v>36</v>
      </c>
      <c r="M36" s="83"/>
      <c r="N36" s="63"/>
      <c r="O36" s="86" t="s">
        <v>293</v>
      </c>
      <c r="P36">
        <v>1</v>
      </c>
      <c r="Q36" s="85" t="str">
        <f>REPLACE(INDEX(GroupVertices[Group],MATCH(Edges[[#This Row],[Vertex 1]],GroupVertices[Vertex],0)),1,1,"")</f>
        <v>5</v>
      </c>
      <c r="R36" s="85" t="str">
        <f>REPLACE(INDEX(GroupVertices[Group],MATCH(Edges[[#This Row],[Vertex 2]],GroupVertices[Vertex],0)),1,1,"")</f>
        <v>5</v>
      </c>
      <c r="S36" s="36"/>
      <c r="T36" s="36"/>
      <c r="U36" s="36"/>
      <c r="V36" s="36"/>
      <c r="W36" s="36"/>
      <c r="X36" s="36"/>
      <c r="Y36" s="36"/>
      <c r="Z36" s="36"/>
      <c r="AA36" s="36"/>
    </row>
    <row r="37" spans="1:27" ht="45">
      <c r="A37" s="84" t="s">
        <v>200</v>
      </c>
      <c r="B37" s="84" t="s">
        <v>239</v>
      </c>
      <c r="C37" s="53" t="s">
        <v>1358</v>
      </c>
      <c r="D37" s="54">
        <v>3</v>
      </c>
      <c r="E37" s="65"/>
      <c r="F37" s="55">
        <v>50</v>
      </c>
      <c r="G37" s="53"/>
      <c r="H37" s="57"/>
      <c r="I37" s="56"/>
      <c r="J37" s="56"/>
      <c r="K37" s="36" t="s">
        <v>65</v>
      </c>
      <c r="L37" s="83">
        <v>37</v>
      </c>
      <c r="M37" s="83"/>
      <c r="N37" s="63"/>
      <c r="O37" s="86" t="s">
        <v>293</v>
      </c>
      <c r="P37">
        <v>1</v>
      </c>
      <c r="Q37" s="85" t="str">
        <f>REPLACE(INDEX(GroupVertices[Group],MATCH(Edges[[#This Row],[Vertex 1]],GroupVertices[Vertex],0)),1,1,"")</f>
        <v>5</v>
      </c>
      <c r="R37" s="85" t="str">
        <f>REPLACE(INDEX(GroupVertices[Group],MATCH(Edges[[#This Row],[Vertex 2]],GroupVertices[Vertex],0)),1,1,"")</f>
        <v>5</v>
      </c>
      <c r="S37" s="36"/>
      <c r="T37" s="36"/>
      <c r="U37" s="36"/>
      <c r="V37" s="36"/>
      <c r="W37" s="36"/>
      <c r="X37" s="36"/>
      <c r="Y37" s="36"/>
      <c r="Z37" s="36"/>
      <c r="AA37" s="36"/>
    </row>
    <row r="38" spans="1:27" ht="45">
      <c r="A38" s="84" t="s">
        <v>200</v>
      </c>
      <c r="B38" s="84" t="s">
        <v>240</v>
      </c>
      <c r="C38" s="53" t="s">
        <v>1358</v>
      </c>
      <c r="D38" s="54">
        <v>3</v>
      </c>
      <c r="E38" s="65"/>
      <c r="F38" s="55">
        <v>50</v>
      </c>
      <c r="G38" s="53"/>
      <c r="H38" s="57"/>
      <c r="I38" s="56"/>
      <c r="J38" s="56"/>
      <c r="K38" s="36" t="s">
        <v>65</v>
      </c>
      <c r="L38" s="83">
        <v>38</v>
      </c>
      <c r="M38" s="83"/>
      <c r="N38" s="63"/>
      <c r="O38" s="86" t="s">
        <v>293</v>
      </c>
      <c r="P38">
        <v>1</v>
      </c>
      <c r="Q38" s="85" t="str">
        <f>REPLACE(INDEX(GroupVertices[Group],MATCH(Edges[[#This Row],[Vertex 1]],GroupVertices[Vertex],0)),1,1,"")</f>
        <v>5</v>
      </c>
      <c r="R38" s="85" t="str">
        <f>REPLACE(INDEX(GroupVertices[Group],MATCH(Edges[[#This Row],[Vertex 2]],GroupVertices[Vertex],0)),1,1,"")</f>
        <v>5</v>
      </c>
      <c r="S38" s="36"/>
      <c r="T38" s="36"/>
      <c r="U38" s="36"/>
      <c r="V38" s="36"/>
      <c r="W38" s="36"/>
      <c r="X38" s="36"/>
      <c r="Y38" s="36"/>
      <c r="Z38" s="36"/>
      <c r="AA38" s="36"/>
    </row>
    <row r="39" spans="1:27" ht="45">
      <c r="A39" s="84" t="s">
        <v>200</v>
      </c>
      <c r="B39" s="84" t="s">
        <v>241</v>
      </c>
      <c r="C39" s="53" t="s">
        <v>1358</v>
      </c>
      <c r="D39" s="54">
        <v>3</v>
      </c>
      <c r="E39" s="65"/>
      <c r="F39" s="55">
        <v>50</v>
      </c>
      <c r="G39" s="53"/>
      <c r="H39" s="57"/>
      <c r="I39" s="56"/>
      <c r="J39" s="56"/>
      <c r="K39" s="36" t="s">
        <v>65</v>
      </c>
      <c r="L39" s="83">
        <v>39</v>
      </c>
      <c r="M39" s="83"/>
      <c r="N39" s="63"/>
      <c r="O39" s="86" t="s">
        <v>293</v>
      </c>
      <c r="P39">
        <v>1</v>
      </c>
      <c r="Q39" s="85" t="str">
        <f>REPLACE(INDEX(GroupVertices[Group],MATCH(Edges[[#This Row],[Vertex 1]],GroupVertices[Vertex],0)),1,1,"")</f>
        <v>5</v>
      </c>
      <c r="R39" s="85" t="str">
        <f>REPLACE(INDEX(GroupVertices[Group],MATCH(Edges[[#This Row],[Vertex 2]],GroupVertices[Vertex],0)),1,1,"")</f>
        <v>3</v>
      </c>
      <c r="S39" s="36"/>
      <c r="T39" s="36"/>
      <c r="U39" s="36"/>
      <c r="V39" s="36"/>
      <c r="W39" s="36"/>
      <c r="X39" s="36"/>
      <c r="Y39" s="36"/>
      <c r="Z39" s="36"/>
      <c r="AA39" s="36"/>
    </row>
    <row r="40" spans="1:27" ht="45">
      <c r="A40" s="84" t="s">
        <v>200</v>
      </c>
      <c r="B40" s="84" t="s">
        <v>222</v>
      </c>
      <c r="C40" s="53" t="s">
        <v>1358</v>
      </c>
      <c r="D40" s="54">
        <v>3</v>
      </c>
      <c r="E40" s="65"/>
      <c r="F40" s="55">
        <v>50</v>
      </c>
      <c r="G40" s="53"/>
      <c r="H40" s="57"/>
      <c r="I40" s="56"/>
      <c r="J40" s="56"/>
      <c r="K40" s="36" t="s">
        <v>65</v>
      </c>
      <c r="L40" s="83">
        <v>40</v>
      </c>
      <c r="M40" s="83"/>
      <c r="N40" s="63"/>
      <c r="O40" s="86" t="s">
        <v>293</v>
      </c>
      <c r="P40">
        <v>1</v>
      </c>
      <c r="Q40" s="85" t="str">
        <f>REPLACE(INDEX(GroupVertices[Group],MATCH(Edges[[#This Row],[Vertex 1]],GroupVertices[Vertex],0)),1,1,"")</f>
        <v>5</v>
      </c>
      <c r="R40" s="85" t="str">
        <f>REPLACE(INDEX(GroupVertices[Group],MATCH(Edges[[#This Row],[Vertex 2]],GroupVertices[Vertex],0)),1,1,"")</f>
        <v>5</v>
      </c>
      <c r="S40" s="36"/>
      <c r="T40" s="36"/>
      <c r="U40" s="36"/>
      <c r="V40" s="36"/>
      <c r="W40" s="36"/>
      <c r="X40" s="36"/>
      <c r="Y40" s="36"/>
      <c r="Z40" s="36"/>
      <c r="AA40" s="36"/>
    </row>
    <row r="41" spans="1:27" ht="45">
      <c r="A41" s="84" t="s">
        <v>201</v>
      </c>
      <c r="B41" s="84" t="s">
        <v>242</v>
      </c>
      <c r="C41" s="53" t="s">
        <v>1358</v>
      </c>
      <c r="D41" s="54">
        <v>3</v>
      </c>
      <c r="E41" s="65"/>
      <c r="F41" s="55">
        <v>50</v>
      </c>
      <c r="G41" s="53"/>
      <c r="H41" s="57"/>
      <c r="I41" s="56"/>
      <c r="J41" s="56"/>
      <c r="K41" s="36" t="s">
        <v>65</v>
      </c>
      <c r="L41" s="83">
        <v>41</v>
      </c>
      <c r="M41" s="83"/>
      <c r="N41" s="63"/>
      <c r="O41" s="86" t="s">
        <v>293</v>
      </c>
      <c r="P41">
        <v>1</v>
      </c>
      <c r="Q41" s="85" t="str">
        <f>REPLACE(INDEX(GroupVertices[Group],MATCH(Edges[[#This Row],[Vertex 1]],GroupVertices[Vertex],0)),1,1,"")</f>
        <v>7</v>
      </c>
      <c r="R41" s="85" t="str">
        <f>REPLACE(INDEX(GroupVertices[Group],MATCH(Edges[[#This Row],[Vertex 2]],GroupVertices[Vertex],0)),1,1,"")</f>
        <v>7</v>
      </c>
      <c r="S41" s="36"/>
      <c r="T41" s="36"/>
      <c r="U41" s="36"/>
      <c r="V41" s="36"/>
      <c r="W41" s="36"/>
      <c r="X41" s="36"/>
      <c r="Y41" s="36"/>
      <c r="Z41" s="36"/>
      <c r="AA41" s="36"/>
    </row>
    <row r="42" spans="1:27" ht="45">
      <c r="A42" s="84" t="s">
        <v>201</v>
      </c>
      <c r="B42" s="84" t="s">
        <v>232</v>
      </c>
      <c r="C42" s="53" t="s">
        <v>1358</v>
      </c>
      <c r="D42" s="54">
        <v>3</v>
      </c>
      <c r="E42" s="65"/>
      <c r="F42" s="55">
        <v>50</v>
      </c>
      <c r="G42" s="53"/>
      <c r="H42" s="57"/>
      <c r="I42" s="56"/>
      <c r="J42" s="56"/>
      <c r="K42" s="36" t="s">
        <v>65</v>
      </c>
      <c r="L42" s="83">
        <v>42</v>
      </c>
      <c r="M42" s="83"/>
      <c r="N42" s="63"/>
      <c r="O42" s="86" t="s">
        <v>293</v>
      </c>
      <c r="P42">
        <v>1</v>
      </c>
      <c r="Q42" s="85" t="str">
        <f>REPLACE(INDEX(GroupVertices[Group],MATCH(Edges[[#This Row],[Vertex 1]],GroupVertices[Vertex],0)),1,1,"")</f>
        <v>7</v>
      </c>
      <c r="R42" s="85" t="str">
        <f>REPLACE(INDEX(GroupVertices[Group],MATCH(Edges[[#This Row],[Vertex 2]],GroupVertices[Vertex],0)),1,1,"")</f>
        <v>7</v>
      </c>
      <c r="S42" s="36"/>
      <c r="T42" s="36"/>
      <c r="U42" s="36"/>
      <c r="V42" s="36"/>
      <c r="W42" s="36"/>
      <c r="X42" s="36"/>
      <c r="Y42" s="36"/>
      <c r="Z42" s="36"/>
      <c r="AA42" s="36"/>
    </row>
    <row r="43" spans="1:27" ht="45">
      <c r="A43" s="84" t="s">
        <v>201</v>
      </c>
      <c r="B43" s="84" t="s">
        <v>243</v>
      </c>
      <c r="C43" s="53" t="s">
        <v>1358</v>
      </c>
      <c r="D43" s="54">
        <v>3</v>
      </c>
      <c r="E43" s="65"/>
      <c r="F43" s="55">
        <v>50</v>
      </c>
      <c r="G43" s="53"/>
      <c r="H43" s="57"/>
      <c r="I43" s="56"/>
      <c r="J43" s="56"/>
      <c r="K43" s="36" t="s">
        <v>65</v>
      </c>
      <c r="L43" s="83">
        <v>43</v>
      </c>
      <c r="M43" s="83"/>
      <c r="N43" s="63"/>
      <c r="O43" s="86" t="s">
        <v>293</v>
      </c>
      <c r="P43">
        <v>1</v>
      </c>
      <c r="Q43" s="85" t="str">
        <f>REPLACE(INDEX(GroupVertices[Group],MATCH(Edges[[#This Row],[Vertex 1]],GroupVertices[Vertex],0)),1,1,"")</f>
        <v>7</v>
      </c>
      <c r="R43" s="85" t="str">
        <f>REPLACE(INDEX(GroupVertices[Group],MATCH(Edges[[#This Row],[Vertex 2]],GroupVertices[Vertex],0)),1,1,"")</f>
        <v>7</v>
      </c>
      <c r="S43" s="36"/>
      <c r="T43" s="36"/>
      <c r="U43" s="36"/>
      <c r="V43" s="36"/>
      <c r="W43" s="36"/>
      <c r="X43" s="36"/>
      <c r="Y43" s="36"/>
      <c r="Z43" s="36"/>
      <c r="AA43" s="36"/>
    </row>
    <row r="44" spans="1:27" ht="45">
      <c r="A44" s="84" t="s">
        <v>201</v>
      </c>
      <c r="B44" s="84" t="s">
        <v>244</v>
      </c>
      <c r="C44" s="53" t="s">
        <v>1358</v>
      </c>
      <c r="D44" s="54">
        <v>3</v>
      </c>
      <c r="E44" s="65"/>
      <c r="F44" s="55">
        <v>50</v>
      </c>
      <c r="G44" s="53"/>
      <c r="H44" s="57"/>
      <c r="I44" s="56"/>
      <c r="J44" s="56"/>
      <c r="K44" s="36" t="s">
        <v>65</v>
      </c>
      <c r="L44" s="83">
        <v>44</v>
      </c>
      <c r="M44" s="83"/>
      <c r="N44" s="63"/>
      <c r="O44" s="86" t="s">
        <v>293</v>
      </c>
      <c r="P44">
        <v>1</v>
      </c>
      <c r="Q44" s="85" t="str">
        <f>REPLACE(INDEX(GroupVertices[Group],MATCH(Edges[[#This Row],[Vertex 1]],GroupVertices[Vertex],0)),1,1,"")</f>
        <v>7</v>
      </c>
      <c r="R44" s="85" t="str">
        <f>REPLACE(INDEX(GroupVertices[Group],MATCH(Edges[[#This Row],[Vertex 2]],GroupVertices[Vertex],0)),1,1,"")</f>
        <v>7</v>
      </c>
      <c r="S44" s="36"/>
      <c r="T44" s="36"/>
      <c r="U44" s="36"/>
      <c r="V44" s="36"/>
      <c r="W44" s="36"/>
      <c r="X44" s="36"/>
      <c r="Y44" s="36"/>
      <c r="Z44" s="36"/>
      <c r="AA44" s="36"/>
    </row>
    <row r="45" spans="1:27" ht="45">
      <c r="A45" s="84" t="s">
        <v>201</v>
      </c>
      <c r="B45" s="84" t="s">
        <v>245</v>
      </c>
      <c r="C45" s="53" t="s">
        <v>1358</v>
      </c>
      <c r="D45" s="54">
        <v>3</v>
      </c>
      <c r="E45" s="65"/>
      <c r="F45" s="55">
        <v>50</v>
      </c>
      <c r="G45" s="53"/>
      <c r="H45" s="57"/>
      <c r="I45" s="56"/>
      <c r="J45" s="56"/>
      <c r="K45" s="36" t="s">
        <v>65</v>
      </c>
      <c r="L45" s="83">
        <v>45</v>
      </c>
      <c r="M45" s="83"/>
      <c r="N45" s="63"/>
      <c r="O45" s="86" t="s">
        <v>293</v>
      </c>
      <c r="P45">
        <v>1</v>
      </c>
      <c r="Q45" s="85" t="str">
        <f>REPLACE(INDEX(GroupVertices[Group],MATCH(Edges[[#This Row],[Vertex 1]],GroupVertices[Vertex],0)),1,1,"")</f>
        <v>7</v>
      </c>
      <c r="R45" s="85" t="str">
        <f>REPLACE(INDEX(GroupVertices[Group],MATCH(Edges[[#This Row],[Vertex 2]],GroupVertices[Vertex],0)),1,1,"")</f>
        <v>7</v>
      </c>
      <c r="S45" s="36"/>
      <c r="T45" s="36"/>
      <c r="U45" s="36"/>
      <c r="V45" s="36"/>
      <c r="W45" s="36"/>
      <c r="X45" s="36"/>
      <c r="Y45" s="36"/>
      <c r="Z45" s="36"/>
      <c r="AA45" s="36"/>
    </row>
    <row r="46" spans="1:27" ht="45">
      <c r="A46" s="84" t="s">
        <v>201</v>
      </c>
      <c r="B46" s="84" t="s">
        <v>246</v>
      </c>
      <c r="C46" s="53" t="s">
        <v>1358</v>
      </c>
      <c r="D46" s="54">
        <v>3</v>
      </c>
      <c r="E46" s="65"/>
      <c r="F46" s="55">
        <v>50</v>
      </c>
      <c r="G46" s="53"/>
      <c r="H46" s="57"/>
      <c r="I46" s="56"/>
      <c r="J46" s="56"/>
      <c r="K46" s="36" t="s">
        <v>65</v>
      </c>
      <c r="L46" s="83">
        <v>46</v>
      </c>
      <c r="M46" s="83"/>
      <c r="N46" s="63"/>
      <c r="O46" s="86" t="s">
        <v>293</v>
      </c>
      <c r="P46">
        <v>1</v>
      </c>
      <c r="Q46" s="85" t="str">
        <f>REPLACE(INDEX(GroupVertices[Group],MATCH(Edges[[#This Row],[Vertex 1]],GroupVertices[Vertex],0)),1,1,"")</f>
        <v>7</v>
      </c>
      <c r="R46" s="85" t="str">
        <f>REPLACE(INDEX(GroupVertices[Group],MATCH(Edges[[#This Row],[Vertex 2]],GroupVertices[Vertex],0)),1,1,"")</f>
        <v>7</v>
      </c>
      <c r="S46" s="36"/>
      <c r="T46" s="36"/>
      <c r="U46" s="36"/>
      <c r="V46" s="36"/>
      <c r="W46" s="36"/>
      <c r="X46" s="36"/>
      <c r="Y46" s="36"/>
      <c r="Z46" s="36"/>
      <c r="AA46" s="36"/>
    </row>
    <row r="47" spans="1:27" ht="45">
      <c r="A47" s="84" t="s">
        <v>201</v>
      </c>
      <c r="B47" s="84" t="s">
        <v>247</v>
      </c>
      <c r="C47" s="53" t="s">
        <v>1358</v>
      </c>
      <c r="D47" s="54">
        <v>3</v>
      </c>
      <c r="E47" s="65"/>
      <c r="F47" s="55">
        <v>50</v>
      </c>
      <c r="G47" s="53"/>
      <c r="H47" s="57"/>
      <c r="I47" s="56"/>
      <c r="J47" s="56"/>
      <c r="K47" s="36" t="s">
        <v>65</v>
      </c>
      <c r="L47" s="83">
        <v>47</v>
      </c>
      <c r="M47" s="83"/>
      <c r="N47" s="63"/>
      <c r="O47" s="86" t="s">
        <v>293</v>
      </c>
      <c r="P47">
        <v>1</v>
      </c>
      <c r="Q47" s="85" t="str">
        <f>REPLACE(INDEX(GroupVertices[Group],MATCH(Edges[[#This Row],[Vertex 1]],GroupVertices[Vertex],0)),1,1,"")</f>
        <v>7</v>
      </c>
      <c r="R47" s="85" t="str">
        <f>REPLACE(INDEX(GroupVertices[Group],MATCH(Edges[[#This Row],[Vertex 2]],GroupVertices[Vertex],0)),1,1,"")</f>
        <v>7</v>
      </c>
      <c r="S47" s="36"/>
      <c r="T47" s="36"/>
      <c r="U47" s="36"/>
      <c r="V47" s="36"/>
      <c r="W47" s="36"/>
      <c r="X47" s="36"/>
      <c r="Y47" s="36"/>
      <c r="Z47" s="36"/>
      <c r="AA47" s="36"/>
    </row>
    <row r="48" spans="1:27" ht="45">
      <c r="A48" s="84" t="s">
        <v>201</v>
      </c>
      <c r="B48" s="84" t="s">
        <v>248</v>
      </c>
      <c r="C48" s="53" t="s">
        <v>1358</v>
      </c>
      <c r="D48" s="54">
        <v>3</v>
      </c>
      <c r="E48" s="65"/>
      <c r="F48" s="55">
        <v>50</v>
      </c>
      <c r="G48" s="53"/>
      <c r="H48" s="57"/>
      <c r="I48" s="56"/>
      <c r="J48" s="56"/>
      <c r="K48" s="36" t="s">
        <v>65</v>
      </c>
      <c r="L48" s="83">
        <v>48</v>
      </c>
      <c r="M48" s="83"/>
      <c r="N48" s="63"/>
      <c r="O48" s="86" t="s">
        <v>293</v>
      </c>
      <c r="P48">
        <v>1</v>
      </c>
      <c r="Q48" s="85" t="str">
        <f>REPLACE(INDEX(GroupVertices[Group],MATCH(Edges[[#This Row],[Vertex 1]],GroupVertices[Vertex],0)),1,1,"")</f>
        <v>7</v>
      </c>
      <c r="R48" s="85" t="str">
        <f>REPLACE(INDEX(GroupVertices[Group],MATCH(Edges[[#This Row],[Vertex 2]],GroupVertices[Vertex],0)),1,1,"")</f>
        <v>7</v>
      </c>
      <c r="S48" s="36"/>
      <c r="T48" s="36"/>
      <c r="U48" s="36"/>
      <c r="V48" s="36"/>
      <c r="W48" s="36"/>
      <c r="X48" s="36"/>
      <c r="Y48" s="36"/>
      <c r="Z48" s="36"/>
      <c r="AA48" s="36"/>
    </row>
    <row r="49" spans="1:27" ht="45">
      <c r="A49" s="84" t="s">
        <v>201</v>
      </c>
      <c r="B49" s="84" t="s">
        <v>221</v>
      </c>
      <c r="C49" s="53" t="s">
        <v>1358</v>
      </c>
      <c r="D49" s="54">
        <v>3</v>
      </c>
      <c r="E49" s="65"/>
      <c r="F49" s="55">
        <v>50</v>
      </c>
      <c r="G49" s="53"/>
      <c r="H49" s="57"/>
      <c r="I49" s="56"/>
      <c r="J49" s="56"/>
      <c r="K49" s="36" t="s">
        <v>65</v>
      </c>
      <c r="L49" s="83">
        <v>49</v>
      </c>
      <c r="M49" s="83"/>
      <c r="N49" s="63"/>
      <c r="O49" s="86" t="s">
        <v>293</v>
      </c>
      <c r="P49">
        <v>1</v>
      </c>
      <c r="Q49" s="85" t="str">
        <f>REPLACE(INDEX(GroupVertices[Group],MATCH(Edges[[#This Row],[Vertex 1]],GroupVertices[Vertex],0)),1,1,"")</f>
        <v>7</v>
      </c>
      <c r="R49" s="85" t="str">
        <f>REPLACE(INDEX(GroupVertices[Group],MATCH(Edges[[#This Row],[Vertex 2]],GroupVertices[Vertex],0)),1,1,"")</f>
        <v>6</v>
      </c>
      <c r="S49" s="36"/>
      <c r="T49" s="36"/>
      <c r="U49" s="36"/>
      <c r="V49" s="36"/>
      <c r="W49" s="36"/>
      <c r="X49" s="36"/>
      <c r="Y49" s="36"/>
      <c r="Z49" s="36"/>
      <c r="AA49" s="36"/>
    </row>
    <row r="50" spans="1:27" ht="45">
      <c r="A50" s="84" t="s">
        <v>202</v>
      </c>
      <c r="B50" s="84" t="s">
        <v>249</v>
      </c>
      <c r="C50" s="53" t="s">
        <v>1358</v>
      </c>
      <c r="D50" s="54">
        <v>3</v>
      </c>
      <c r="E50" s="65"/>
      <c r="F50" s="55">
        <v>50</v>
      </c>
      <c r="G50" s="53"/>
      <c r="H50" s="57"/>
      <c r="I50" s="56"/>
      <c r="J50" s="56"/>
      <c r="K50" s="36" t="s">
        <v>65</v>
      </c>
      <c r="L50" s="83">
        <v>50</v>
      </c>
      <c r="M50" s="83"/>
      <c r="N50" s="63"/>
      <c r="O50" s="86" t="s">
        <v>293</v>
      </c>
      <c r="P50">
        <v>1</v>
      </c>
      <c r="Q50" s="85" t="str">
        <f>REPLACE(INDEX(GroupVertices[Group],MATCH(Edges[[#This Row],[Vertex 1]],GroupVertices[Vertex],0)),1,1,"")</f>
        <v>1</v>
      </c>
      <c r="R50" s="85" t="str">
        <f>REPLACE(INDEX(GroupVertices[Group],MATCH(Edges[[#This Row],[Vertex 2]],GroupVertices[Vertex],0)),1,1,"")</f>
        <v>1</v>
      </c>
      <c r="S50" s="36"/>
      <c r="T50" s="36"/>
      <c r="U50" s="36"/>
      <c r="V50" s="36"/>
      <c r="W50" s="36"/>
      <c r="X50" s="36"/>
      <c r="Y50" s="36"/>
      <c r="Z50" s="36"/>
      <c r="AA50" s="36"/>
    </row>
    <row r="51" spans="1:27" ht="45">
      <c r="A51" s="84" t="s">
        <v>197</v>
      </c>
      <c r="B51" s="84" t="s">
        <v>250</v>
      </c>
      <c r="C51" s="53" t="s">
        <v>1358</v>
      </c>
      <c r="D51" s="54">
        <v>3</v>
      </c>
      <c r="E51" s="65"/>
      <c r="F51" s="55">
        <v>50</v>
      </c>
      <c r="G51" s="53"/>
      <c r="H51" s="57"/>
      <c r="I51" s="56"/>
      <c r="J51" s="56"/>
      <c r="K51" s="36" t="s">
        <v>65</v>
      </c>
      <c r="L51" s="83">
        <v>51</v>
      </c>
      <c r="M51" s="83"/>
      <c r="N51" s="63"/>
      <c r="O51" s="86" t="s">
        <v>293</v>
      </c>
      <c r="P51">
        <v>1</v>
      </c>
      <c r="Q51" s="85" t="str">
        <f>REPLACE(INDEX(GroupVertices[Group],MATCH(Edges[[#This Row],[Vertex 1]],GroupVertices[Vertex],0)),1,1,"")</f>
        <v>1</v>
      </c>
      <c r="R51" s="85" t="str">
        <f>REPLACE(INDEX(GroupVertices[Group],MATCH(Edges[[#This Row],[Vertex 2]],GroupVertices[Vertex],0)),1,1,"")</f>
        <v>1</v>
      </c>
      <c r="S51" s="36"/>
      <c r="T51" s="36"/>
      <c r="U51" s="36"/>
      <c r="V51" s="36"/>
      <c r="W51" s="36"/>
      <c r="X51" s="36"/>
      <c r="Y51" s="36"/>
      <c r="Z51" s="36"/>
      <c r="AA51" s="36"/>
    </row>
    <row r="52" spans="1:27" ht="45">
      <c r="A52" s="84" t="s">
        <v>197</v>
      </c>
      <c r="B52" s="84" t="s">
        <v>202</v>
      </c>
      <c r="C52" s="53" t="s">
        <v>1358</v>
      </c>
      <c r="D52" s="54">
        <v>3</v>
      </c>
      <c r="E52" s="65"/>
      <c r="F52" s="55">
        <v>50</v>
      </c>
      <c r="G52" s="53"/>
      <c r="H52" s="57"/>
      <c r="I52" s="56"/>
      <c r="J52" s="56"/>
      <c r="K52" s="36" t="s">
        <v>66</v>
      </c>
      <c r="L52" s="83">
        <v>52</v>
      </c>
      <c r="M52" s="83"/>
      <c r="N52" s="63"/>
      <c r="O52" s="86" t="s">
        <v>293</v>
      </c>
      <c r="P52">
        <v>1</v>
      </c>
      <c r="Q52" s="85" t="str">
        <f>REPLACE(INDEX(GroupVertices[Group],MATCH(Edges[[#This Row],[Vertex 1]],GroupVertices[Vertex],0)),1,1,"")</f>
        <v>1</v>
      </c>
      <c r="R52" s="85" t="str">
        <f>REPLACE(INDEX(GroupVertices[Group],MATCH(Edges[[#This Row],[Vertex 2]],GroupVertices[Vertex],0)),1,1,"")</f>
        <v>1</v>
      </c>
      <c r="S52" s="36"/>
      <c r="T52" s="36"/>
      <c r="U52" s="36"/>
      <c r="V52" s="36"/>
      <c r="W52" s="36"/>
      <c r="X52" s="36"/>
      <c r="Y52" s="36"/>
      <c r="Z52" s="36"/>
      <c r="AA52" s="36"/>
    </row>
    <row r="53" spans="1:27" ht="45">
      <c r="A53" s="84" t="s">
        <v>202</v>
      </c>
      <c r="B53" s="84" t="s">
        <v>197</v>
      </c>
      <c r="C53" s="53" t="s">
        <v>1358</v>
      </c>
      <c r="D53" s="54">
        <v>3</v>
      </c>
      <c r="E53" s="65"/>
      <c r="F53" s="55">
        <v>50</v>
      </c>
      <c r="G53" s="53"/>
      <c r="H53" s="57"/>
      <c r="I53" s="56"/>
      <c r="J53" s="56"/>
      <c r="K53" s="36" t="s">
        <v>66</v>
      </c>
      <c r="L53" s="83">
        <v>53</v>
      </c>
      <c r="M53" s="83"/>
      <c r="N53" s="63"/>
      <c r="O53" s="86" t="s">
        <v>293</v>
      </c>
      <c r="P53">
        <v>1</v>
      </c>
      <c r="Q53" s="85" t="str">
        <f>REPLACE(INDEX(GroupVertices[Group],MATCH(Edges[[#This Row],[Vertex 1]],GroupVertices[Vertex],0)),1,1,"")</f>
        <v>1</v>
      </c>
      <c r="R53" s="85" t="str">
        <f>REPLACE(INDEX(GroupVertices[Group],MATCH(Edges[[#This Row],[Vertex 2]],GroupVertices[Vertex],0)),1,1,"")</f>
        <v>1</v>
      </c>
      <c r="S53" s="36"/>
      <c r="T53" s="36"/>
      <c r="U53" s="36"/>
      <c r="V53" s="36"/>
      <c r="W53" s="36"/>
      <c r="X53" s="36"/>
      <c r="Y53" s="36"/>
      <c r="Z53" s="36"/>
      <c r="AA53" s="36"/>
    </row>
    <row r="54" spans="1:27" ht="45">
      <c r="A54" s="84" t="s">
        <v>202</v>
      </c>
      <c r="B54" s="84" t="s">
        <v>250</v>
      </c>
      <c r="C54" s="53" t="s">
        <v>1358</v>
      </c>
      <c r="D54" s="54">
        <v>3</v>
      </c>
      <c r="E54" s="65"/>
      <c r="F54" s="55">
        <v>50</v>
      </c>
      <c r="G54" s="53"/>
      <c r="H54" s="57"/>
      <c r="I54" s="56"/>
      <c r="J54" s="56"/>
      <c r="K54" s="36" t="s">
        <v>65</v>
      </c>
      <c r="L54" s="83">
        <v>54</v>
      </c>
      <c r="M54" s="83"/>
      <c r="N54" s="63"/>
      <c r="O54" s="86" t="s">
        <v>293</v>
      </c>
      <c r="P54">
        <v>1</v>
      </c>
      <c r="Q54" s="85" t="str">
        <f>REPLACE(INDEX(GroupVertices[Group],MATCH(Edges[[#This Row],[Vertex 1]],GroupVertices[Vertex],0)),1,1,"")</f>
        <v>1</v>
      </c>
      <c r="R54" s="85" t="str">
        <f>REPLACE(INDEX(GroupVertices[Group],MATCH(Edges[[#This Row],[Vertex 2]],GroupVertices[Vertex],0)),1,1,"")</f>
        <v>1</v>
      </c>
      <c r="S54" s="36"/>
      <c r="T54" s="36"/>
      <c r="U54" s="36"/>
      <c r="V54" s="36"/>
      <c r="W54" s="36"/>
      <c r="X54" s="36"/>
      <c r="Y54" s="36"/>
      <c r="Z54" s="36"/>
      <c r="AA54" s="36"/>
    </row>
    <row r="55" spans="1:27" ht="45">
      <c r="A55" s="84" t="s">
        <v>202</v>
      </c>
      <c r="B55" s="84" t="s">
        <v>251</v>
      </c>
      <c r="C55" s="53" t="s">
        <v>1358</v>
      </c>
      <c r="D55" s="54">
        <v>3</v>
      </c>
      <c r="E55" s="65"/>
      <c r="F55" s="55">
        <v>50</v>
      </c>
      <c r="G55" s="53"/>
      <c r="H55" s="57"/>
      <c r="I55" s="56"/>
      <c r="J55" s="56"/>
      <c r="K55" s="36" t="s">
        <v>65</v>
      </c>
      <c r="L55" s="83">
        <v>55</v>
      </c>
      <c r="M55" s="83"/>
      <c r="N55" s="63"/>
      <c r="O55" s="86" t="s">
        <v>293</v>
      </c>
      <c r="P55">
        <v>1</v>
      </c>
      <c r="Q55" s="85" t="str">
        <f>REPLACE(INDEX(GroupVertices[Group],MATCH(Edges[[#This Row],[Vertex 1]],GroupVertices[Vertex],0)),1,1,"")</f>
        <v>1</v>
      </c>
      <c r="R55" s="85" t="str">
        <f>REPLACE(INDEX(GroupVertices[Group],MATCH(Edges[[#This Row],[Vertex 2]],GroupVertices[Vertex],0)),1,1,"")</f>
        <v>1</v>
      </c>
      <c r="S55" s="36"/>
      <c r="T55" s="36"/>
      <c r="U55" s="36"/>
      <c r="V55" s="36"/>
      <c r="W55" s="36"/>
      <c r="X55" s="36"/>
      <c r="Y55" s="36"/>
      <c r="Z55" s="36"/>
      <c r="AA55" s="36"/>
    </row>
    <row r="56" spans="1:27" ht="45">
      <c r="A56" s="84" t="s">
        <v>202</v>
      </c>
      <c r="B56" s="84" t="s">
        <v>252</v>
      </c>
      <c r="C56" s="53" t="s">
        <v>1358</v>
      </c>
      <c r="D56" s="54">
        <v>3</v>
      </c>
      <c r="E56" s="65"/>
      <c r="F56" s="55">
        <v>50</v>
      </c>
      <c r="G56" s="53"/>
      <c r="H56" s="57"/>
      <c r="I56" s="56"/>
      <c r="J56" s="56"/>
      <c r="K56" s="36" t="s">
        <v>65</v>
      </c>
      <c r="L56" s="83">
        <v>56</v>
      </c>
      <c r="M56" s="83"/>
      <c r="N56" s="63"/>
      <c r="O56" s="86" t="s">
        <v>293</v>
      </c>
      <c r="P56">
        <v>1</v>
      </c>
      <c r="Q56" s="85" t="str">
        <f>REPLACE(INDEX(GroupVertices[Group],MATCH(Edges[[#This Row],[Vertex 1]],GroupVertices[Vertex],0)),1,1,"")</f>
        <v>1</v>
      </c>
      <c r="R56" s="85" t="str">
        <f>REPLACE(INDEX(GroupVertices[Group],MATCH(Edges[[#This Row],[Vertex 2]],GroupVertices[Vertex],0)),1,1,"")</f>
        <v>1</v>
      </c>
      <c r="S56" s="36"/>
      <c r="T56" s="36"/>
      <c r="U56" s="36"/>
      <c r="V56" s="36"/>
      <c r="W56" s="36"/>
      <c r="X56" s="36"/>
      <c r="Y56" s="36"/>
      <c r="Z56" s="36"/>
      <c r="AA56" s="36"/>
    </row>
    <row r="57" spans="1:27" ht="45">
      <c r="A57" s="84" t="s">
        <v>202</v>
      </c>
      <c r="B57" s="84" t="s">
        <v>253</v>
      </c>
      <c r="C57" s="53" t="s">
        <v>1358</v>
      </c>
      <c r="D57" s="54">
        <v>3</v>
      </c>
      <c r="E57" s="65"/>
      <c r="F57" s="55">
        <v>50</v>
      </c>
      <c r="G57" s="53"/>
      <c r="H57" s="57"/>
      <c r="I57" s="56"/>
      <c r="J57" s="56"/>
      <c r="K57" s="36" t="s">
        <v>65</v>
      </c>
      <c r="L57" s="83">
        <v>57</v>
      </c>
      <c r="M57" s="83"/>
      <c r="N57" s="63"/>
      <c r="O57" s="86" t="s">
        <v>293</v>
      </c>
      <c r="P57">
        <v>1</v>
      </c>
      <c r="Q57" s="85" t="str">
        <f>REPLACE(INDEX(GroupVertices[Group],MATCH(Edges[[#This Row],[Vertex 1]],GroupVertices[Vertex],0)),1,1,"")</f>
        <v>1</v>
      </c>
      <c r="R57" s="85" t="str">
        <f>REPLACE(INDEX(GroupVertices[Group],MATCH(Edges[[#This Row],[Vertex 2]],GroupVertices[Vertex],0)),1,1,"")</f>
        <v>1</v>
      </c>
      <c r="S57" s="36"/>
      <c r="T57" s="36"/>
      <c r="U57" s="36"/>
      <c r="V57" s="36"/>
      <c r="W57" s="36"/>
      <c r="X57" s="36"/>
      <c r="Y57" s="36"/>
      <c r="Z57" s="36"/>
      <c r="AA57" s="36"/>
    </row>
    <row r="58" spans="1:27" ht="45">
      <c r="A58" s="84" t="s">
        <v>202</v>
      </c>
      <c r="B58" s="84" t="s">
        <v>254</v>
      </c>
      <c r="C58" s="53" t="s">
        <v>1358</v>
      </c>
      <c r="D58" s="54">
        <v>3</v>
      </c>
      <c r="E58" s="65"/>
      <c r="F58" s="55">
        <v>50</v>
      </c>
      <c r="G58" s="53"/>
      <c r="H58" s="57"/>
      <c r="I58" s="56"/>
      <c r="J58" s="56"/>
      <c r="K58" s="36" t="s">
        <v>65</v>
      </c>
      <c r="L58" s="83">
        <v>58</v>
      </c>
      <c r="M58" s="83"/>
      <c r="N58" s="63"/>
      <c r="O58" s="86" t="s">
        <v>293</v>
      </c>
      <c r="P58">
        <v>1</v>
      </c>
      <c r="Q58" s="85" t="str">
        <f>REPLACE(INDEX(GroupVertices[Group],MATCH(Edges[[#This Row],[Vertex 1]],GroupVertices[Vertex],0)),1,1,"")</f>
        <v>1</v>
      </c>
      <c r="R58" s="85" t="str">
        <f>REPLACE(INDEX(GroupVertices[Group],MATCH(Edges[[#This Row],[Vertex 2]],GroupVertices[Vertex],0)),1,1,"")</f>
        <v>1</v>
      </c>
      <c r="S58" s="36"/>
      <c r="T58" s="36"/>
      <c r="U58" s="36"/>
      <c r="V58" s="36"/>
      <c r="W58" s="36"/>
      <c r="X58" s="36"/>
      <c r="Y58" s="36"/>
      <c r="Z58" s="36"/>
      <c r="AA58" s="36"/>
    </row>
    <row r="59" spans="1:27" ht="45">
      <c r="A59" s="84" t="s">
        <v>202</v>
      </c>
      <c r="B59" s="84" t="s">
        <v>255</v>
      </c>
      <c r="C59" s="53" t="s">
        <v>1358</v>
      </c>
      <c r="D59" s="54">
        <v>3</v>
      </c>
      <c r="E59" s="65"/>
      <c r="F59" s="55">
        <v>50</v>
      </c>
      <c r="G59" s="53"/>
      <c r="H59" s="57"/>
      <c r="I59" s="56"/>
      <c r="J59" s="56"/>
      <c r="K59" s="36" t="s">
        <v>65</v>
      </c>
      <c r="L59" s="83">
        <v>59</v>
      </c>
      <c r="M59" s="83"/>
      <c r="N59" s="63"/>
      <c r="O59" s="86" t="s">
        <v>293</v>
      </c>
      <c r="P59">
        <v>1</v>
      </c>
      <c r="Q59" s="85" t="str">
        <f>REPLACE(INDEX(GroupVertices[Group],MATCH(Edges[[#This Row],[Vertex 1]],GroupVertices[Vertex],0)),1,1,"")</f>
        <v>1</v>
      </c>
      <c r="R59" s="85" t="str">
        <f>REPLACE(INDEX(GroupVertices[Group],MATCH(Edges[[#This Row],[Vertex 2]],GroupVertices[Vertex],0)),1,1,"")</f>
        <v>1</v>
      </c>
      <c r="S59" s="36"/>
      <c r="T59" s="36"/>
      <c r="U59" s="36"/>
      <c r="V59" s="36"/>
      <c r="W59" s="36"/>
      <c r="X59" s="36"/>
      <c r="Y59" s="36"/>
      <c r="Z59" s="36"/>
      <c r="AA59" s="36"/>
    </row>
    <row r="60" spans="1:27" ht="45">
      <c r="A60" s="84" t="s">
        <v>202</v>
      </c>
      <c r="B60" s="84" t="s">
        <v>256</v>
      </c>
      <c r="C60" s="53" t="s">
        <v>1358</v>
      </c>
      <c r="D60" s="54">
        <v>3</v>
      </c>
      <c r="E60" s="65"/>
      <c r="F60" s="55">
        <v>50</v>
      </c>
      <c r="G60" s="53"/>
      <c r="H60" s="57"/>
      <c r="I60" s="56"/>
      <c r="J60" s="56"/>
      <c r="K60" s="36" t="s">
        <v>65</v>
      </c>
      <c r="L60" s="83">
        <v>60</v>
      </c>
      <c r="M60" s="83"/>
      <c r="N60" s="63"/>
      <c r="O60" s="86" t="s">
        <v>293</v>
      </c>
      <c r="P60">
        <v>1</v>
      </c>
      <c r="Q60" s="85" t="str">
        <f>REPLACE(INDEX(GroupVertices[Group],MATCH(Edges[[#This Row],[Vertex 1]],GroupVertices[Vertex],0)),1,1,"")</f>
        <v>1</v>
      </c>
      <c r="R60" s="85" t="str">
        <f>REPLACE(INDEX(GroupVertices[Group],MATCH(Edges[[#This Row],[Vertex 2]],GroupVertices[Vertex],0)),1,1,"")</f>
        <v>1</v>
      </c>
      <c r="S60" s="36"/>
      <c r="T60" s="36"/>
      <c r="U60" s="36"/>
      <c r="V60" s="36"/>
      <c r="W60" s="36"/>
      <c r="X60" s="36"/>
      <c r="Y60" s="36"/>
      <c r="Z60" s="36"/>
      <c r="AA60" s="36"/>
    </row>
    <row r="61" spans="1:27" ht="45">
      <c r="A61" s="84" t="s">
        <v>202</v>
      </c>
      <c r="B61" s="84" t="s">
        <v>257</v>
      </c>
      <c r="C61" s="53" t="s">
        <v>1358</v>
      </c>
      <c r="D61" s="54">
        <v>3</v>
      </c>
      <c r="E61" s="65"/>
      <c r="F61" s="55">
        <v>50</v>
      </c>
      <c r="G61" s="53"/>
      <c r="H61" s="57"/>
      <c r="I61" s="56"/>
      <c r="J61" s="56"/>
      <c r="K61" s="36" t="s">
        <v>65</v>
      </c>
      <c r="L61" s="83">
        <v>61</v>
      </c>
      <c r="M61" s="83"/>
      <c r="N61" s="63"/>
      <c r="O61" s="86" t="s">
        <v>293</v>
      </c>
      <c r="P61">
        <v>1</v>
      </c>
      <c r="Q61" s="85" t="str">
        <f>REPLACE(INDEX(GroupVertices[Group],MATCH(Edges[[#This Row],[Vertex 1]],GroupVertices[Vertex],0)),1,1,"")</f>
        <v>1</v>
      </c>
      <c r="R61" s="85" t="str">
        <f>REPLACE(INDEX(GroupVertices[Group],MATCH(Edges[[#This Row],[Vertex 2]],GroupVertices[Vertex],0)),1,1,"")</f>
        <v>1</v>
      </c>
      <c r="S61" s="36"/>
      <c r="T61" s="36"/>
      <c r="U61" s="36"/>
      <c r="V61" s="36"/>
      <c r="W61" s="36"/>
      <c r="X61" s="36"/>
      <c r="Y61" s="36"/>
      <c r="Z61" s="36"/>
      <c r="AA61" s="36"/>
    </row>
    <row r="62" spans="1:27" ht="45">
      <c r="A62" s="84" t="s">
        <v>203</v>
      </c>
      <c r="B62" s="84" t="s">
        <v>258</v>
      </c>
      <c r="C62" s="53" t="s">
        <v>1358</v>
      </c>
      <c r="D62" s="54">
        <v>3</v>
      </c>
      <c r="E62" s="65"/>
      <c r="F62" s="55">
        <v>50</v>
      </c>
      <c r="G62" s="53"/>
      <c r="H62" s="57"/>
      <c r="I62" s="56"/>
      <c r="J62" s="56"/>
      <c r="K62" s="36" t="s">
        <v>65</v>
      </c>
      <c r="L62" s="83">
        <v>62</v>
      </c>
      <c r="M62" s="83"/>
      <c r="N62" s="63"/>
      <c r="O62" s="86" t="s">
        <v>293</v>
      </c>
      <c r="P62">
        <v>1</v>
      </c>
      <c r="Q62" s="85" t="str">
        <f>REPLACE(INDEX(GroupVertices[Group],MATCH(Edges[[#This Row],[Vertex 1]],GroupVertices[Vertex],0)),1,1,"")</f>
        <v>3</v>
      </c>
      <c r="R62" s="85" t="str">
        <f>REPLACE(INDEX(GroupVertices[Group],MATCH(Edges[[#This Row],[Vertex 2]],GroupVertices[Vertex],0)),1,1,"")</f>
        <v>3</v>
      </c>
      <c r="S62" s="36"/>
      <c r="T62" s="36"/>
      <c r="U62" s="36"/>
      <c r="V62" s="36"/>
      <c r="W62" s="36"/>
      <c r="X62" s="36"/>
      <c r="Y62" s="36"/>
      <c r="Z62" s="36"/>
      <c r="AA62" s="36"/>
    </row>
    <row r="63" spans="1:27" ht="45">
      <c r="A63" s="84" t="s">
        <v>203</v>
      </c>
      <c r="B63" s="84" t="s">
        <v>259</v>
      </c>
      <c r="C63" s="53" t="s">
        <v>1358</v>
      </c>
      <c r="D63" s="54">
        <v>3</v>
      </c>
      <c r="E63" s="65"/>
      <c r="F63" s="55">
        <v>50</v>
      </c>
      <c r="G63" s="53"/>
      <c r="H63" s="57"/>
      <c r="I63" s="56"/>
      <c r="J63" s="56"/>
      <c r="K63" s="36" t="s">
        <v>65</v>
      </c>
      <c r="L63" s="83">
        <v>63</v>
      </c>
      <c r="M63" s="83"/>
      <c r="N63" s="63"/>
      <c r="O63" s="86" t="s">
        <v>293</v>
      </c>
      <c r="P63">
        <v>1</v>
      </c>
      <c r="Q63" s="85" t="str">
        <f>REPLACE(INDEX(GroupVertices[Group],MATCH(Edges[[#This Row],[Vertex 1]],GroupVertices[Vertex],0)),1,1,"")</f>
        <v>3</v>
      </c>
      <c r="R63" s="85" t="str">
        <f>REPLACE(INDEX(GroupVertices[Group],MATCH(Edges[[#This Row],[Vertex 2]],GroupVertices[Vertex],0)),1,1,"")</f>
        <v>3</v>
      </c>
      <c r="S63" s="36"/>
      <c r="T63" s="36"/>
      <c r="U63" s="36"/>
      <c r="V63" s="36"/>
      <c r="W63" s="36"/>
      <c r="X63" s="36"/>
      <c r="Y63" s="36"/>
      <c r="Z63" s="36"/>
      <c r="AA63" s="36"/>
    </row>
    <row r="64" spans="1:27" ht="45">
      <c r="A64" s="84" t="s">
        <v>203</v>
      </c>
      <c r="B64" s="84" t="s">
        <v>241</v>
      </c>
      <c r="C64" s="53" t="s">
        <v>1358</v>
      </c>
      <c r="D64" s="54">
        <v>3</v>
      </c>
      <c r="E64" s="65"/>
      <c r="F64" s="55">
        <v>50</v>
      </c>
      <c r="G64" s="53"/>
      <c r="H64" s="57"/>
      <c r="I64" s="56"/>
      <c r="J64" s="56"/>
      <c r="K64" s="36" t="s">
        <v>65</v>
      </c>
      <c r="L64" s="83">
        <v>64</v>
      </c>
      <c r="M64" s="83"/>
      <c r="N64" s="63"/>
      <c r="O64" s="86" t="s">
        <v>293</v>
      </c>
      <c r="P64">
        <v>1</v>
      </c>
      <c r="Q64" s="85" t="str">
        <f>REPLACE(INDEX(GroupVertices[Group],MATCH(Edges[[#This Row],[Vertex 1]],GroupVertices[Vertex],0)),1,1,"")</f>
        <v>3</v>
      </c>
      <c r="R64" s="85" t="str">
        <f>REPLACE(INDEX(GroupVertices[Group],MATCH(Edges[[#This Row],[Vertex 2]],GroupVertices[Vertex],0)),1,1,"")</f>
        <v>3</v>
      </c>
      <c r="S64" s="36"/>
      <c r="T64" s="36"/>
      <c r="U64" s="36"/>
      <c r="V64" s="36"/>
      <c r="W64" s="36"/>
      <c r="X64" s="36"/>
      <c r="Y64" s="36"/>
      <c r="Z64" s="36"/>
      <c r="AA64" s="36"/>
    </row>
    <row r="65" spans="1:27" ht="45">
      <c r="A65" s="84" t="s">
        <v>203</v>
      </c>
      <c r="B65" s="84" t="s">
        <v>260</v>
      </c>
      <c r="C65" s="53" t="s">
        <v>1358</v>
      </c>
      <c r="D65" s="54">
        <v>3</v>
      </c>
      <c r="E65" s="65"/>
      <c r="F65" s="55">
        <v>50</v>
      </c>
      <c r="G65" s="53"/>
      <c r="H65" s="57"/>
      <c r="I65" s="56"/>
      <c r="J65" s="56"/>
      <c r="K65" s="36" t="s">
        <v>65</v>
      </c>
      <c r="L65" s="83">
        <v>65</v>
      </c>
      <c r="M65" s="83"/>
      <c r="N65" s="63"/>
      <c r="O65" s="86" t="s">
        <v>293</v>
      </c>
      <c r="P65">
        <v>1</v>
      </c>
      <c r="Q65" s="85" t="str">
        <f>REPLACE(INDEX(GroupVertices[Group],MATCH(Edges[[#This Row],[Vertex 1]],GroupVertices[Vertex],0)),1,1,"")</f>
        <v>3</v>
      </c>
      <c r="R65" s="85" t="str">
        <f>REPLACE(INDEX(GroupVertices[Group],MATCH(Edges[[#This Row],[Vertex 2]],GroupVertices[Vertex],0)),1,1,"")</f>
        <v>3</v>
      </c>
      <c r="S65" s="36"/>
      <c r="T65" s="36"/>
      <c r="U65" s="36"/>
      <c r="V65" s="36"/>
      <c r="W65" s="36"/>
      <c r="X65" s="36"/>
      <c r="Y65" s="36"/>
      <c r="Z65" s="36"/>
      <c r="AA65" s="36"/>
    </row>
    <row r="66" spans="1:27" ht="45">
      <c r="A66" s="84" t="s">
        <v>203</v>
      </c>
      <c r="B66" s="84" t="s">
        <v>261</v>
      </c>
      <c r="C66" s="53" t="s">
        <v>1358</v>
      </c>
      <c r="D66" s="54">
        <v>3</v>
      </c>
      <c r="E66" s="65"/>
      <c r="F66" s="55">
        <v>50</v>
      </c>
      <c r="G66" s="53"/>
      <c r="H66" s="57"/>
      <c r="I66" s="56"/>
      <c r="J66" s="56"/>
      <c r="K66" s="36" t="s">
        <v>65</v>
      </c>
      <c r="L66" s="83">
        <v>66</v>
      </c>
      <c r="M66" s="83"/>
      <c r="N66" s="63"/>
      <c r="O66" s="86" t="s">
        <v>293</v>
      </c>
      <c r="P66">
        <v>1</v>
      </c>
      <c r="Q66" s="85" t="str">
        <f>REPLACE(INDEX(GroupVertices[Group],MATCH(Edges[[#This Row],[Vertex 1]],GroupVertices[Vertex],0)),1,1,"")</f>
        <v>3</v>
      </c>
      <c r="R66" s="85" t="str">
        <f>REPLACE(INDEX(GroupVertices[Group],MATCH(Edges[[#This Row],[Vertex 2]],GroupVertices[Vertex],0)),1,1,"")</f>
        <v>3</v>
      </c>
      <c r="S66" s="36"/>
      <c r="T66" s="36"/>
      <c r="U66" s="36"/>
      <c r="V66" s="36"/>
      <c r="W66" s="36"/>
      <c r="X66" s="36"/>
      <c r="Y66" s="36"/>
      <c r="Z66" s="36"/>
      <c r="AA66" s="36"/>
    </row>
    <row r="67" spans="1:27" ht="45">
      <c r="A67" s="84" t="s">
        <v>203</v>
      </c>
      <c r="B67" s="84" t="s">
        <v>262</v>
      </c>
      <c r="C67" s="53" t="s">
        <v>1358</v>
      </c>
      <c r="D67" s="54">
        <v>3</v>
      </c>
      <c r="E67" s="65"/>
      <c r="F67" s="55">
        <v>50</v>
      </c>
      <c r="G67" s="53"/>
      <c r="H67" s="57"/>
      <c r="I67" s="56"/>
      <c r="J67" s="56"/>
      <c r="K67" s="36" t="s">
        <v>65</v>
      </c>
      <c r="L67" s="83">
        <v>67</v>
      </c>
      <c r="M67" s="83"/>
      <c r="N67" s="63"/>
      <c r="O67" s="86" t="s">
        <v>293</v>
      </c>
      <c r="P67">
        <v>1</v>
      </c>
      <c r="Q67" s="85" t="str">
        <f>REPLACE(INDEX(GroupVertices[Group],MATCH(Edges[[#This Row],[Vertex 1]],GroupVertices[Vertex],0)),1,1,"")</f>
        <v>3</v>
      </c>
      <c r="R67" s="85" t="str">
        <f>REPLACE(INDEX(GroupVertices[Group],MATCH(Edges[[#This Row],[Vertex 2]],GroupVertices[Vertex],0)),1,1,"")</f>
        <v>3</v>
      </c>
      <c r="S67" s="36"/>
      <c r="T67" s="36"/>
      <c r="U67" s="36"/>
      <c r="V67" s="36"/>
      <c r="W67" s="36"/>
      <c r="X67" s="36"/>
      <c r="Y67" s="36"/>
      <c r="Z67" s="36"/>
      <c r="AA67" s="36"/>
    </row>
    <row r="68" spans="1:27" ht="45">
      <c r="A68" s="84" t="s">
        <v>203</v>
      </c>
      <c r="B68" s="84" t="s">
        <v>263</v>
      </c>
      <c r="C68" s="53" t="s">
        <v>1358</v>
      </c>
      <c r="D68" s="54">
        <v>3</v>
      </c>
      <c r="E68" s="65"/>
      <c r="F68" s="55">
        <v>50</v>
      </c>
      <c r="G68" s="53"/>
      <c r="H68" s="57"/>
      <c r="I68" s="56"/>
      <c r="J68" s="56"/>
      <c r="K68" s="36" t="s">
        <v>65</v>
      </c>
      <c r="L68" s="83">
        <v>68</v>
      </c>
      <c r="M68" s="83"/>
      <c r="N68" s="63"/>
      <c r="O68" s="86" t="s">
        <v>293</v>
      </c>
      <c r="P68">
        <v>1</v>
      </c>
      <c r="Q68" s="85" t="str">
        <f>REPLACE(INDEX(GroupVertices[Group],MATCH(Edges[[#This Row],[Vertex 1]],GroupVertices[Vertex],0)),1,1,"")</f>
        <v>3</v>
      </c>
      <c r="R68" s="85" t="str">
        <f>REPLACE(INDEX(GroupVertices[Group],MATCH(Edges[[#This Row],[Vertex 2]],GroupVertices[Vertex],0)),1,1,"")</f>
        <v>3</v>
      </c>
      <c r="S68" s="36"/>
      <c r="T68" s="36"/>
      <c r="U68" s="36"/>
      <c r="V68" s="36"/>
      <c r="W68" s="36"/>
      <c r="X68" s="36"/>
      <c r="Y68" s="36"/>
      <c r="Z68" s="36"/>
      <c r="AA68" s="36"/>
    </row>
    <row r="69" spans="1:27" ht="45">
      <c r="A69" s="84" t="s">
        <v>203</v>
      </c>
      <c r="B69" s="84" t="s">
        <v>264</v>
      </c>
      <c r="C69" s="53" t="s">
        <v>1358</v>
      </c>
      <c r="D69" s="54">
        <v>3</v>
      </c>
      <c r="E69" s="65"/>
      <c r="F69" s="55">
        <v>50</v>
      </c>
      <c r="G69" s="53"/>
      <c r="H69" s="57"/>
      <c r="I69" s="56"/>
      <c r="J69" s="56"/>
      <c r="K69" s="36" t="s">
        <v>65</v>
      </c>
      <c r="L69" s="83">
        <v>69</v>
      </c>
      <c r="M69" s="83"/>
      <c r="N69" s="63"/>
      <c r="O69" s="86" t="s">
        <v>293</v>
      </c>
      <c r="P69">
        <v>1</v>
      </c>
      <c r="Q69" s="85" t="str">
        <f>REPLACE(INDEX(GroupVertices[Group],MATCH(Edges[[#This Row],[Vertex 1]],GroupVertices[Vertex],0)),1,1,"")</f>
        <v>3</v>
      </c>
      <c r="R69" s="85" t="str">
        <f>REPLACE(INDEX(GroupVertices[Group],MATCH(Edges[[#This Row],[Vertex 2]],GroupVertices[Vertex],0)),1,1,"")</f>
        <v>3</v>
      </c>
      <c r="S69" s="36"/>
      <c r="T69" s="36"/>
      <c r="U69" s="36"/>
      <c r="V69" s="36"/>
      <c r="W69" s="36"/>
      <c r="X69" s="36"/>
      <c r="Y69" s="36"/>
      <c r="Z69" s="36"/>
      <c r="AA69" s="36"/>
    </row>
    <row r="70" spans="1:27" ht="45">
      <c r="A70" s="84" t="s">
        <v>203</v>
      </c>
      <c r="B70" s="84" t="s">
        <v>265</v>
      </c>
      <c r="C70" s="53" t="s">
        <v>1358</v>
      </c>
      <c r="D70" s="54">
        <v>3</v>
      </c>
      <c r="E70" s="65"/>
      <c r="F70" s="55">
        <v>50</v>
      </c>
      <c r="G70" s="53"/>
      <c r="H70" s="57"/>
      <c r="I70" s="56"/>
      <c r="J70" s="56"/>
      <c r="K70" s="36" t="s">
        <v>65</v>
      </c>
      <c r="L70" s="83">
        <v>70</v>
      </c>
      <c r="M70" s="83"/>
      <c r="N70" s="63"/>
      <c r="O70" s="86" t="s">
        <v>293</v>
      </c>
      <c r="P70">
        <v>1</v>
      </c>
      <c r="Q70" s="85" t="str">
        <f>REPLACE(INDEX(GroupVertices[Group],MATCH(Edges[[#This Row],[Vertex 1]],GroupVertices[Vertex],0)),1,1,"")</f>
        <v>3</v>
      </c>
      <c r="R70" s="85" t="str">
        <f>REPLACE(INDEX(GroupVertices[Group],MATCH(Edges[[#This Row],[Vertex 2]],GroupVertices[Vertex],0)),1,1,"")</f>
        <v>3</v>
      </c>
      <c r="S70" s="36"/>
      <c r="T70" s="36"/>
      <c r="U70" s="36"/>
      <c r="V70" s="36"/>
      <c r="W70" s="36"/>
      <c r="X70" s="36"/>
      <c r="Y70" s="36"/>
      <c r="Z70" s="36"/>
      <c r="AA70" s="36"/>
    </row>
    <row r="71" spans="1:27" ht="45">
      <c r="A71" s="84" t="s">
        <v>203</v>
      </c>
      <c r="B71" s="84" t="s">
        <v>266</v>
      </c>
      <c r="C71" s="53" t="s">
        <v>1358</v>
      </c>
      <c r="D71" s="54">
        <v>3</v>
      </c>
      <c r="E71" s="65"/>
      <c r="F71" s="55">
        <v>50</v>
      </c>
      <c r="G71" s="53"/>
      <c r="H71" s="57"/>
      <c r="I71" s="56"/>
      <c r="J71" s="56"/>
      <c r="K71" s="36" t="s">
        <v>65</v>
      </c>
      <c r="L71" s="83">
        <v>71</v>
      </c>
      <c r="M71" s="83"/>
      <c r="N71" s="63"/>
      <c r="O71" s="86" t="s">
        <v>293</v>
      </c>
      <c r="P71">
        <v>1</v>
      </c>
      <c r="Q71" s="85" t="str">
        <f>REPLACE(INDEX(GroupVertices[Group],MATCH(Edges[[#This Row],[Vertex 1]],GroupVertices[Vertex],0)),1,1,"")</f>
        <v>3</v>
      </c>
      <c r="R71" s="85" t="str">
        <f>REPLACE(INDEX(GroupVertices[Group],MATCH(Edges[[#This Row],[Vertex 2]],GroupVertices[Vertex],0)),1,1,"")</f>
        <v>3</v>
      </c>
      <c r="S71" s="36"/>
      <c r="T71" s="36"/>
      <c r="U71" s="36"/>
      <c r="V71" s="36"/>
      <c r="W71" s="36"/>
      <c r="X71" s="36"/>
      <c r="Y71" s="36"/>
      <c r="Z71" s="36"/>
      <c r="AA71" s="36"/>
    </row>
    <row r="72" spans="1:27" ht="45">
      <c r="A72" s="84" t="s">
        <v>204</v>
      </c>
      <c r="B72" s="84" t="s">
        <v>267</v>
      </c>
      <c r="C72" s="53" t="s">
        <v>1358</v>
      </c>
      <c r="D72" s="54">
        <v>3</v>
      </c>
      <c r="E72" s="65"/>
      <c r="F72" s="55">
        <v>50</v>
      </c>
      <c r="G72" s="53"/>
      <c r="H72" s="57"/>
      <c r="I72" s="56"/>
      <c r="J72" s="56"/>
      <c r="K72" s="36" t="s">
        <v>65</v>
      </c>
      <c r="L72" s="83">
        <v>72</v>
      </c>
      <c r="M72" s="83"/>
      <c r="N72" s="63"/>
      <c r="O72" s="86" t="s">
        <v>293</v>
      </c>
      <c r="P72">
        <v>1</v>
      </c>
      <c r="Q72" s="85" t="str">
        <f>REPLACE(INDEX(GroupVertices[Group],MATCH(Edges[[#This Row],[Vertex 1]],GroupVertices[Vertex],0)),1,1,"")</f>
        <v>2</v>
      </c>
      <c r="R72" s="85" t="str">
        <f>REPLACE(INDEX(GroupVertices[Group],MATCH(Edges[[#This Row],[Vertex 2]],GroupVertices[Vertex],0)),1,1,"")</f>
        <v>2</v>
      </c>
      <c r="S72" s="36"/>
      <c r="T72" s="36"/>
      <c r="U72" s="36"/>
      <c r="V72" s="36"/>
      <c r="W72" s="36"/>
      <c r="X72" s="36"/>
      <c r="Y72" s="36"/>
      <c r="Z72" s="36"/>
      <c r="AA72" s="36"/>
    </row>
    <row r="73" spans="1:27" ht="45">
      <c r="A73" s="84" t="s">
        <v>204</v>
      </c>
      <c r="B73" s="84" t="s">
        <v>268</v>
      </c>
      <c r="C73" s="53" t="s">
        <v>1358</v>
      </c>
      <c r="D73" s="54">
        <v>3</v>
      </c>
      <c r="E73" s="65"/>
      <c r="F73" s="55">
        <v>50</v>
      </c>
      <c r="G73" s="53"/>
      <c r="H73" s="57"/>
      <c r="I73" s="56"/>
      <c r="J73" s="56"/>
      <c r="K73" s="36" t="s">
        <v>65</v>
      </c>
      <c r="L73" s="83">
        <v>73</v>
      </c>
      <c r="M73" s="83"/>
      <c r="N73" s="63"/>
      <c r="O73" s="86" t="s">
        <v>293</v>
      </c>
      <c r="P73">
        <v>1</v>
      </c>
      <c r="Q73" s="85" t="str">
        <f>REPLACE(INDEX(GroupVertices[Group],MATCH(Edges[[#This Row],[Vertex 1]],GroupVertices[Vertex],0)),1,1,"")</f>
        <v>2</v>
      </c>
      <c r="R73" s="85" t="str">
        <f>REPLACE(INDEX(GroupVertices[Group],MATCH(Edges[[#This Row],[Vertex 2]],GroupVertices[Vertex],0)),1,1,"")</f>
        <v>2</v>
      </c>
      <c r="S73" s="36"/>
      <c r="T73" s="36"/>
      <c r="U73" s="36"/>
      <c r="V73" s="36"/>
      <c r="W73" s="36"/>
      <c r="X73" s="36"/>
      <c r="Y73" s="36"/>
      <c r="Z73" s="36"/>
      <c r="AA73" s="36"/>
    </row>
    <row r="74" spans="1:27" ht="45">
      <c r="A74" s="84" t="s">
        <v>204</v>
      </c>
      <c r="B74" s="84" t="s">
        <v>269</v>
      </c>
      <c r="C74" s="53" t="s">
        <v>1358</v>
      </c>
      <c r="D74" s="54">
        <v>3</v>
      </c>
      <c r="E74" s="65"/>
      <c r="F74" s="55">
        <v>50</v>
      </c>
      <c r="G74" s="53"/>
      <c r="H74" s="57"/>
      <c r="I74" s="56"/>
      <c r="J74" s="56"/>
      <c r="K74" s="36" t="s">
        <v>65</v>
      </c>
      <c r="L74" s="83">
        <v>74</v>
      </c>
      <c r="M74" s="83"/>
      <c r="N74" s="63"/>
      <c r="O74" s="86" t="s">
        <v>293</v>
      </c>
      <c r="P74">
        <v>1</v>
      </c>
      <c r="Q74" s="85" t="str">
        <f>REPLACE(INDEX(GroupVertices[Group],MATCH(Edges[[#This Row],[Vertex 1]],GroupVertices[Vertex],0)),1,1,"")</f>
        <v>2</v>
      </c>
      <c r="R74" s="85" t="str">
        <f>REPLACE(INDEX(GroupVertices[Group],MATCH(Edges[[#This Row],[Vertex 2]],GroupVertices[Vertex],0)),1,1,"")</f>
        <v>2</v>
      </c>
      <c r="S74" s="36"/>
      <c r="T74" s="36"/>
      <c r="U74" s="36"/>
      <c r="V74" s="36"/>
      <c r="W74" s="36"/>
      <c r="X74" s="36"/>
      <c r="Y74" s="36"/>
      <c r="Z74" s="36"/>
      <c r="AA74" s="36"/>
    </row>
    <row r="75" spans="1:27" ht="45">
      <c r="A75" s="84" t="s">
        <v>204</v>
      </c>
      <c r="B75" s="84" t="s">
        <v>270</v>
      </c>
      <c r="C75" s="53" t="s">
        <v>1358</v>
      </c>
      <c r="D75" s="54">
        <v>3</v>
      </c>
      <c r="E75" s="65"/>
      <c r="F75" s="55">
        <v>50</v>
      </c>
      <c r="G75" s="53"/>
      <c r="H75" s="57"/>
      <c r="I75" s="56"/>
      <c r="J75" s="56"/>
      <c r="K75" s="36" t="s">
        <v>65</v>
      </c>
      <c r="L75" s="83">
        <v>75</v>
      </c>
      <c r="M75" s="83"/>
      <c r="N75" s="63"/>
      <c r="O75" s="86" t="s">
        <v>293</v>
      </c>
      <c r="P75">
        <v>1</v>
      </c>
      <c r="Q75" s="85" t="str">
        <f>REPLACE(INDEX(GroupVertices[Group],MATCH(Edges[[#This Row],[Vertex 1]],GroupVertices[Vertex],0)),1,1,"")</f>
        <v>2</v>
      </c>
      <c r="R75" s="85" t="str">
        <f>REPLACE(INDEX(GroupVertices[Group],MATCH(Edges[[#This Row],[Vertex 2]],GroupVertices[Vertex],0)),1,1,"")</f>
        <v>2</v>
      </c>
      <c r="S75" s="36"/>
      <c r="T75" s="36"/>
      <c r="U75" s="36"/>
      <c r="V75" s="36"/>
      <c r="W75" s="36"/>
      <c r="X75" s="36"/>
      <c r="Y75" s="36"/>
      <c r="Z75" s="36"/>
      <c r="AA75" s="36"/>
    </row>
    <row r="76" spans="1:27" ht="45">
      <c r="A76" s="84" t="s">
        <v>204</v>
      </c>
      <c r="B76" s="84" t="s">
        <v>271</v>
      </c>
      <c r="C76" s="53" t="s">
        <v>1358</v>
      </c>
      <c r="D76" s="54">
        <v>3</v>
      </c>
      <c r="E76" s="65"/>
      <c r="F76" s="55">
        <v>50</v>
      </c>
      <c r="G76" s="53"/>
      <c r="H76" s="57"/>
      <c r="I76" s="56"/>
      <c r="J76" s="56"/>
      <c r="K76" s="36" t="s">
        <v>65</v>
      </c>
      <c r="L76" s="83">
        <v>76</v>
      </c>
      <c r="M76" s="83"/>
      <c r="N76" s="63"/>
      <c r="O76" s="86" t="s">
        <v>293</v>
      </c>
      <c r="P76">
        <v>1</v>
      </c>
      <c r="Q76" s="85" t="str">
        <f>REPLACE(INDEX(GroupVertices[Group],MATCH(Edges[[#This Row],[Vertex 1]],GroupVertices[Vertex],0)),1,1,"")</f>
        <v>2</v>
      </c>
      <c r="R76" s="85" t="str">
        <f>REPLACE(INDEX(GroupVertices[Group],MATCH(Edges[[#This Row],[Vertex 2]],GroupVertices[Vertex],0)),1,1,"")</f>
        <v>2</v>
      </c>
      <c r="S76" s="36"/>
      <c r="T76" s="36"/>
      <c r="U76" s="36"/>
      <c r="V76" s="36"/>
      <c r="W76" s="36"/>
      <c r="X76" s="36"/>
      <c r="Y76" s="36"/>
      <c r="Z76" s="36"/>
      <c r="AA76" s="36"/>
    </row>
    <row r="77" spans="1:27" ht="45">
      <c r="A77" s="84" t="s">
        <v>204</v>
      </c>
      <c r="B77" s="84" t="s">
        <v>272</v>
      </c>
      <c r="C77" s="53" t="s">
        <v>1358</v>
      </c>
      <c r="D77" s="54">
        <v>3</v>
      </c>
      <c r="E77" s="65"/>
      <c r="F77" s="55">
        <v>50</v>
      </c>
      <c r="G77" s="53"/>
      <c r="H77" s="57"/>
      <c r="I77" s="56"/>
      <c r="J77" s="56"/>
      <c r="K77" s="36" t="s">
        <v>65</v>
      </c>
      <c r="L77" s="83">
        <v>77</v>
      </c>
      <c r="M77" s="83"/>
      <c r="N77" s="63"/>
      <c r="O77" s="86" t="s">
        <v>293</v>
      </c>
      <c r="P77">
        <v>1</v>
      </c>
      <c r="Q77" s="85" t="str">
        <f>REPLACE(INDEX(GroupVertices[Group],MATCH(Edges[[#This Row],[Vertex 1]],GroupVertices[Vertex],0)),1,1,"")</f>
        <v>2</v>
      </c>
      <c r="R77" s="85" t="str">
        <f>REPLACE(INDEX(GroupVertices[Group],MATCH(Edges[[#This Row],[Vertex 2]],GroupVertices[Vertex],0)),1,1,"")</f>
        <v>2</v>
      </c>
      <c r="S77" s="36"/>
      <c r="T77" s="36"/>
      <c r="U77" s="36"/>
      <c r="V77" s="36"/>
      <c r="W77" s="36"/>
      <c r="X77" s="36"/>
      <c r="Y77" s="36"/>
      <c r="Z77" s="36"/>
      <c r="AA77" s="36"/>
    </row>
    <row r="78" spans="1:27" ht="45">
      <c r="A78" s="84" t="s">
        <v>204</v>
      </c>
      <c r="B78" s="84" t="s">
        <v>273</v>
      </c>
      <c r="C78" s="53" t="s">
        <v>1358</v>
      </c>
      <c r="D78" s="54">
        <v>3</v>
      </c>
      <c r="E78" s="65"/>
      <c r="F78" s="55">
        <v>50</v>
      </c>
      <c r="G78" s="53"/>
      <c r="H78" s="57"/>
      <c r="I78" s="56"/>
      <c r="J78" s="56"/>
      <c r="K78" s="36" t="s">
        <v>65</v>
      </c>
      <c r="L78" s="83">
        <v>78</v>
      </c>
      <c r="M78" s="83"/>
      <c r="N78" s="63"/>
      <c r="O78" s="86" t="s">
        <v>293</v>
      </c>
      <c r="P78">
        <v>1</v>
      </c>
      <c r="Q78" s="85" t="str">
        <f>REPLACE(INDEX(GroupVertices[Group],MATCH(Edges[[#This Row],[Vertex 1]],GroupVertices[Vertex],0)),1,1,"")</f>
        <v>2</v>
      </c>
      <c r="R78" s="85" t="str">
        <f>REPLACE(INDEX(GroupVertices[Group],MATCH(Edges[[#This Row],[Vertex 2]],GroupVertices[Vertex],0)),1,1,"")</f>
        <v>2</v>
      </c>
      <c r="S78" s="36"/>
      <c r="T78" s="36"/>
      <c r="U78" s="36"/>
      <c r="V78" s="36"/>
      <c r="W78" s="36"/>
      <c r="X78" s="36"/>
      <c r="Y78" s="36"/>
      <c r="Z78" s="36"/>
      <c r="AA78" s="36"/>
    </row>
    <row r="79" spans="1:27" ht="45">
      <c r="A79" s="84" t="s">
        <v>204</v>
      </c>
      <c r="B79" s="84" t="s">
        <v>274</v>
      </c>
      <c r="C79" s="53" t="s">
        <v>1358</v>
      </c>
      <c r="D79" s="54">
        <v>3</v>
      </c>
      <c r="E79" s="65"/>
      <c r="F79" s="55">
        <v>50</v>
      </c>
      <c r="G79" s="53"/>
      <c r="H79" s="57"/>
      <c r="I79" s="56"/>
      <c r="J79" s="56"/>
      <c r="K79" s="36" t="s">
        <v>65</v>
      </c>
      <c r="L79" s="83">
        <v>79</v>
      </c>
      <c r="M79" s="83"/>
      <c r="N79" s="63"/>
      <c r="O79" s="86" t="s">
        <v>293</v>
      </c>
      <c r="P79">
        <v>1</v>
      </c>
      <c r="Q79" s="85" t="str">
        <f>REPLACE(INDEX(GroupVertices[Group],MATCH(Edges[[#This Row],[Vertex 1]],GroupVertices[Vertex],0)),1,1,"")</f>
        <v>2</v>
      </c>
      <c r="R79" s="85" t="str">
        <f>REPLACE(INDEX(GroupVertices[Group],MATCH(Edges[[#This Row],[Vertex 2]],GroupVertices[Vertex],0)),1,1,"")</f>
        <v>2</v>
      </c>
      <c r="S79" s="36"/>
      <c r="T79" s="36"/>
      <c r="U79" s="36"/>
      <c r="V79" s="36"/>
      <c r="W79" s="36"/>
      <c r="X79" s="36"/>
      <c r="Y79" s="36"/>
      <c r="Z79" s="36"/>
      <c r="AA79" s="36"/>
    </row>
    <row r="80" spans="1:27" ht="45">
      <c r="A80" s="84" t="s">
        <v>204</v>
      </c>
      <c r="B80" s="84" t="s">
        <v>275</v>
      </c>
      <c r="C80" s="53" t="s">
        <v>1358</v>
      </c>
      <c r="D80" s="54">
        <v>3</v>
      </c>
      <c r="E80" s="65"/>
      <c r="F80" s="55">
        <v>50</v>
      </c>
      <c r="G80" s="53"/>
      <c r="H80" s="57"/>
      <c r="I80" s="56"/>
      <c r="J80" s="56"/>
      <c r="K80" s="36" t="s">
        <v>65</v>
      </c>
      <c r="L80" s="83">
        <v>80</v>
      </c>
      <c r="M80" s="83"/>
      <c r="N80" s="63"/>
      <c r="O80" s="86" t="s">
        <v>293</v>
      </c>
      <c r="P80">
        <v>1</v>
      </c>
      <c r="Q80" s="85" t="str">
        <f>REPLACE(INDEX(GroupVertices[Group],MATCH(Edges[[#This Row],[Vertex 1]],GroupVertices[Vertex],0)),1,1,"")</f>
        <v>2</v>
      </c>
      <c r="R80" s="85" t="str">
        <f>REPLACE(INDEX(GroupVertices[Group],MATCH(Edges[[#This Row],[Vertex 2]],GroupVertices[Vertex],0)),1,1,"")</f>
        <v>2</v>
      </c>
      <c r="S80" s="36"/>
      <c r="T80" s="36"/>
      <c r="U80" s="36"/>
      <c r="V80" s="36"/>
      <c r="W80" s="36"/>
      <c r="X80" s="36"/>
      <c r="Y80" s="36"/>
      <c r="Z80" s="36"/>
      <c r="AA80" s="36"/>
    </row>
    <row r="81" spans="1:27" ht="45">
      <c r="A81" s="84" t="s">
        <v>204</v>
      </c>
      <c r="B81" s="84" t="s">
        <v>276</v>
      </c>
      <c r="C81" s="53" t="s">
        <v>1358</v>
      </c>
      <c r="D81" s="54">
        <v>3</v>
      </c>
      <c r="E81" s="65"/>
      <c r="F81" s="55">
        <v>50</v>
      </c>
      <c r="G81" s="53"/>
      <c r="H81" s="57"/>
      <c r="I81" s="56"/>
      <c r="J81" s="56"/>
      <c r="K81" s="36" t="s">
        <v>65</v>
      </c>
      <c r="L81" s="83">
        <v>81</v>
      </c>
      <c r="M81" s="83"/>
      <c r="N81" s="63"/>
      <c r="O81" s="86" t="s">
        <v>293</v>
      </c>
      <c r="P81">
        <v>1</v>
      </c>
      <c r="Q81" s="85" t="str">
        <f>REPLACE(INDEX(GroupVertices[Group],MATCH(Edges[[#This Row],[Vertex 1]],GroupVertices[Vertex],0)),1,1,"")</f>
        <v>2</v>
      </c>
      <c r="R81" s="85" t="str">
        <f>REPLACE(INDEX(GroupVertices[Group],MATCH(Edges[[#This Row],[Vertex 2]],GroupVertices[Vertex],0)),1,1,"")</f>
        <v>2</v>
      </c>
      <c r="S81" s="36"/>
      <c r="T81" s="36"/>
      <c r="U81" s="36"/>
      <c r="V81" s="36"/>
      <c r="W81" s="36"/>
      <c r="X81" s="36"/>
      <c r="Y81" s="36"/>
      <c r="Z81" s="36"/>
      <c r="AA81" s="36"/>
    </row>
    <row r="82" spans="1:27" ht="45">
      <c r="A82" s="84" t="s">
        <v>205</v>
      </c>
      <c r="B82" s="84" t="s">
        <v>277</v>
      </c>
      <c r="C82" s="53" t="s">
        <v>1358</v>
      </c>
      <c r="D82" s="54">
        <v>3</v>
      </c>
      <c r="E82" s="65"/>
      <c r="F82" s="55">
        <v>50</v>
      </c>
      <c r="G82" s="53"/>
      <c r="H82" s="57"/>
      <c r="I82" s="56"/>
      <c r="J82" s="56"/>
      <c r="K82" s="36" t="s">
        <v>65</v>
      </c>
      <c r="L82" s="83">
        <v>82</v>
      </c>
      <c r="M82" s="83"/>
      <c r="N82" s="63"/>
      <c r="O82" s="86" t="s">
        <v>293</v>
      </c>
      <c r="P82">
        <v>1</v>
      </c>
      <c r="Q82" s="85" t="str">
        <f>REPLACE(INDEX(GroupVertices[Group],MATCH(Edges[[#This Row],[Vertex 1]],GroupVertices[Vertex],0)),1,1,"")</f>
        <v>8</v>
      </c>
      <c r="R82" s="85" t="str">
        <f>REPLACE(INDEX(GroupVertices[Group],MATCH(Edges[[#This Row],[Vertex 2]],GroupVertices[Vertex],0)),1,1,"")</f>
        <v>8</v>
      </c>
      <c r="S82" s="36"/>
      <c r="T82" s="36"/>
      <c r="U82" s="36"/>
      <c r="V82" s="36"/>
      <c r="W82" s="36"/>
      <c r="X82" s="36"/>
      <c r="Y82" s="36"/>
      <c r="Z82" s="36"/>
      <c r="AA82" s="36"/>
    </row>
    <row r="83" spans="1:27" ht="45">
      <c r="A83" s="84" t="s">
        <v>205</v>
      </c>
      <c r="B83" s="84" t="s">
        <v>278</v>
      </c>
      <c r="C83" s="53" t="s">
        <v>1358</v>
      </c>
      <c r="D83" s="54">
        <v>3</v>
      </c>
      <c r="E83" s="65"/>
      <c r="F83" s="55">
        <v>50</v>
      </c>
      <c r="G83" s="53"/>
      <c r="H83" s="57"/>
      <c r="I83" s="56"/>
      <c r="J83" s="56"/>
      <c r="K83" s="36" t="s">
        <v>65</v>
      </c>
      <c r="L83" s="83">
        <v>83</v>
      </c>
      <c r="M83" s="83"/>
      <c r="N83" s="63"/>
      <c r="O83" s="86" t="s">
        <v>293</v>
      </c>
      <c r="P83">
        <v>1</v>
      </c>
      <c r="Q83" s="85" t="str">
        <f>REPLACE(INDEX(GroupVertices[Group],MATCH(Edges[[#This Row],[Vertex 1]],GroupVertices[Vertex],0)),1,1,"")</f>
        <v>8</v>
      </c>
      <c r="R83" s="85" t="str">
        <f>REPLACE(INDEX(GroupVertices[Group],MATCH(Edges[[#This Row],[Vertex 2]],GroupVertices[Vertex],0)),1,1,"")</f>
        <v>8</v>
      </c>
      <c r="S83" s="36"/>
      <c r="T83" s="36"/>
      <c r="U83" s="36"/>
      <c r="V83" s="36"/>
      <c r="W83" s="36"/>
      <c r="X83" s="36"/>
      <c r="Y83" s="36"/>
      <c r="Z83" s="36"/>
      <c r="AA83" s="36"/>
    </row>
    <row r="84" spans="1:27" ht="45">
      <c r="A84" s="84" t="s">
        <v>205</v>
      </c>
      <c r="B84" s="84" t="s">
        <v>279</v>
      </c>
      <c r="C84" s="53" t="s">
        <v>1358</v>
      </c>
      <c r="D84" s="54">
        <v>3</v>
      </c>
      <c r="E84" s="65"/>
      <c r="F84" s="55">
        <v>50</v>
      </c>
      <c r="G84" s="53"/>
      <c r="H84" s="57"/>
      <c r="I84" s="56"/>
      <c r="J84" s="56"/>
      <c r="K84" s="36" t="s">
        <v>65</v>
      </c>
      <c r="L84" s="83">
        <v>84</v>
      </c>
      <c r="M84" s="83"/>
      <c r="N84" s="63"/>
      <c r="O84" s="86" t="s">
        <v>293</v>
      </c>
      <c r="P84">
        <v>1</v>
      </c>
      <c r="Q84" s="85" t="str">
        <f>REPLACE(INDEX(GroupVertices[Group],MATCH(Edges[[#This Row],[Vertex 1]],GroupVertices[Vertex],0)),1,1,"")</f>
        <v>8</v>
      </c>
      <c r="R84" s="85" t="str">
        <f>REPLACE(INDEX(GroupVertices[Group],MATCH(Edges[[#This Row],[Vertex 2]],GroupVertices[Vertex],0)),1,1,"")</f>
        <v>8</v>
      </c>
      <c r="S84" s="36"/>
      <c r="T84" s="36"/>
      <c r="U84" s="36"/>
      <c r="V84" s="36"/>
      <c r="W84" s="36"/>
      <c r="X84" s="36"/>
      <c r="Y84" s="36"/>
      <c r="Z84" s="36"/>
      <c r="AA84" s="36"/>
    </row>
    <row r="85" spans="1:27" ht="45">
      <c r="A85" s="84" t="s">
        <v>205</v>
      </c>
      <c r="B85" s="84" t="s">
        <v>248</v>
      </c>
      <c r="C85" s="53" t="s">
        <v>1358</v>
      </c>
      <c r="D85" s="54">
        <v>3</v>
      </c>
      <c r="E85" s="65"/>
      <c r="F85" s="55">
        <v>50</v>
      </c>
      <c r="G85" s="53"/>
      <c r="H85" s="57"/>
      <c r="I85" s="56"/>
      <c r="J85" s="56"/>
      <c r="K85" s="36" t="s">
        <v>65</v>
      </c>
      <c r="L85" s="83">
        <v>85</v>
      </c>
      <c r="M85" s="83"/>
      <c r="N85" s="63"/>
      <c r="O85" s="86" t="s">
        <v>293</v>
      </c>
      <c r="P85">
        <v>1</v>
      </c>
      <c r="Q85" s="85" t="str">
        <f>REPLACE(INDEX(GroupVertices[Group],MATCH(Edges[[#This Row],[Vertex 1]],GroupVertices[Vertex],0)),1,1,"")</f>
        <v>8</v>
      </c>
      <c r="R85" s="85" t="str">
        <f>REPLACE(INDEX(GroupVertices[Group],MATCH(Edges[[#This Row],[Vertex 2]],GroupVertices[Vertex],0)),1,1,"")</f>
        <v>7</v>
      </c>
      <c r="S85" s="36"/>
      <c r="T85" s="36"/>
      <c r="U85" s="36"/>
      <c r="V85" s="36"/>
      <c r="W85" s="36"/>
      <c r="X85" s="36"/>
      <c r="Y85" s="36"/>
      <c r="Z85" s="36"/>
      <c r="AA85" s="36"/>
    </row>
    <row r="86" spans="1:27" ht="45">
      <c r="A86" s="84" t="s">
        <v>205</v>
      </c>
      <c r="B86" s="84" t="s">
        <v>280</v>
      </c>
      <c r="C86" s="53" t="s">
        <v>1358</v>
      </c>
      <c r="D86" s="54">
        <v>3</v>
      </c>
      <c r="E86" s="65"/>
      <c r="F86" s="55">
        <v>50</v>
      </c>
      <c r="G86" s="53"/>
      <c r="H86" s="57"/>
      <c r="I86" s="56"/>
      <c r="J86" s="56"/>
      <c r="K86" s="36" t="s">
        <v>65</v>
      </c>
      <c r="L86" s="83">
        <v>86</v>
      </c>
      <c r="M86" s="83"/>
      <c r="N86" s="63"/>
      <c r="O86" s="86" t="s">
        <v>293</v>
      </c>
      <c r="P86">
        <v>1</v>
      </c>
      <c r="Q86" s="85" t="str">
        <f>REPLACE(INDEX(GroupVertices[Group],MATCH(Edges[[#This Row],[Vertex 1]],GroupVertices[Vertex],0)),1,1,"")</f>
        <v>8</v>
      </c>
      <c r="R86" s="85" t="str">
        <f>REPLACE(INDEX(GroupVertices[Group],MATCH(Edges[[#This Row],[Vertex 2]],GroupVertices[Vertex],0)),1,1,"")</f>
        <v>8</v>
      </c>
      <c r="S86" s="36"/>
      <c r="T86" s="36"/>
      <c r="U86" s="36"/>
      <c r="V86" s="36"/>
      <c r="W86" s="36"/>
      <c r="X86" s="36"/>
      <c r="Y86" s="36"/>
      <c r="Z86" s="36"/>
      <c r="AA86" s="36"/>
    </row>
    <row r="87" spans="1:27" ht="45">
      <c r="A87" s="84" t="s">
        <v>205</v>
      </c>
      <c r="B87" s="84" t="s">
        <v>223</v>
      </c>
      <c r="C87" s="53" t="s">
        <v>1358</v>
      </c>
      <c r="D87" s="54">
        <v>3</v>
      </c>
      <c r="E87" s="65"/>
      <c r="F87" s="55">
        <v>50</v>
      </c>
      <c r="G87" s="53"/>
      <c r="H87" s="57"/>
      <c r="I87" s="56"/>
      <c r="J87" s="56"/>
      <c r="K87" s="36" t="s">
        <v>65</v>
      </c>
      <c r="L87" s="83">
        <v>87</v>
      </c>
      <c r="M87" s="83"/>
      <c r="N87" s="63"/>
      <c r="O87" s="86" t="s">
        <v>293</v>
      </c>
      <c r="P87">
        <v>1</v>
      </c>
      <c r="Q87" s="85" t="str">
        <f>REPLACE(INDEX(GroupVertices[Group],MATCH(Edges[[#This Row],[Vertex 1]],GroupVertices[Vertex],0)),1,1,"")</f>
        <v>8</v>
      </c>
      <c r="R87" s="85" t="str">
        <f>REPLACE(INDEX(GroupVertices[Group],MATCH(Edges[[#This Row],[Vertex 2]],GroupVertices[Vertex],0)),1,1,"")</f>
        <v>8</v>
      </c>
      <c r="S87" s="36"/>
      <c r="T87" s="36"/>
      <c r="U87" s="36"/>
      <c r="V87" s="36"/>
      <c r="W87" s="36"/>
      <c r="X87" s="36"/>
      <c r="Y87" s="36"/>
      <c r="Z87" s="36"/>
      <c r="AA87" s="36"/>
    </row>
    <row r="88" spans="1:27" ht="45">
      <c r="A88" s="84" t="s">
        <v>205</v>
      </c>
      <c r="B88" s="84" t="s">
        <v>221</v>
      </c>
      <c r="C88" s="53" t="s">
        <v>1358</v>
      </c>
      <c r="D88" s="54">
        <v>3</v>
      </c>
      <c r="E88" s="65"/>
      <c r="F88" s="55">
        <v>50</v>
      </c>
      <c r="G88" s="53"/>
      <c r="H88" s="57"/>
      <c r="I88" s="56"/>
      <c r="J88" s="56"/>
      <c r="K88" s="36" t="s">
        <v>65</v>
      </c>
      <c r="L88" s="83">
        <v>88</v>
      </c>
      <c r="M88" s="83"/>
      <c r="N88" s="63"/>
      <c r="O88" s="86" t="s">
        <v>293</v>
      </c>
      <c r="P88">
        <v>1</v>
      </c>
      <c r="Q88" s="85" t="str">
        <f>REPLACE(INDEX(GroupVertices[Group],MATCH(Edges[[#This Row],[Vertex 1]],GroupVertices[Vertex],0)),1,1,"")</f>
        <v>8</v>
      </c>
      <c r="R88" s="85" t="str">
        <f>REPLACE(INDEX(GroupVertices[Group],MATCH(Edges[[#This Row],[Vertex 2]],GroupVertices[Vertex],0)),1,1,"")</f>
        <v>6</v>
      </c>
      <c r="S88" s="36"/>
      <c r="T88" s="36"/>
      <c r="U88" s="36"/>
      <c r="V88" s="36"/>
      <c r="W88" s="36"/>
      <c r="X88" s="36"/>
      <c r="Y88" s="36"/>
      <c r="Z88" s="36"/>
      <c r="AA88" s="36"/>
    </row>
    <row r="89" spans="1:27" ht="45">
      <c r="A89" s="84" t="s">
        <v>205</v>
      </c>
      <c r="B89" s="84" t="s">
        <v>281</v>
      </c>
      <c r="C89" s="53" t="s">
        <v>1358</v>
      </c>
      <c r="D89" s="54">
        <v>3</v>
      </c>
      <c r="E89" s="65"/>
      <c r="F89" s="55">
        <v>50</v>
      </c>
      <c r="G89" s="53"/>
      <c r="H89" s="57"/>
      <c r="I89" s="56"/>
      <c r="J89" s="56"/>
      <c r="K89" s="36" t="s">
        <v>65</v>
      </c>
      <c r="L89" s="83">
        <v>89</v>
      </c>
      <c r="M89" s="83"/>
      <c r="N89" s="63"/>
      <c r="O89" s="86" t="s">
        <v>293</v>
      </c>
      <c r="P89">
        <v>1</v>
      </c>
      <c r="Q89" s="85" t="str">
        <f>REPLACE(INDEX(GroupVertices[Group],MATCH(Edges[[#This Row],[Vertex 1]],GroupVertices[Vertex],0)),1,1,"")</f>
        <v>8</v>
      </c>
      <c r="R89" s="85" t="str">
        <f>REPLACE(INDEX(GroupVertices[Group],MATCH(Edges[[#This Row],[Vertex 2]],GroupVertices[Vertex],0)),1,1,"")</f>
        <v>8</v>
      </c>
      <c r="S89" s="36"/>
      <c r="T89" s="36"/>
      <c r="U89" s="36"/>
      <c r="V89" s="36"/>
      <c r="W89" s="36"/>
      <c r="X89" s="36"/>
      <c r="Y89" s="36"/>
      <c r="Z89" s="36"/>
      <c r="AA89" s="36"/>
    </row>
    <row r="90" spans="1:27" ht="45">
      <c r="A90" s="84" t="s">
        <v>205</v>
      </c>
      <c r="B90" s="84" t="s">
        <v>222</v>
      </c>
      <c r="C90" s="53" t="s">
        <v>1358</v>
      </c>
      <c r="D90" s="54">
        <v>3</v>
      </c>
      <c r="E90" s="65"/>
      <c r="F90" s="55">
        <v>50</v>
      </c>
      <c r="G90" s="53"/>
      <c r="H90" s="57"/>
      <c r="I90" s="56"/>
      <c r="J90" s="56"/>
      <c r="K90" s="36" t="s">
        <v>65</v>
      </c>
      <c r="L90" s="83">
        <v>90</v>
      </c>
      <c r="M90" s="83"/>
      <c r="N90" s="63"/>
      <c r="O90" s="86" t="s">
        <v>293</v>
      </c>
      <c r="P90">
        <v>1</v>
      </c>
      <c r="Q90" s="85" t="str">
        <f>REPLACE(INDEX(GroupVertices[Group],MATCH(Edges[[#This Row],[Vertex 1]],GroupVertices[Vertex],0)),1,1,"")</f>
        <v>8</v>
      </c>
      <c r="R90" s="85" t="str">
        <f>REPLACE(INDEX(GroupVertices[Group],MATCH(Edges[[#This Row],[Vertex 2]],GroupVertices[Vertex],0)),1,1,"")</f>
        <v>5</v>
      </c>
      <c r="S90" s="36"/>
      <c r="T90" s="36"/>
      <c r="U90" s="36"/>
      <c r="V90" s="36"/>
      <c r="W90" s="36"/>
      <c r="X90" s="36"/>
      <c r="Y90" s="36"/>
      <c r="Z90" s="36"/>
      <c r="AA90" s="36"/>
    </row>
    <row r="91" spans="1:27" ht="45">
      <c r="A91" s="84" t="s">
        <v>205</v>
      </c>
      <c r="B91" s="84" t="s">
        <v>282</v>
      </c>
      <c r="C91" s="53" t="s">
        <v>1358</v>
      </c>
      <c r="D91" s="54">
        <v>3</v>
      </c>
      <c r="E91" s="65"/>
      <c r="F91" s="55">
        <v>50</v>
      </c>
      <c r="G91" s="53"/>
      <c r="H91" s="57"/>
      <c r="I91" s="56"/>
      <c r="J91" s="56"/>
      <c r="K91" s="36" t="s">
        <v>65</v>
      </c>
      <c r="L91" s="83">
        <v>91</v>
      </c>
      <c r="M91" s="83"/>
      <c r="N91" s="63"/>
      <c r="O91" s="86" t="s">
        <v>293</v>
      </c>
      <c r="P91">
        <v>1</v>
      </c>
      <c r="Q91" s="85" t="str">
        <f>REPLACE(INDEX(GroupVertices[Group],MATCH(Edges[[#This Row],[Vertex 1]],GroupVertices[Vertex],0)),1,1,"")</f>
        <v>8</v>
      </c>
      <c r="R91" s="85" t="str">
        <f>REPLACE(INDEX(GroupVertices[Group],MATCH(Edges[[#This Row],[Vertex 2]],GroupVertices[Vertex],0)),1,1,"")</f>
        <v>8</v>
      </c>
      <c r="S91" s="36"/>
      <c r="T91" s="36"/>
      <c r="U91" s="36"/>
      <c r="V91" s="36"/>
      <c r="W91" s="36"/>
      <c r="X91" s="36"/>
      <c r="Y91" s="36"/>
      <c r="Z91" s="36"/>
      <c r="AA91" s="36"/>
    </row>
    <row r="92" spans="1:27" ht="45">
      <c r="A92" s="84" t="s">
        <v>206</v>
      </c>
      <c r="B92" s="84" t="s">
        <v>283</v>
      </c>
      <c r="C92" s="53" t="s">
        <v>1358</v>
      </c>
      <c r="D92" s="54">
        <v>3</v>
      </c>
      <c r="E92" s="65"/>
      <c r="F92" s="55">
        <v>50</v>
      </c>
      <c r="G92" s="53"/>
      <c r="H92" s="57"/>
      <c r="I92" s="56"/>
      <c r="J92" s="56"/>
      <c r="K92" s="36" t="s">
        <v>65</v>
      </c>
      <c r="L92" s="83">
        <v>92</v>
      </c>
      <c r="M92" s="83"/>
      <c r="N92" s="63"/>
      <c r="O92" s="86" t="s">
        <v>293</v>
      </c>
      <c r="P92">
        <v>1</v>
      </c>
      <c r="Q92" s="85" t="str">
        <f>REPLACE(INDEX(GroupVertices[Group],MATCH(Edges[[#This Row],[Vertex 1]],GroupVertices[Vertex],0)),1,1,"")</f>
        <v>4</v>
      </c>
      <c r="R92" s="85" t="str">
        <f>REPLACE(INDEX(GroupVertices[Group],MATCH(Edges[[#This Row],[Vertex 2]],GroupVertices[Vertex],0)),1,1,"")</f>
        <v>4</v>
      </c>
      <c r="S92" s="36"/>
      <c r="T92" s="36"/>
      <c r="U92" s="36"/>
      <c r="V92" s="36"/>
      <c r="W92" s="36"/>
      <c r="X92" s="36"/>
      <c r="Y92" s="36"/>
      <c r="Z92" s="36"/>
      <c r="AA92" s="36"/>
    </row>
    <row r="93" spans="1:27" ht="45">
      <c r="A93" s="84" t="s">
        <v>206</v>
      </c>
      <c r="B93" s="84" t="s">
        <v>284</v>
      </c>
      <c r="C93" s="53" t="s">
        <v>1358</v>
      </c>
      <c r="D93" s="54">
        <v>3</v>
      </c>
      <c r="E93" s="65"/>
      <c r="F93" s="55">
        <v>50</v>
      </c>
      <c r="G93" s="53"/>
      <c r="H93" s="57"/>
      <c r="I93" s="56"/>
      <c r="J93" s="56"/>
      <c r="K93" s="36" t="s">
        <v>65</v>
      </c>
      <c r="L93" s="83">
        <v>93</v>
      </c>
      <c r="M93" s="83"/>
      <c r="N93" s="63"/>
      <c r="O93" s="86" t="s">
        <v>293</v>
      </c>
      <c r="P93">
        <v>1</v>
      </c>
      <c r="Q93" s="85" t="str">
        <f>REPLACE(INDEX(GroupVertices[Group],MATCH(Edges[[#This Row],[Vertex 1]],GroupVertices[Vertex],0)),1,1,"")</f>
        <v>4</v>
      </c>
      <c r="R93" s="85" t="str">
        <f>REPLACE(INDEX(GroupVertices[Group],MATCH(Edges[[#This Row],[Vertex 2]],GroupVertices[Vertex],0)),1,1,"")</f>
        <v>4</v>
      </c>
      <c r="S93" s="36"/>
      <c r="T93" s="36"/>
      <c r="U93" s="36"/>
      <c r="V93" s="36"/>
      <c r="W93" s="36"/>
      <c r="X93" s="36"/>
      <c r="Y93" s="36"/>
      <c r="Z93" s="36"/>
      <c r="AA93" s="36"/>
    </row>
    <row r="94" spans="1:27" ht="45">
      <c r="A94" s="84" t="s">
        <v>206</v>
      </c>
      <c r="B94" s="84" t="s">
        <v>285</v>
      </c>
      <c r="C94" s="53" t="s">
        <v>1358</v>
      </c>
      <c r="D94" s="54">
        <v>3</v>
      </c>
      <c r="E94" s="65"/>
      <c r="F94" s="55">
        <v>50</v>
      </c>
      <c r="G94" s="53"/>
      <c r="H94" s="57"/>
      <c r="I94" s="56"/>
      <c r="J94" s="56"/>
      <c r="K94" s="36" t="s">
        <v>65</v>
      </c>
      <c r="L94" s="83">
        <v>94</v>
      </c>
      <c r="M94" s="83"/>
      <c r="N94" s="63"/>
      <c r="O94" s="86" t="s">
        <v>293</v>
      </c>
      <c r="P94">
        <v>1</v>
      </c>
      <c r="Q94" s="85" t="str">
        <f>REPLACE(INDEX(GroupVertices[Group],MATCH(Edges[[#This Row],[Vertex 1]],GroupVertices[Vertex],0)),1,1,"")</f>
        <v>4</v>
      </c>
      <c r="R94" s="85" t="str">
        <f>REPLACE(INDEX(GroupVertices[Group],MATCH(Edges[[#This Row],[Vertex 2]],GroupVertices[Vertex],0)),1,1,"")</f>
        <v>4</v>
      </c>
      <c r="S94" s="36"/>
      <c r="T94" s="36"/>
      <c r="U94" s="36"/>
      <c r="V94" s="36"/>
      <c r="W94" s="36"/>
      <c r="X94" s="36"/>
      <c r="Y94" s="36"/>
      <c r="Z94" s="36"/>
      <c r="AA94" s="36"/>
    </row>
    <row r="95" spans="1:27" ht="45">
      <c r="A95" s="84" t="s">
        <v>206</v>
      </c>
      <c r="B95" s="84" t="s">
        <v>286</v>
      </c>
      <c r="C95" s="53" t="s">
        <v>1358</v>
      </c>
      <c r="D95" s="54">
        <v>3</v>
      </c>
      <c r="E95" s="65"/>
      <c r="F95" s="55">
        <v>50</v>
      </c>
      <c r="G95" s="53"/>
      <c r="H95" s="57"/>
      <c r="I95" s="56"/>
      <c r="J95" s="56"/>
      <c r="K95" s="36" t="s">
        <v>65</v>
      </c>
      <c r="L95" s="83">
        <v>95</v>
      </c>
      <c r="M95" s="83"/>
      <c r="N95" s="63"/>
      <c r="O95" s="86" t="s">
        <v>293</v>
      </c>
      <c r="P95">
        <v>1</v>
      </c>
      <c r="Q95" s="85" t="str">
        <f>REPLACE(INDEX(GroupVertices[Group],MATCH(Edges[[#This Row],[Vertex 1]],GroupVertices[Vertex],0)),1,1,"")</f>
        <v>4</v>
      </c>
      <c r="R95" s="85" t="str">
        <f>REPLACE(INDEX(GroupVertices[Group],MATCH(Edges[[#This Row],[Vertex 2]],GroupVertices[Vertex],0)),1,1,"")</f>
        <v>4</v>
      </c>
      <c r="S95" s="36"/>
      <c r="T95" s="36"/>
      <c r="U95" s="36"/>
      <c r="V95" s="36"/>
      <c r="W95" s="36"/>
      <c r="X95" s="36"/>
      <c r="Y95" s="36"/>
      <c r="Z95" s="36"/>
      <c r="AA95" s="36"/>
    </row>
    <row r="96" spans="1:27" ht="45">
      <c r="A96" s="84" t="s">
        <v>206</v>
      </c>
      <c r="B96" s="84" t="s">
        <v>287</v>
      </c>
      <c r="C96" s="53" t="s">
        <v>1358</v>
      </c>
      <c r="D96" s="54">
        <v>3</v>
      </c>
      <c r="E96" s="65"/>
      <c r="F96" s="55">
        <v>50</v>
      </c>
      <c r="G96" s="53"/>
      <c r="H96" s="57"/>
      <c r="I96" s="56"/>
      <c r="J96" s="56"/>
      <c r="K96" s="36" t="s">
        <v>65</v>
      </c>
      <c r="L96" s="83">
        <v>96</v>
      </c>
      <c r="M96" s="83"/>
      <c r="N96" s="63"/>
      <c r="O96" s="86" t="s">
        <v>293</v>
      </c>
      <c r="P96">
        <v>1</v>
      </c>
      <c r="Q96" s="85" t="str">
        <f>REPLACE(INDEX(GroupVertices[Group],MATCH(Edges[[#This Row],[Vertex 1]],GroupVertices[Vertex],0)),1,1,"")</f>
        <v>4</v>
      </c>
      <c r="R96" s="85" t="str">
        <f>REPLACE(INDEX(GroupVertices[Group],MATCH(Edges[[#This Row],[Vertex 2]],GroupVertices[Vertex],0)),1,1,"")</f>
        <v>4</v>
      </c>
      <c r="S96" s="36"/>
      <c r="T96" s="36"/>
      <c r="U96" s="36"/>
      <c r="V96" s="36"/>
      <c r="W96" s="36"/>
      <c r="X96" s="36"/>
      <c r="Y96" s="36"/>
      <c r="Z96" s="36"/>
      <c r="AA96" s="36"/>
    </row>
    <row r="97" spans="1:27" ht="45">
      <c r="A97" s="84" t="s">
        <v>206</v>
      </c>
      <c r="B97" s="84" t="s">
        <v>288</v>
      </c>
      <c r="C97" s="53" t="s">
        <v>1358</v>
      </c>
      <c r="D97" s="54">
        <v>3</v>
      </c>
      <c r="E97" s="65"/>
      <c r="F97" s="55">
        <v>50</v>
      </c>
      <c r="G97" s="53"/>
      <c r="H97" s="57"/>
      <c r="I97" s="56"/>
      <c r="J97" s="56"/>
      <c r="K97" s="36" t="s">
        <v>65</v>
      </c>
      <c r="L97" s="83">
        <v>97</v>
      </c>
      <c r="M97" s="83"/>
      <c r="N97" s="63"/>
      <c r="O97" s="86" t="s">
        <v>293</v>
      </c>
      <c r="P97">
        <v>1</v>
      </c>
      <c r="Q97" s="85" t="str">
        <f>REPLACE(INDEX(GroupVertices[Group],MATCH(Edges[[#This Row],[Vertex 1]],GroupVertices[Vertex],0)),1,1,"")</f>
        <v>4</v>
      </c>
      <c r="R97" s="85" t="str">
        <f>REPLACE(INDEX(GroupVertices[Group],MATCH(Edges[[#This Row],[Vertex 2]],GroupVertices[Vertex],0)),1,1,"")</f>
        <v>4</v>
      </c>
      <c r="S97" s="36"/>
      <c r="T97" s="36"/>
      <c r="U97" s="36"/>
      <c r="V97" s="36"/>
      <c r="W97" s="36"/>
      <c r="X97" s="36"/>
      <c r="Y97" s="36"/>
      <c r="Z97" s="36"/>
      <c r="AA97" s="36"/>
    </row>
    <row r="98" spans="1:27" ht="45">
      <c r="A98" s="84" t="s">
        <v>206</v>
      </c>
      <c r="B98" s="84" t="s">
        <v>289</v>
      </c>
      <c r="C98" s="53" t="s">
        <v>1358</v>
      </c>
      <c r="D98" s="54">
        <v>3</v>
      </c>
      <c r="E98" s="65"/>
      <c r="F98" s="55">
        <v>50</v>
      </c>
      <c r="G98" s="53"/>
      <c r="H98" s="57"/>
      <c r="I98" s="56"/>
      <c r="J98" s="56"/>
      <c r="K98" s="36" t="s">
        <v>65</v>
      </c>
      <c r="L98" s="83">
        <v>98</v>
      </c>
      <c r="M98" s="83"/>
      <c r="N98" s="63"/>
      <c r="O98" s="86" t="s">
        <v>293</v>
      </c>
      <c r="P98">
        <v>1</v>
      </c>
      <c r="Q98" s="85" t="str">
        <f>REPLACE(INDEX(GroupVertices[Group],MATCH(Edges[[#This Row],[Vertex 1]],GroupVertices[Vertex],0)),1,1,"")</f>
        <v>4</v>
      </c>
      <c r="R98" s="85" t="str">
        <f>REPLACE(INDEX(GroupVertices[Group],MATCH(Edges[[#This Row],[Vertex 2]],GroupVertices[Vertex],0)),1,1,"")</f>
        <v>4</v>
      </c>
      <c r="S98" s="36"/>
      <c r="T98" s="36"/>
      <c r="U98" s="36"/>
      <c r="V98" s="36"/>
      <c r="W98" s="36"/>
      <c r="X98" s="36"/>
      <c r="Y98" s="36"/>
      <c r="Z98" s="36"/>
      <c r="AA98" s="36"/>
    </row>
    <row r="99" spans="1:27" ht="45">
      <c r="A99" s="84" t="s">
        <v>206</v>
      </c>
      <c r="B99" s="84" t="s">
        <v>290</v>
      </c>
      <c r="C99" s="53" t="s">
        <v>1358</v>
      </c>
      <c r="D99" s="54">
        <v>3</v>
      </c>
      <c r="E99" s="65"/>
      <c r="F99" s="55">
        <v>50</v>
      </c>
      <c r="G99" s="53"/>
      <c r="H99" s="57"/>
      <c r="I99" s="56"/>
      <c r="J99" s="56"/>
      <c r="K99" s="36" t="s">
        <v>65</v>
      </c>
      <c r="L99" s="83">
        <v>99</v>
      </c>
      <c r="M99" s="83"/>
      <c r="N99" s="63"/>
      <c r="O99" s="86" t="s">
        <v>293</v>
      </c>
      <c r="P99">
        <v>1</v>
      </c>
      <c r="Q99" s="85" t="str">
        <f>REPLACE(INDEX(GroupVertices[Group],MATCH(Edges[[#This Row],[Vertex 1]],GroupVertices[Vertex],0)),1,1,"")</f>
        <v>4</v>
      </c>
      <c r="R99" s="85" t="str">
        <f>REPLACE(INDEX(GroupVertices[Group],MATCH(Edges[[#This Row],[Vertex 2]],GroupVertices[Vertex],0)),1,1,"")</f>
        <v>4</v>
      </c>
      <c r="S99" s="36"/>
      <c r="T99" s="36"/>
      <c r="U99" s="36"/>
      <c r="V99" s="36"/>
      <c r="W99" s="36"/>
      <c r="X99" s="36"/>
      <c r="Y99" s="36"/>
      <c r="Z99" s="36"/>
      <c r="AA99" s="36"/>
    </row>
    <row r="100" spans="1:27" ht="45">
      <c r="A100" s="84" t="s">
        <v>206</v>
      </c>
      <c r="B100" s="84" t="s">
        <v>291</v>
      </c>
      <c r="C100" s="53" t="s">
        <v>1358</v>
      </c>
      <c r="D100" s="54">
        <v>3</v>
      </c>
      <c r="E100" s="65"/>
      <c r="F100" s="55">
        <v>50</v>
      </c>
      <c r="G100" s="53"/>
      <c r="H100" s="57"/>
      <c r="I100" s="56"/>
      <c r="J100" s="56"/>
      <c r="K100" s="36" t="s">
        <v>65</v>
      </c>
      <c r="L100" s="83">
        <v>100</v>
      </c>
      <c r="M100" s="83"/>
      <c r="N100" s="63"/>
      <c r="O100" s="86" t="s">
        <v>293</v>
      </c>
      <c r="P100">
        <v>1</v>
      </c>
      <c r="Q100" s="85" t="str">
        <f>REPLACE(INDEX(GroupVertices[Group],MATCH(Edges[[#This Row],[Vertex 1]],GroupVertices[Vertex],0)),1,1,"")</f>
        <v>4</v>
      </c>
      <c r="R100" s="85" t="str">
        <f>REPLACE(INDEX(GroupVertices[Group],MATCH(Edges[[#This Row],[Vertex 2]],GroupVertices[Vertex],0)),1,1,"")</f>
        <v>4</v>
      </c>
      <c r="S100" s="36"/>
      <c r="T100" s="36"/>
      <c r="U100" s="36"/>
      <c r="V100" s="36"/>
      <c r="W100" s="36"/>
      <c r="X100" s="36"/>
      <c r="Y100" s="36"/>
      <c r="Z100" s="36"/>
      <c r="AA100"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838AB-F562-4672-B8E3-3FCAB3E381C3}">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1196</v>
      </c>
      <c r="B2" s="128" t="s">
        <v>1197</v>
      </c>
      <c r="C2" s="67" t="s">
        <v>1198</v>
      </c>
    </row>
    <row r="3" spans="1:3" ht="15">
      <c r="A3" s="127" t="s">
        <v>749</v>
      </c>
      <c r="B3" s="127" t="s">
        <v>749</v>
      </c>
      <c r="C3" s="36">
        <v>20</v>
      </c>
    </row>
    <row r="4" spans="1:3" ht="15">
      <c r="A4" s="127" t="s">
        <v>750</v>
      </c>
      <c r="B4" s="127" t="s">
        <v>750</v>
      </c>
      <c r="C4" s="36">
        <v>10</v>
      </c>
    </row>
    <row r="5" spans="1:3" ht="15">
      <c r="A5" s="127" t="s">
        <v>751</v>
      </c>
      <c r="B5" s="127" t="s">
        <v>751</v>
      </c>
      <c r="C5" s="36">
        <v>10</v>
      </c>
    </row>
    <row r="6" spans="1:3" ht="15">
      <c r="A6" s="127" t="s">
        <v>752</v>
      </c>
      <c r="B6" s="127" t="s">
        <v>752</v>
      </c>
      <c r="C6" s="36">
        <v>9</v>
      </c>
    </row>
    <row r="7" spans="1:3" ht="15">
      <c r="A7" s="127" t="s">
        <v>753</v>
      </c>
      <c r="B7" s="127" t="s">
        <v>751</v>
      </c>
      <c r="C7" s="36">
        <v>1</v>
      </c>
    </row>
    <row r="8" spans="1:3" ht="15">
      <c r="A8" s="127" t="s">
        <v>753</v>
      </c>
      <c r="B8" s="127" t="s">
        <v>753</v>
      </c>
      <c r="C8" s="36">
        <v>9</v>
      </c>
    </row>
    <row r="9" spans="1:3" ht="15">
      <c r="A9" s="127" t="s">
        <v>754</v>
      </c>
      <c r="B9" s="127" t="s">
        <v>754</v>
      </c>
      <c r="C9" s="36">
        <v>9</v>
      </c>
    </row>
    <row r="10" spans="1:3" ht="15">
      <c r="A10" s="127" t="s">
        <v>754</v>
      </c>
      <c r="B10" s="127" t="s">
        <v>755</v>
      </c>
      <c r="C10" s="36">
        <v>1</v>
      </c>
    </row>
    <row r="11" spans="1:3" ht="15">
      <c r="A11" s="127" t="s">
        <v>755</v>
      </c>
      <c r="B11" s="127" t="s">
        <v>754</v>
      </c>
      <c r="C11" s="36">
        <v>1</v>
      </c>
    </row>
    <row r="12" spans="1:3" ht="15">
      <c r="A12" s="127" t="s">
        <v>755</v>
      </c>
      <c r="B12" s="127" t="s">
        <v>755</v>
      </c>
      <c r="C12" s="36">
        <v>8</v>
      </c>
    </row>
    <row r="13" spans="1:3" ht="15">
      <c r="A13" s="127" t="s">
        <v>756</v>
      </c>
      <c r="B13" s="127" t="s">
        <v>753</v>
      </c>
      <c r="C13" s="36">
        <v>1</v>
      </c>
    </row>
    <row r="14" spans="1:3" ht="15">
      <c r="A14" s="127" t="s">
        <v>756</v>
      </c>
      <c r="B14" s="127" t="s">
        <v>754</v>
      </c>
      <c r="C14" s="36">
        <v>1</v>
      </c>
    </row>
    <row r="15" spans="1:3" ht="15">
      <c r="A15" s="127" t="s">
        <v>756</v>
      </c>
      <c r="B15" s="127" t="s">
        <v>755</v>
      </c>
      <c r="C15" s="36">
        <v>1</v>
      </c>
    </row>
    <row r="16" spans="1:3" ht="15">
      <c r="A16" s="127" t="s">
        <v>756</v>
      </c>
      <c r="B16" s="127" t="s">
        <v>756</v>
      </c>
      <c r="C16" s="36">
        <v>7</v>
      </c>
    </row>
    <row r="17" spans="1:3" ht="15">
      <c r="A17" s="127" t="s">
        <v>757</v>
      </c>
      <c r="B17" s="127" t="s">
        <v>753</v>
      </c>
      <c r="C17" s="36">
        <v>1</v>
      </c>
    </row>
    <row r="18" spans="1:3" ht="15">
      <c r="A18" s="127" t="s">
        <v>757</v>
      </c>
      <c r="B18" s="127" t="s">
        <v>754</v>
      </c>
      <c r="C18" s="36">
        <v>1</v>
      </c>
    </row>
    <row r="19" spans="1:3" ht="15">
      <c r="A19" s="127" t="s">
        <v>757</v>
      </c>
      <c r="B19" s="127" t="s">
        <v>756</v>
      </c>
      <c r="C19" s="36">
        <v>1</v>
      </c>
    </row>
    <row r="20" spans="1:3" ht="15">
      <c r="A20" s="127" t="s">
        <v>757</v>
      </c>
      <c r="B20" s="127" t="s">
        <v>757</v>
      </c>
      <c r="C20" s="36">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BE00-9E2A-48CF-84A7-29A1FCECAE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1216</v>
      </c>
      <c r="B1" s="13" t="s">
        <v>17</v>
      </c>
    </row>
    <row r="2" spans="1:2" ht="15">
      <c r="A2" s="85" t="s">
        <v>1217</v>
      </c>
      <c r="B2" s="85" t="s">
        <v>1223</v>
      </c>
    </row>
    <row r="3" spans="1:2" ht="15">
      <c r="A3" s="85" t="s">
        <v>1218</v>
      </c>
      <c r="B3" s="85" t="s">
        <v>1224</v>
      </c>
    </row>
    <row r="4" spans="1:2" ht="15">
      <c r="A4" s="85" t="s">
        <v>1219</v>
      </c>
      <c r="B4" s="85" t="s">
        <v>1225</v>
      </c>
    </row>
    <row r="5" spans="1:2" ht="15">
      <c r="A5" s="85" t="s">
        <v>1220</v>
      </c>
      <c r="B5" s="85" t="s">
        <v>1226</v>
      </c>
    </row>
    <row r="6" spans="1:2" ht="15">
      <c r="A6" s="85" t="s">
        <v>1221</v>
      </c>
      <c r="B6" s="85" t="s">
        <v>1227</v>
      </c>
    </row>
    <row r="7" spans="1:2" ht="15">
      <c r="A7" s="85" t="s">
        <v>1222</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8925-01A7-43C8-909D-1001CEC8653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1228</v>
      </c>
      <c r="B1" s="13" t="s">
        <v>34</v>
      </c>
    </row>
    <row r="2" spans="1:2" ht="15">
      <c r="A2" s="120" t="s">
        <v>200</v>
      </c>
      <c r="B2" s="85">
        <v>1600</v>
      </c>
    </row>
    <row r="3" spans="1:2" ht="15">
      <c r="A3" s="120" t="s">
        <v>222</v>
      </c>
      <c r="B3" s="85">
        <v>1441.333333</v>
      </c>
    </row>
    <row r="4" spans="1:2" ht="15">
      <c r="A4" s="120" t="s">
        <v>221</v>
      </c>
      <c r="B4" s="85">
        <v>1213.2</v>
      </c>
    </row>
    <row r="5" spans="1:2" ht="15">
      <c r="A5" s="120" t="s">
        <v>205</v>
      </c>
      <c r="B5" s="85">
        <v>1153.733333</v>
      </c>
    </row>
    <row r="6" spans="1:2" ht="15">
      <c r="A6" s="120" t="s">
        <v>198</v>
      </c>
      <c r="B6" s="85">
        <v>1075.266667</v>
      </c>
    </row>
    <row r="7" spans="1:2" ht="15">
      <c r="A7" s="120" t="s">
        <v>203</v>
      </c>
      <c r="B7" s="85">
        <v>900</v>
      </c>
    </row>
    <row r="8" spans="1:2" ht="15">
      <c r="A8" s="120" t="s">
        <v>241</v>
      </c>
      <c r="B8" s="85">
        <v>900</v>
      </c>
    </row>
    <row r="9" spans="1:2" ht="15">
      <c r="A9" s="120" t="s">
        <v>199</v>
      </c>
      <c r="B9" s="85">
        <v>839.266667</v>
      </c>
    </row>
    <row r="10" spans="1:2" ht="15">
      <c r="A10" s="120" t="s">
        <v>201</v>
      </c>
      <c r="B10" s="85">
        <v>681.733333</v>
      </c>
    </row>
    <row r="11" spans="1:2" ht="15">
      <c r="A11" s="120" t="s">
        <v>202</v>
      </c>
      <c r="B11" s="85">
        <v>216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F4E6-1B72-417B-9CD2-235082E5A763}">
  <dimension ref="A1:T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s>
  <sheetData>
    <row r="1" spans="1:20" ht="15" customHeight="1">
      <c r="A1" s="13" t="s">
        <v>1229</v>
      </c>
      <c r="B1" s="13" t="s">
        <v>1230</v>
      </c>
      <c r="C1" s="13" t="s">
        <v>1231</v>
      </c>
      <c r="D1" s="13" t="s">
        <v>1233</v>
      </c>
      <c r="E1" s="13" t="s">
        <v>1232</v>
      </c>
      <c r="F1" s="13" t="s">
        <v>1235</v>
      </c>
      <c r="G1" s="13" t="s">
        <v>1234</v>
      </c>
      <c r="H1" s="13" t="s">
        <v>1237</v>
      </c>
      <c r="I1" s="13" t="s">
        <v>1236</v>
      </c>
      <c r="J1" s="13" t="s">
        <v>1239</v>
      </c>
      <c r="K1" s="13" t="s">
        <v>1238</v>
      </c>
      <c r="L1" s="13" t="s">
        <v>1241</v>
      </c>
      <c r="M1" s="13" t="s">
        <v>1240</v>
      </c>
      <c r="N1" s="13" t="s">
        <v>1243</v>
      </c>
      <c r="O1" s="13" t="s">
        <v>1242</v>
      </c>
      <c r="P1" s="13" t="s">
        <v>1245</v>
      </c>
      <c r="Q1" s="13" t="s">
        <v>1244</v>
      </c>
      <c r="R1" s="13" t="s">
        <v>1247</v>
      </c>
      <c r="S1" s="13" t="s">
        <v>1246</v>
      </c>
      <c r="T1" s="13" t="s">
        <v>1248</v>
      </c>
    </row>
    <row r="2" spans="1:20" ht="15">
      <c r="A2" s="123" t="s">
        <v>779</v>
      </c>
      <c r="B2" s="123">
        <v>114</v>
      </c>
      <c r="C2" s="123" t="s">
        <v>794</v>
      </c>
      <c r="D2" s="123">
        <v>17</v>
      </c>
      <c r="E2" s="123" t="s">
        <v>783</v>
      </c>
      <c r="F2" s="123">
        <v>52</v>
      </c>
      <c r="G2" s="123" t="s">
        <v>792</v>
      </c>
      <c r="H2" s="123">
        <v>19</v>
      </c>
      <c r="I2" s="123" t="s">
        <v>812</v>
      </c>
      <c r="J2" s="123">
        <v>12</v>
      </c>
      <c r="K2" s="123" t="s">
        <v>810</v>
      </c>
      <c r="L2" s="123">
        <v>8</v>
      </c>
      <c r="M2" s="123" t="s">
        <v>779</v>
      </c>
      <c r="N2" s="123">
        <v>18</v>
      </c>
      <c r="O2" s="123" t="s">
        <v>790</v>
      </c>
      <c r="P2" s="123">
        <v>5</v>
      </c>
      <c r="Q2" s="123" t="s">
        <v>779</v>
      </c>
      <c r="R2" s="123">
        <v>15</v>
      </c>
      <c r="S2" s="123" t="s">
        <v>779</v>
      </c>
      <c r="T2" s="123">
        <v>51</v>
      </c>
    </row>
    <row r="3" spans="1:20" ht="15">
      <c r="A3" s="123" t="s">
        <v>780</v>
      </c>
      <c r="B3" s="123">
        <v>64</v>
      </c>
      <c r="C3" s="123" t="s">
        <v>806</v>
      </c>
      <c r="D3" s="123">
        <v>13</v>
      </c>
      <c r="E3" s="123" t="s">
        <v>782</v>
      </c>
      <c r="F3" s="123">
        <v>50</v>
      </c>
      <c r="G3" s="123" t="s">
        <v>793</v>
      </c>
      <c r="H3" s="123">
        <v>18</v>
      </c>
      <c r="I3" s="123" t="s">
        <v>817</v>
      </c>
      <c r="J3" s="123">
        <v>11</v>
      </c>
      <c r="K3" s="123" t="s">
        <v>779</v>
      </c>
      <c r="L3" s="123">
        <v>7</v>
      </c>
      <c r="M3" s="123" t="s">
        <v>780</v>
      </c>
      <c r="N3" s="123">
        <v>15</v>
      </c>
      <c r="O3" s="123" t="s">
        <v>780</v>
      </c>
      <c r="P3" s="123">
        <v>5</v>
      </c>
      <c r="Q3" s="123" t="s">
        <v>780</v>
      </c>
      <c r="R3" s="123">
        <v>12</v>
      </c>
      <c r="S3" s="123" t="s">
        <v>781</v>
      </c>
      <c r="T3" s="123">
        <v>18</v>
      </c>
    </row>
    <row r="4" spans="1:20" ht="15">
      <c r="A4" s="123" t="s">
        <v>781</v>
      </c>
      <c r="B4" s="123">
        <v>63</v>
      </c>
      <c r="C4" s="123" t="s">
        <v>779</v>
      </c>
      <c r="D4" s="123">
        <v>12</v>
      </c>
      <c r="E4" s="123" t="s">
        <v>785</v>
      </c>
      <c r="F4" s="123">
        <v>44</v>
      </c>
      <c r="G4" s="123" t="s">
        <v>791</v>
      </c>
      <c r="H4" s="123">
        <v>16</v>
      </c>
      <c r="I4" s="123" t="s">
        <v>798</v>
      </c>
      <c r="J4" s="123">
        <v>8</v>
      </c>
      <c r="K4" s="123" t="s">
        <v>780</v>
      </c>
      <c r="L4" s="123">
        <v>5</v>
      </c>
      <c r="M4" s="123" t="s">
        <v>781</v>
      </c>
      <c r="N4" s="123">
        <v>13</v>
      </c>
      <c r="O4" s="123" t="s">
        <v>821</v>
      </c>
      <c r="P4" s="123">
        <v>5</v>
      </c>
      <c r="Q4" s="123" t="s">
        <v>781</v>
      </c>
      <c r="R4" s="123">
        <v>11</v>
      </c>
      <c r="S4" s="123" t="s">
        <v>780</v>
      </c>
      <c r="T4" s="123">
        <v>14</v>
      </c>
    </row>
    <row r="5" spans="1:20" ht="15">
      <c r="A5" s="123" t="s">
        <v>782</v>
      </c>
      <c r="B5" s="123">
        <v>52</v>
      </c>
      <c r="C5" s="123" t="s">
        <v>802</v>
      </c>
      <c r="D5" s="123">
        <v>12</v>
      </c>
      <c r="E5" s="123" t="s">
        <v>787</v>
      </c>
      <c r="F5" s="123">
        <v>27</v>
      </c>
      <c r="G5" s="123" t="s">
        <v>789</v>
      </c>
      <c r="H5" s="123">
        <v>15</v>
      </c>
      <c r="I5" s="123" t="s">
        <v>885</v>
      </c>
      <c r="J5" s="123">
        <v>5</v>
      </c>
      <c r="K5" s="123" t="s">
        <v>879</v>
      </c>
      <c r="L5" s="123">
        <v>5</v>
      </c>
      <c r="M5" s="123" t="s">
        <v>790</v>
      </c>
      <c r="N5" s="123">
        <v>7</v>
      </c>
      <c r="O5" s="123" t="s">
        <v>781</v>
      </c>
      <c r="P5" s="123">
        <v>4</v>
      </c>
      <c r="Q5" s="123" t="s">
        <v>786</v>
      </c>
      <c r="R5" s="123">
        <v>9</v>
      </c>
      <c r="S5" s="123" t="s">
        <v>786</v>
      </c>
      <c r="T5" s="123">
        <v>12</v>
      </c>
    </row>
    <row r="6" spans="1:20" ht="15">
      <c r="A6" s="123" t="s">
        <v>783</v>
      </c>
      <c r="B6" s="123">
        <v>52</v>
      </c>
      <c r="C6" s="123" t="s">
        <v>816</v>
      </c>
      <c r="D6" s="123">
        <v>11</v>
      </c>
      <c r="E6" s="123" t="s">
        <v>788</v>
      </c>
      <c r="F6" s="123">
        <v>21</v>
      </c>
      <c r="G6" s="123" t="s">
        <v>788</v>
      </c>
      <c r="H6" s="123">
        <v>13</v>
      </c>
      <c r="I6" s="123" t="s">
        <v>866</v>
      </c>
      <c r="J6" s="123">
        <v>5</v>
      </c>
      <c r="K6" s="123" t="s">
        <v>786</v>
      </c>
      <c r="L6" s="123">
        <v>4</v>
      </c>
      <c r="M6" s="123" t="s">
        <v>804</v>
      </c>
      <c r="N6" s="123">
        <v>7</v>
      </c>
      <c r="O6" s="123" t="s">
        <v>779</v>
      </c>
      <c r="P6" s="123">
        <v>4</v>
      </c>
      <c r="Q6" s="123" t="s">
        <v>819</v>
      </c>
      <c r="R6" s="123">
        <v>8</v>
      </c>
      <c r="S6" s="123" t="s">
        <v>809</v>
      </c>
      <c r="T6" s="123">
        <v>11</v>
      </c>
    </row>
    <row r="7" spans="1:20" ht="15">
      <c r="A7" s="123" t="s">
        <v>784</v>
      </c>
      <c r="B7" s="123">
        <v>45</v>
      </c>
      <c r="C7" s="123" t="s">
        <v>813</v>
      </c>
      <c r="D7" s="123">
        <v>11</v>
      </c>
      <c r="E7" s="123" t="s">
        <v>784</v>
      </c>
      <c r="F7" s="123">
        <v>20</v>
      </c>
      <c r="G7" s="123" t="s">
        <v>797</v>
      </c>
      <c r="H7" s="123">
        <v>13</v>
      </c>
      <c r="I7" s="123" t="s">
        <v>987</v>
      </c>
      <c r="J7" s="123">
        <v>3</v>
      </c>
      <c r="K7" s="123" t="s">
        <v>901</v>
      </c>
      <c r="L7" s="123">
        <v>4</v>
      </c>
      <c r="M7" s="123" t="s">
        <v>841</v>
      </c>
      <c r="N7" s="123">
        <v>6</v>
      </c>
      <c r="O7" s="123" t="s">
        <v>902</v>
      </c>
      <c r="P7" s="123">
        <v>4</v>
      </c>
      <c r="Q7" s="123" t="s">
        <v>807</v>
      </c>
      <c r="R7" s="123">
        <v>5</v>
      </c>
      <c r="S7" s="123" t="s">
        <v>795</v>
      </c>
      <c r="T7" s="123">
        <v>9</v>
      </c>
    </row>
    <row r="8" spans="1:20" ht="15">
      <c r="A8" s="123" t="s">
        <v>785</v>
      </c>
      <c r="B8" s="123">
        <v>44</v>
      </c>
      <c r="C8" s="123" t="s">
        <v>825</v>
      </c>
      <c r="D8" s="123">
        <v>9</v>
      </c>
      <c r="E8" s="123" t="s">
        <v>796</v>
      </c>
      <c r="F8" s="123">
        <v>14</v>
      </c>
      <c r="G8" s="123" t="s">
        <v>787</v>
      </c>
      <c r="H8" s="123">
        <v>11</v>
      </c>
      <c r="I8" s="123" t="s">
        <v>988</v>
      </c>
      <c r="J8" s="123">
        <v>3</v>
      </c>
      <c r="K8" s="123" t="s">
        <v>837</v>
      </c>
      <c r="L8" s="123">
        <v>4</v>
      </c>
      <c r="M8" s="123" t="s">
        <v>786</v>
      </c>
      <c r="N8" s="123">
        <v>5</v>
      </c>
      <c r="O8" s="123" t="s">
        <v>903</v>
      </c>
      <c r="P8" s="123">
        <v>4</v>
      </c>
      <c r="Q8" s="123" t="s">
        <v>784</v>
      </c>
      <c r="R8" s="123">
        <v>4</v>
      </c>
      <c r="S8" s="123" t="s">
        <v>838</v>
      </c>
      <c r="T8" s="123">
        <v>7</v>
      </c>
    </row>
    <row r="9" spans="1:20" ht="15">
      <c r="A9" s="123" t="s">
        <v>786</v>
      </c>
      <c r="B9" s="123">
        <v>43</v>
      </c>
      <c r="C9" s="123" t="s">
        <v>610</v>
      </c>
      <c r="D9" s="123">
        <v>7</v>
      </c>
      <c r="E9" s="123" t="s">
        <v>789</v>
      </c>
      <c r="F9" s="123">
        <v>13</v>
      </c>
      <c r="G9" s="123" t="s">
        <v>784</v>
      </c>
      <c r="H9" s="123">
        <v>11</v>
      </c>
      <c r="I9" s="123" t="s">
        <v>989</v>
      </c>
      <c r="J9" s="123">
        <v>3</v>
      </c>
      <c r="K9" s="123" t="s">
        <v>781</v>
      </c>
      <c r="L9" s="123">
        <v>3</v>
      </c>
      <c r="M9" s="123" t="s">
        <v>857</v>
      </c>
      <c r="N9" s="123">
        <v>5</v>
      </c>
      <c r="O9" s="123" t="s">
        <v>800</v>
      </c>
      <c r="P9" s="123">
        <v>4</v>
      </c>
      <c r="Q9" s="123" t="s">
        <v>801</v>
      </c>
      <c r="R9" s="123">
        <v>4</v>
      </c>
      <c r="S9" s="123" t="s">
        <v>818</v>
      </c>
      <c r="T9" s="123">
        <v>5</v>
      </c>
    </row>
    <row r="10" spans="1:20" ht="15">
      <c r="A10" s="123" t="s">
        <v>787</v>
      </c>
      <c r="B10" s="123">
        <v>42</v>
      </c>
      <c r="C10" s="123" t="s">
        <v>781</v>
      </c>
      <c r="D10" s="123">
        <v>7</v>
      </c>
      <c r="E10" s="123" t="s">
        <v>811</v>
      </c>
      <c r="F10" s="123">
        <v>12</v>
      </c>
      <c r="G10" s="123" t="s">
        <v>814</v>
      </c>
      <c r="H10" s="123">
        <v>10</v>
      </c>
      <c r="I10" s="123" t="s">
        <v>990</v>
      </c>
      <c r="J10" s="123">
        <v>3</v>
      </c>
      <c r="K10" s="123" t="s">
        <v>795</v>
      </c>
      <c r="L10" s="123">
        <v>3</v>
      </c>
      <c r="M10" s="123" t="s">
        <v>840</v>
      </c>
      <c r="N10" s="123">
        <v>4</v>
      </c>
      <c r="O10" s="123" t="s">
        <v>905</v>
      </c>
      <c r="P10" s="123">
        <v>3</v>
      </c>
      <c r="Q10" s="123" t="s">
        <v>886</v>
      </c>
      <c r="R10" s="123">
        <v>3</v>
      </c>
      <c r="S10" s="123" t="s">
        <v>873</v>
      </c>
      <c r="T10" s="123">
        <v>5</v>
      </c>
    </row>
    <row r="11" spans="1:20" ht="15">
      <c r="A11" s="123" t="s">
        <v>788</v>
      </c>
      <c r="B11" s="123">
        <v>36</v>
      </c>
      <c r="C11" s="123" t="s">
        <v>864</v>
      </c>
      <c r="D11" s="123">
        <v>6</v>
      </c>
      <c r="E11" s="123" t="s">
        <v>815</v>
      </c>
      <c r="F11" s="123">
        <v>10</v>
      </c>
      <c r="G11" s="123" t="s">
        <v>826</v>
      </c>
      <c r="H11" s="123">
        <v>9</v>
      </c>
      <c r="I11" s="123" t="s">
        <v>991</v>
      </c>
      <c r="J11" s="123">
        <v>3</v>
      </c>
      <c r="K11" s="123" t="s">
        <v>856</v>
      </c>
      <c r="L11" s="123">
        <v>3</v>
      </c>
      <c r="M11" s="123" t="s">
        <v>875</v>
      </c>
      <c r="N11" s="123">
        <v>4</v>
      </c>
      <c r="O11" s="123" t="s">
        <v>877</v>
      </c>
      <c r="P11" s="123">
        <v>3</v>
      </c>
      <c r="Q11" s="123" t="s">
        <v>820</v>
      </c>
      <c r="R11" s="123">
        <v>3</v>
      </c>
      <c r="S11" s="123" t="s">
        <v>872</v>
      </c>
      <c r="T11" s="123">
        <v>4</v>
      </c>
    </row>
    <row r="14" spans="1:20" ht="15" customHeight="1">
      <c r="A14" s="13" t="s">
        <v>1259</v>
      </c>
      <c r="B14" s="13" t="s">
        <v>1230</v>
      </c>
      <c r="C14" s="13" t="s">
        <v>1270</v>
      </c>
      <c r="D14" s="13" t="s">
        <v>1233</v>
      </c>
      <c r="E14" s="13" t="s">
        <v>1279</v>
      </c>
      <c r="F14" s="13" t="s">
        <v>1235</v>
      </c>
      <c r="G14" s="13" t="s">
        <v>1285</v>
      </c>
      <c r="H14" s="13" t="s">
        <v>1237</v>
      </c>
      <c r="I14" s="13" t="s">
        <v>1295</v>
      </c>
      <c r="J14" s="13" t="s">
        <v>1239</v>
      </c>
      <c r="K14" s="13" t="s">
        <v>1306</v>
      </c>
      <c r="L14" s="13" t="s">
        <v>1241</v>
      </c>
      <c r="M14" s="13" t="s">
        <v>1312</v>
      </c>
      <c r="N14" s="13" t="s">
        <v>1243</v>
      </c>
      <c r="O14" s="13" t="s">
        <v>1320</v>
      </c>
      <c r="P14" s="13" t="s">
        <v>1245</v>
      </c>
      <c r="Q14" s="13" t="s">
        <v>1327</v>
      </c>
      <c r="R14" s="13" t="s">
        <v>1247</v>
      </c>
      <c r="S14" s="13" t="s">
        <v>1335</v>
      </c>
      <c r="T14" s="13" t="s">
        <v>1248</v>
      </c>
    </row>
    <row r="15" spans="1:20" ht="15">
      <c r="A15" s="123" t="s">
        <v>1260</v>
      </c>
      <c r="B15" s="123">
        <v>61</v>
      </c>
      <c r="C15" s="123" t="s">
        <v>1260</v>
      </c>
      <c r="D15" s="123">
        <v>6</v>
      </c>
      <c r="E15" s="123" t="s">
        <v>1261</v>
      </c>
      <c r="F15" s="123">
        <v>36</v>
      </c>
      <c r="G15" s="123" t="s">
        <v>1267</v>
      </c>
      <c r="H15" s="123">
        <v>11</v>
      </c>
      <c r="I15" s="123" t="s">
        <v>1296</v>
      </c>
      <c r="J15" s="123">
        <v>11</v>
      </c>
      <c r="K15" s="123" t="s">
        <v>1260</v>
      </c>
      <c r="L15" s="123">
        <v>3</v>
      </c>
      <c r="M15" s="123" t="s">
        <v>1260</v>
      </c>
      <c r="N15" s="123">
        <v>13</v>
      </c>
      <c r="O15" s="123" t="s">
        <v>1260</v>
      </c>
      <c r="P15" s="123">
        <v>4</v>
      </c>
      <c r="Q15" s="123" t="s">
        <v>1260</v>
      </c>
      <c r="R15" s="123">
        <v>11</v>
      </c>
      <c r="S15" s="123" t="s">
        <v>1260</v>
      </c>
      <c r="T15" s="123">
        <v>18</v>
      </c>
    </row>
    <row r="16" spans="1:20" ht="15">
      <c r="A16" s="123" t="s">
        <v>1261</v>
      </c>
      <c r="B16" s="123">
        <v>36</v>
      </c>
      <c r="C16" s="123" t="s">
        <v>1271</v>
      </c>
      <c r="D16" s="123">
        <v>6</v>
      </c>
      <c r="E16" s="123" t="s">
        <v>1262</v>
      </c>
      <c r="F16" s="123">
        <v>28</v>
      </c>
      <c r="G16" s="123" t="s">
        <v>1286</v>
      </c>
      <c r="H16" s="123">
        <v>9</v>
      </c>
      <c r="I16" s="123" t="s">
        <v>1297</v>
      </c>
      <c r="J16" s="123">
        <v>3</v>
      </c>
      <c r="K16" s="123" t="s">
        <v>1307</v>
      </c>
      <c r="L16" s="123">
        <v>3</v>
      </c>
      <c r="M16" s="123" t="s">
        <v>1313</v>
      </c>
      <c r="N16" s="123">
        <v>5</v>
      </c>
      <c r="O16" s="123" t="s">
        <v>1321</v>
      </c>
      <c r="P16" s="123">
        <v>4</v>
      </c>
      <c r="Q16" s="123" t="s">
        <v>1264</v>
      </c>
      <c r="R16" s="123">
        <v>4</v>
      </c>
      <c r="S16" s="123" t="s">
        <v>1336</v>
      </c>
      <c r="T16" s="123">
        <v>6</v>
      </c>
    </row>
    <row r="17" spans="1:20" ht="15">
      <c r="A17" s="123" t="s">
        <v>1262</v>
      </c>
      <c r="B17" s="123">
        <v>28</v>
      </c>
      <c r="C17" s="123" t="s">
        <v>1272</v>
      </c>
      <c r="D17" s="123">
        <v>6</v>
      </c>
      <c r="E17" s="123" t="s">
        <v>1263</v>
      </c>
      <c r="F17" s="123">
        <v>18</v>
      </c>
      <c r="G17" s="123" t="s">
        <v>1287</v>
      </c>
      <c r="H17" s="123">
        <v>8</v>
      </c>
      <c r="I17" s="123" t="s">
        <v>1298</v>
      </c>
      <c r="J17" s="123">
        <v>3</v>
      </c>
      <c r="K17" s="123" t="s">
        <v>1308</v>
      </c>
      <c r="L17" s="123">
        <v>3</v>
      </c>
      <c r="M17" s="123" t="s">
        <v>1307</v>
      </c>
      <c r="N17" s="123">
        <v>4</v>
      </c>
      <c r="O17" s="123" t="s">
        <v>1322</v>
      </c>
      <c r="P17" s="123">
        <v>3</v>
      </c>
      <c r="Q17" s="123" t="s">
        <v>1328</v>
      </c>
      <c r="R17" s="123">
        <v>3</v>
      </c>
      <c r="S17" s="123" t="s">
        <v>1337</v>
      </c>
      <c r="T17" s="123">
        <v>5</v>
      </c>
    </row>
    <row r="18" spans="1:20" ht="15">
      <c r="A18" s="123" t="s">
        <v>1263</v>
      </c>
      <c r="B18" s="123">
        <v>18</v>
      </c>
      <c r="C18" s="123" t="s">
        <v>1273</v>
      </c>
      <c r="D18" s="123">
        <v>5</v>
      </c>
      <c r="E18" s="123" t="s">
        <v>1265</v>
      </c>
      <c r="F18" s="123">
        <v>14</v>
      </c>
      <c r="G18" s="123" t="s">
        <v>1288</v>
      </c>
      <c r="H18" s="123">
        <v>8</v>
      </c>
      <c r="I18" s="123" t="s">
        <v>1299</v>
      </c>
      <c r="J18" s="123">
        <v>3</v>
      </c>
      <c r="K18" s="123" t="s">
        <v>1309</v>
      </c>
      <c r="L18" s="123">
        <v>2</v>
      </c>
      <c r="M18" s="123" t="s">
        <v>1314</v>
      </c>
      <c r="N18" s="123">
        <v>4</v>
      </c>
      <c r="O18" s="123" t="s">
        <v>1266</v>
      </c>
      <c r="P18" s="123">
        <v>2</v>
      </c>
      <c r="Q18" s="123" t="s">
        <v>1314</v>
      </c>
      <c r="R18" s="123">
        <v>3</v>
      </c>
      <c r="S18" s="123" t="s">
        <v>1269</v>
      </c>
      <c r="T18" s="123">
        <v>5</v>
      </c>
    </row>
    <row r="19" spans="1:20" ht="15">
      <c r="A19" s="123" t="s">
        <v>1264</v>
      </c>
      <c r="B19" s="123">
        <v>16</v>
      </c>
      <c r="C19" s="123" t="s">
        <v>1274</v>
      </c>
      <c r="D19" s="123">
        <v>4</v>
      </c>
      <c r="E19" s="123" t="s">
        <v>1268</v>
      </c>
      <c r="F19" s="123">
        <v>13</v>
      </c>
      <c r="G19" s="123" t="s">
        <v>1289</v>
      </c>
      <c r="H19" s="123">
        <v>8</v>
      </c>
      <c r="I19" s="123" t="s">
        <v>1300</v>
      </c>
      <c r="J19" s="123">
        <v>3</v>
      </c>
      <c r="K19" s="123" t="s">
        <v>1310</v>
      </c>
      <c r="L19" s="123">
        <v>2</v>
      </c>
      <c r="M19" s="123" t="s">
        <v>1269</v>
      </c>
      <c r="N19" s="123">
        <v>4</v>
      </c>
      <c r="O19" s="123" t="s">
        <v>1264</v>
      </c>
      <c r="P19" s="123">
        <v>2</v>
      </c>
      <c r="Q19" s="123" t="s">
        <v>1329</v>
      </c>
      <c r="R19" s="123">
        <v>3</v>
      </c>
      <c r="S19" s="123" t="s">
        <v>1338</v>
      </c>
      <c r="T19" s="123">
        <v>4</v>
      </c>
    </row>
    <row r="20" spans="1:20" ht="15">
      <c r="A20" s="123" t="s">
        <v>1265</v>
      </c>
      <c r="B20" s="123">
        <v>16</v>
      </c>
      <c r="C20" s="123" t="s">
        <v>1275</v>
      </c>
      <c r="D20" s="123">
        <v>4</v>
      </c>
      <c r="E20" s="123" t="s">
        <v>1280</v>
      </c>
      <c r="F20" s="123">
        <v>10</v>
      </c>
      <c r="G20" s="123" t="s">
        <v>1290</v>
      </c>
      <c r="H20" s="123">
        <v>8</v>
      </c>
      <c r="I20" s="123" t="s">
        <v>1301</v>
      </c>
      <c r="J20" s="123">
        <v>3</v>
      </c>
      <c r="K20" s="123" t="s">
        <v>1311</v>
      </c>
      <c r="L20" s="123">
        <v>2</v>
      </c>
      <c r="M20" s="123" t="s">
        <v>1315</v>
      </c>
      <c r="N20" s="123">
        <v>3</v>
      </c>
      <c r="O20" s="123" t="s">
        <v>1323</v>
      </c>
      <c r="P20" s="123">
        <v>2</v>
      </c>
      <c r="Q20" s="123" t="s">
        <v>1330</v>
      </c>
      <c r="R20" s="123">
        <v>2</v>
      </c>
      <c r="S20" s="123" t="s">
        <v>1264</v>
      </c>
      <c r="T20" s="123">
        <v>4</v>
      </c>
    </row>
    <row r="21" spans="1:20" ht="15">
      <c r="A21" s="123" t="s">
        <v>1266</v>
      </c>
      <c r="B21" s="123">
        <v>14</v>
      </c>
      <c r="C21" s="123" t="s">
        <v>1266</v>
      </c>
      <c r="D21" s="123">
        <v>4</v>
      </c>
      <c r="E21" s="123" t="s">
        <v>1281</v>
      </c>
      <c r="F21" s="123">
        <v>10</v>
      </c>
      <c r="G21" s="123" t="s">
        <v>1291</v>
      </c>
      <c r="H21" s="123">
        <v>8</v>
      </c>
      <c r="I21" s="123" t="s">
        <v>1302</v>
      </c>
      <c r="J21" s="123">
        <v>2</v>
      </c>
      <c r="K21" s="123"/>
      <c r="L21" s="123"/>
      <c r="M21" s="123" t="s">
        <v>1316</v>
      </c>
      <c r="N21" s="123">
        <v>3</v>
      </c>
      <c r="O21" s="123" t="s">
        <v>1324</v>
      </c>
      <c r="P21" s="123">
        <v>2</v>
      </c>
      <c r="Q21" s="123" t="s">
        <v>1331</v>
      </c>
      <c r="R21" s="123">
        <v>2</v>
      </c>
      <c r="S21" s="123" t="s">
        <v>1339</v>
      </c>
      <c r="T21" s="123">
        <v>4</v>
      </c>
    </row>
    <row r="22" spans="1:20" ht="15">
      <c r="A22" s="123" t="s">
        <v>1267</v>
      </c>
      <c r="B22" s="123">
        <v>13</v>
      </c>
      <c r="C22" s="123" t="s">
        <v>1276</v>
      </c>
      <c r="D22" s="123">
        <v>3</v>
      </c>
      <c r="E22" s="123" t="s">
        <v>1282</v>
      </c>
      <c r="F22" s="123">
        <v>10</v>
      </c>
      <c r="G22" s="123" t="s">
        <v>1292</v>
      </c>
      <c r="H22" s="123">
        <v>8</v>
      </c>
      <c r="I22" s="123" t="s">
        <v>1303</v>
      </c>
      <c r="J22" s="123">
        <v>2</v>
      </c>
      <c r="K22" s="123"/>
      <c r="L22" s="123"/>
      <c r="M22" s="123" t="s">
        <v>1317</v>
      </c>
      <c r="N22" s="123">
        <v>3</v>
      </c>
      <c r="O22" s="123" t="s">
        <v>1325</v>
      </c>
      <c r="P22" s="123">
        <v>2</v>
      </c>
      <c r="Q22" s="123" t="s">
        <v>1332</v>
      </c>
      <c r="R22" s="123">
        <v>2</v>
      </c>
      <c r="S22" s="123" t="s">
        <v>1340</v>
      </c>
      <c r="T22" s="123">
        <v>3</v>
      </c>
    </row>
    <row r="23" spans="1:20" ht="15">
      <c r="A23" s="123" t="s">
        <v>1268</v>
      </c>
      <c r="B23" s="123">
        <v>13</v>
      </c>
      <c r="C23" s="123" t="s">
        <v>1277</v>
      </c>
      <c r="D23" s="123">
        <v>3</v>
      </c>
      <c r="E23" s="123" t="s">
        <v>1283</v>
      </c>
      <c r="F23" s="123">
        <v>9</v>
      </c>
      <c r="G23" s="123" t="s">
        <v>1293</v>
      </c>
      <c r="H23" s="123">
        <v>8</v>
      </c>
      <c r="I23" s="123" t="s">
        <v>1304</v>
      </c>
      <c r="J23" s="123">
        <v>2</v>
      </c>
      <c r="K23" s="123"/>
      <c r="L23" s="123"/>
      <c r="M23" s="123" t="s">
        <v>1318</v>
      </c>
      <c r="N23" s="123">
        <v>3</v>
      </c>
      <c r="O23" s="123" t="s">
        <v>1265</v>
      </c>
      <c r="P23" s="123">
        <v>2</v>
      </c>
      <c r="Q23" s="123" t="s">
        <v>1333</v>
      </c>
      <c r="R23" s="123">
        <v>2</v>
      </c>
      <c r="S23" s="123" t="s">
        <v>1341</v>
      </c>
      <c r="T23" s="123">
        <v>3</v>
      </c>
    </row>
    <row r="24" spans="1:20" ht="15">
      <c r="A24" s="123" t="s">
        <v>1269</v>
      </c>
      <c r="B24" s="123">
        <v>12</v>
      </c>
      <c r="C24" s="123" t="s">
        <v>1278</v>
      </c>
      <c r="D24" s="123">
        <v>3</v>
      </c>
      <c r="E24" s="123" t="s">
        <v>1284</v>
      </c>
      <c r="F24" s="123">
        <v>9</v>
      </c>
      <c r="G24" s="123" t="s">
        <v>1294</v>
      </c>
      <c r="H24" s="123">
        <v>8</v>
      </c>
      <c r="I24" s="123" t="s">
        <v>1305</v>
      </c>
      <c r="J24" s="123">
        <v>2</v>
      </c>
      <c r="K24" s="123"/>
      <c r="L24" s="123"/>
      <c r="M24" s="123" t="s">
        <v>1319</v>
      </c>
      <c r="N24" s="123">
        <v>3</v>
      </c>
      <c r="O24" s="123" t="s">
        <v>1326</v>
      </c>
      <c r="P24" s="123">
        <v>2</v>
      </c>
      <c r="Q24" s="123" t="s">
        <v>1334</v>
      </c>
      <c r="R24" s="123">
        <v>2</v>
      </c>
      <c r="S24" s="123" t="s">
        <v>1342</v>
      </c>
      <c r="T24" s="123">
        <v>3</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98"/>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767</v>
      </c>
      <c r="AP2" s="126" t="s">
        <v>1185</v>
      </c>
      <c r="AQ2" s="126" t="s">
        <v>1186</v>
      </c>
      <c r="AR2" s="126" t="s">
        <v>1187</v>
      </c>
      <c r="AS2" s="126" t="s">
        <v>1188</v>
      </c>
      <c r="AT2" s="126" t="s">
        <v>1189</v>
      </c>
      <c r="AU2" s="126" t="s">
        <v>1190</v>
      </c>
      <c r="AV2" s="126" t="s">
        <v>1191</v>
      </c>
      <c r="AW2" s="126" t="s">
        <v>1192</v>
      </c>
      <c r="AX2" s="126" t="s">
        <v>1194</v>
      </c>
      <c r="AY2" s="126" t="s">
        <v>1353</v>
      </c>
      <c r="AZ2" s="126" t="s">
        <v>1355</v>
      </c>
      <c r="BA2" s="126" t="s">
        <v>1356</v>
      </c>
      <c r="BB2" s="126" t="s">
        <v>1357</v>
      </c>
      <c r="BC2" s="3"/>
      <c r="BD2" s="3"/>
    </row>
    <row r="3" spans="1:56" ht="15" customHeight="1">
      <c r="A3" s="50" t="s">
        <v>197</v>
      </c>
      <c r="B3" s="53"/>
      <c r="C3" s="53"/>
      <c r="D3" s="54">
        <v>130.71825045452914</v>
      </c>
      <c r="E3" s="55"/>
      <c r="F3" s="109" t="str">
        <f>HYPERLINK("https://i.ytimg.com/vi/z0HLChozRek/default.jpg")</f>
        <v>https://i.ytimg.com/vi/z0HLChozRek/default.jpg</v>
      </c>
      <c r="G3" s="53"/>
      <c r="H3" s="57" t="s">
        <v>400</v>
      </c>
      <c r="I3" s="56"/>
      <c r="J3" s="56" t="s">
        <v>159</v>
      </c>
      <c r="K3" s="106" t="s">
        <v>400</v>
      </c>
      <c r="L3" s="59">
        <v>2500.5</v>
      </c>
      <c r="M3" s="60">
        <v>1240.100341796875</v>
      </c>
      <c r="N3" s="60">
        <v>7577.99560546875</v>
      </c>
      <c r="O3" s="58"/>
      <c r="P3" s="61"/>
      <c r="Q3" s="61"/>
      <c r="R3" s="51"/>
      <c r="S3" s="51">
        <v>1</v>
      </c>
      <c r="T3" s="51">
        <v>10</v>
      </c>
      <c r="U3" s="52">
        <v>216</v>
      </c>
      <c r="V3" s="52">
        <v>0.038462</v>
      </c>
      <c r="W3" s="52">
        <v>0.000382</v>
      </c>
      <c r="X3" s="52">
        <v>4.660031</v>
      </c>
      <c r="Y3" s="52">
        <v>0.011111111111111112</v>
      </c>
      <c r="Z3" s="52">
        <v>0.1</v>
      </c>
      <c r="AA3" s="62">
        <v>3</v>
      </c>
      <c r="AB3" s="62"/>
      <c r="AC3" s="63"/>
      <c r="AD3" s="85" t="s">
        <v>400</v>
      </c>
      <c r="AE3" s="85" t="s">
        <v>493</v>
      </c>
      <c r="AF3" s="85" t="s">
        <v>583</v>
      </c>
      <c r="AG3" s="85" t="s">
        <v>587</v>
      </c>
      <c r="AH3" s="85" t="s">
        <v>729</v>
      </c>
      <c r="AI3" s="85">
        <v>954941</v>
      </c>
      <c r="AJ3" s="85">
        <v>2170</v>
      </c>
      <c r="AK3" s="85">
        <v>18309</v>
      </c>
      <c r="AL3" s="85">
        <v>593</v>
      </c>
      <c r="AM3" s="85" t="s">
        <v>730</v>
      </c>
      <c r="AN3" s="108" t="str">
        <f>HYPERLINK("https://www.youtube.com/watch?v=z0HLChozRek")</f>
        <v>https://www.youtube.com/watch?v=z0HLChozRek</v>
      </c>
      <c r="AO3" s="85" t="str">
        <f>REPLACE(INDEX(GroupVertices[Group],MATCH(Vertices[[#This Row],[Vertex]],GroupVertices[Vertex],0)),1,1,"")</f>
        <v>1</v>
      </c>
      <c r="AP3" s="51">
        <v>0</v>
      </c>
      <c r="AQ3" s="52">
        <v>0</v>
      </c>
      <c r="AR3" s="51">
        <v>0</v>
      </c>
      <c r="AS3" s="52">
        <v>0</v>
      </c>
      <c r="AT3" s="51">
        <v>0</v>
      </c>
      <c r="AU3" s="52">
        <v>0</v>
      </c>
      <c r="AV3" s="51">
        <v>11</v>
      </c>
      <c r="AW3" s="52">
        <v>100</v>
      </c>
      <c r="AX3" s="51">
        <v>11</v>
      </c>
      <c r="AY3" s="130" t="s">
        <v>1354</v>
      </c>
      <c r="AZ3" s="130" t="s">
        <v>1354</v>
      </c>
      <c r="BA3" s="130" t="s">
        <v>1354</v>
      </c>
      <c r="BB3" s="130" t="s">
        <v>1354</v>
      </c>
      <c r="BC3" s="3"/>
      <c r="BD3" s="3"/>
    </row>
    <row r="4" spans="1:59" ht="15">
      <c r="A4" s="14" t="s">
        <v>292</v>
      </c>
      <c r="B4" s="15"/>
      <c r="C4" s="15"/>
      <c r="D4" s="87">
        <v>89.49885683322981</v>
      </c>
      <c r="E4" s="81"/>
      <c r="F4" s="109" t="str">
        <f>HYPERLINK("https://i.ytimg.com/vi/gCxYmmrVAEA/default.jpg")</f>
        <v>https://i.ytimg.com/vi/gCxYmmrVAEA/default.jpg</v>
      </c>
      <c r="G4" s="15"/>
      <c r="H4" s="16" t="s">
        <v>305</v>
      </c>
      <c r="I4" s="66"/>
      <c r="J4" s="66" t="s">
        <v>159</v>
      </c>
      <c r="K4" s="106" t="s">
        <v>305</v>
      </c>
      <c r="L4" s="88">
        <v>2500.5</v>
      </c>
      <c r="M4" s="89">
        <v>797.4075317382812</v>
      </c>
      <c r="N4" s="89">
        <v>9292.64453125</v>
      </c>
      <c r="O4" s="77"/>
      <c r="P4" s="90"/>
      <c r="Q4" s="90"/>
      <c r="R4" s="91"/>
      <c r="S4" s="51">
        <v>1</v>
      </c>
      <c r="T4" s="51">
        <v>0</v>
      </c>
      <c r="U4" s="52">
        <v>0</v>
      </c>
      <c r="V4" s="52">
        <v>0.023256</v>
      </c>
      <c r="W4" s="52">
        <v>0.000103</v>
      </c>
      <c r="X4" s="52">
        <v>0.546102</v>
      </c>
      <c r="Y4" s="52">
        <v>0</v>
      </c>
      <c r="Z4" s="52">
        <v>0</v>
      </c>
      <c r="AA4" s="82">
        <v>4</v>
      </c>
      <c r="AB4" s="82"/>
      <c r="AC4" s="92"/>
      <c r="AD4" s="85" t="s">
        <v>305</v>
      </c>
      <c r="AE4" s="85" t="s">
        <v>401</v>
      </c>
      <c r="AF4" s="85" t="s">
        <v>494</v>
      </c>
      <c r="AG4" s="85" t="s">
        <v>584</v>
      </c>
      <c r="AH4" s="85" t="s">
        <v>634</v>
      </c>
      <c r="AI4" s="85">
        <v>195545</v>
      </c>
      <c r="AJ4" s="85">
        <v>992</v>
      </c>
      <c r="AK4" s="85">
        <v>10638</v>
      </c>
      <c r="AL4" s="85">
        <v>860</v>
      </c>
      <c r="AM4" s="85" t="s">
        <v>730</v>
      </c>
      <c r="AN4" s="108" t="str">
        <f>HYPERLINK("https://www.youtube.com/watch?v=gCxYmmrVAEA")</f>
        <v>https://www.youtube.com/watch?v=gCxYmmrVAEA</v>
      </c>
      <c r="AO4" s="85" t="str">
        <f>REPLACE(INDEX(GroupVertices[Group],MATCH(Vertices[[#This Row],[Vertex]],GroupVertices[Vertex],0)),1,1,"")</f>
        <v>1</v>
      </c>
      <c r="AP4" s="51">
        <v>0</v>
      </c>
      <c r="AQ4" s="52">
        <v>0</v>
      </c>
      <c r="AR4" s="51">
        <v>0</v>
      </c>
      <c r="AS4" s="52">
        <v>0</v>
      </c>
      <c r="AT4" s="51">
        <v>0</v>
      </c>
      <c r="AU4" s="52">
        <v>0</v>
      </c>
      <c r="AV4" s="51">
        <v>23</v>
      </c>
      <c r="AW4" s="52">
        <v>100</v>
      </c>
      <c r="AX4" s="51">
        <v>23</v>
      </c>
      <c r="AY4" s="51"/>
      <c r="AZ4" s="51"/>
      <c r="BA4" s="51"/>
      <c r="BB4" s="51"/>
      <c r="BC4" s="2"/>
      <c r="BD4" s="3"/>
      <c r="BE4" s="3"/>
      <c r="BF4" s="3"/>
      <c r="BG4" s="3"/>
    </row>
    <row r="5" spans="1:59" ht="15">
      <c r="A5" s="14" t="s">
        <v>207</v>
      </c>
      <c r="B5" s="15"/>
      <c r="C5" s="15"/>
      <c r="D5" s="87">
        <v>98.88986093201603</v>
      </c>
      <c r="E5" s="81"/>
      <c r="F5" s="109" t="str">
        <f>HYPERLINK("https://i.ytimg.com/vi/85KAxIDRaBU/default.jpg")</f>
        <v>https://i.ytimg.com/vi/85KAxIDRaBU/default.jpg</v>
      </c>
      <c r="G5" s="15"/>
      <c r="H5" s="16" t="s">
        <v>306</v>
      </c>
      <c r="I5" s="66"/>
      <c r="J5" s="66" t="s">
        <v>159</v>
      </c>
      <c r="K5" s="106" t="s">
        <v>306</v>
      </c>
      <c r="L5" s="88">
        <v>2500.5</v>
      </c>
      <c r="M5" s="89">
        <v>2027.50244140625</v>
      </c>
      <c r="N5" s="89">
        <v>9424.6728515625</v>
      </c>
      <c r="O5" s="77"/>
      <c r="P5" s="90"/>
      <c r="Q5" s="90"/>
      <c r="R5" s="91"/>
      <c r="S5" s="51">
        <v>1</v>
      </c>
      <c r="T5" s="51">
        <v>0</v>
      </c>
      <c r="U5" s="52">
        <v>0</v>
      </c>
      <c r="V5" s="52">
        <v>0.023256</v>
      </c>
      <c r="W5" s="52">
        <v>0.000103</v>
      </c>
      <c r="X5" s="52">
        <v>0.546102</v>
      </c>
      <c r="Y5" s="52">
        <v>0</v>
      </c>
      <c r="Z5" s="52">
        <v>0</v>
      </c>
      <c r="AA5" s="82">
        <v>5</v>
      </c>
      <c r="AB5" s="82"/>
      <c r="AC5" s="92"/>
      <c r="AD5" s="85" t="s">
        <v>306</v>
      </c>
      <c r="AE5" s="85" t="s">
        <v>402</v>
      </c>
      <c r="AF5" s="85" t="s">
        <v>495</v>
      </c>
      <c r="AG5" s="85" t="s">
        <v>585</v>
      </c>
      <c r="AH5" s="85" t="s">
        <v>635</v>
      </c>
      <c r="AI5" s="85">
        <v>368558</v>
      </c>
      <c r="AJ5" s="85">
        <v>2532</v>
      </c>
      <c r="AK5" s="85">
        <v>20963</v>
      </c>
      <c r="AL5" s="85">
        <v>932</v>
      </c>
      <c r="AM5" s="85" t="s">
        <v>730</v>
      </c>
      <c r="AN5" s="108" t="str">
        <f>HYPERLINK("https://www.youtube.com/watch?v=85KAxIDRaBU")</f>
        <v>https://www.youtube.com/watch?v=85KAxIDRaBU</v>
      </c>
      <c r="AO5" s="85" t="str">
        <f>REPLACE(INDEX(GroupVertices[Group],MATCH(Vertices[[#This Row],[Vertex]],GroupVertices[Vertex],0)),1,1,"")</f>
        <v>1</v>
      </c>
      <c r="AP5" s="51">
        <v>0</v>
      </c>
      <c r="AQ5" s="52">
        <v>0</v>
      </c>
      <c r="AR5" s="51">
        <v>0</v>
      </c>
      <c r="AS5" s="52">
        <v>0</v>
      </c>
      <c r="AT5" s="51">
        <v>0</v>
      </c>
      <c r="AU5" s="52">
        <v>0</v>
      </c>
      <c r="AV5" s="51">
        <v>13</v>
      </c>
      <c r="AW5" s="52">
        <v>100</v>
      </c>
      <c r="AX5" s="51">
        <v>13</v>
      </c>
      <c r="AY5" s="51"/>
      <c r="AZ5" s="51"/>
      <c r="BA5" s="51"/>
      <c r="BB5" s="51"/>
      <c r="BC5" s="2"/>
      <c r="BD5" s="3"/>
      <c r="BE5" s="3"/>
      <c r="BF5" s="3"/>
      <c r="BG5" s="3"/>
    </row>
    <row r="6" spans="1:59" ht="15">
      <c r="A6" s="14" t="s">
        <v>208</v>
      </c>
      <c r="B6" s="15"/>
      <c r="C6" s="15"/>
      <c r="D6" s="87">
        <v>90.31863531752849</v>
      </c>
      <c r="E6" s="81"/>
      <c r="F6" s="109" t="str">
        <f>HYPERLINK("https://i.ytimg.com/vi/8XdHhsgoapQ/default.jpg")</f>
        <v>https://i.ytimg.com/vi/8XdHhsgoapQ/default.jpg</v>
      </c>
      <c r="G6" s="15"/>
      <c r="H6" s="16" t="s">
        <v>307</v>
      </c>
      <c r="I6" s="66"/>
      <c r="J6" s="66" t="s">
        <v>159</v>
      </c>
      <c r="K6" s="106" t="s">
        <v>307</v>
      </c>
      <c r="L6" s="88">
        <v>2500.5</v>
      </c>
      <c r="M6" s="89">
        <v>1250.108642578125</v>
      </c>
      <c r="N6" s="89">
        <v>9833.193359375</v>
      </c>
      <c r="O6" s="77"/>
      <c r="P6" s="90"/>
      <c r="Q6" s="90"/>
      <c r="R6" s="91"/>
      <c r="S6" s="51">
        <v>1</v>
      </c>
      <c r="T6" s="51">
        <v>0</v>
      </c>
      <c r="U6" s="52">
        <v>0</v>
      </c>
      <c r="V6" s="52">
        <v>0.023256</v>
      </c>
      <c r="W6" s="52">
        <v>0.000103</v>
      </c>
      <c r="X6" s="52">
        <v>0.546102</v>
      </c>
      <c r="Y6" s="52">
        <v>0</v>
      </c>
      <c r="Z6" s="52">
        <v>0</v>
      </c>
      <c r="AA6" s="82">
        <v>6</v>
      </c>
      <c r="AB6" s="82"/>
      <c r="AC6" s="92"/>
      <c r="AD6" s="85" t="s">
        <v>307</v>
      </c>
      <c r="AE6" s="85" t="s">
        <v>403</v>
      </c>
      <c r="AF6" s="85" t="s">
        <v>496</v>
      </c>
      <c r="AG6" s="85" t="s">
        <v>586</v>
      </c>
      <c r="AH6" s="85" t="s">
        <v>636</v>
      </c>
      <c r="AI6" s="85">
        <v>210648</v>
      </c>
      <c r="AJ6" s="85">
        <v>1752</v>
      </c>
      <c r="AK6" s="85">
        <v>10255</v>
      </c>
      <c r="AL6" s="85">
        <v>320</v>
      </c>
      <c r="AM6" s="85" t="s">
        <v>730</v>
      </c>
      <c r="AN6" s="108" t="str">
        <f>HYPERLINK("https://www.youtube.com/watch?v=8XdHhsgoapQ")</f>
        <v>https://www.youtube.com/watch?v=8XdHhsgoapQ</v>
      </c>
      <c r="AO6" s="85" t="str">
        <f>REPLACE(INDEX(GroupVertices[Group],MATCH(Vertices[[#This Row],[Vertex]],GroupVertices[Vertex],0)),1,1,"")</f>
        <v>1</v>
      </c>
      <c r="AP6" s="51">
        <v>0</v>
      </c>
      <c r="AQ6" s="52">
        <v>0</v>
      </c>
      <c r="AR6" s="51">
        <v>0</v>
      </c>
      <c r="AS6" s="52">
        <v>0</v>
      </c>
      <c r="AT6" s="51">
        <v>0</v>
      </c>
      <c r="AU6" s="52">
        <v>0</v>
      </c>
      <c r="AV6" s="51">
        <v>20</v>
      </c>
      <c r="AW6" s="52">
        <v>100</v>
      </c>
      <c r="AX6" s="51">
        <v>20</v>
      </c>
      <c r="AY6" s="51"/>
      <c r="AZ6" s="51"/>
      <c r="BA6" s="51"/>
      <c r="BB6" s="51"/>
      <c r="BC6" s="2"/>
      <c r="BD6" s="3"/>
      <c r="BE6" s="3"/>
      <c r="BF6" s="3"/>
      <c r="BG6" s="3"/>
    </row>
    <row r="7" spans="1:59" ht="15">
      <c r="A7" s="14" t="s">
        <v>209</v>
      </c>
      <c r="B7" s="15"/>
      <c r="C7" s="15"/>
      <c r="D7" s="87">
        <v>111.84429332281104</v>
      </c>
      <c r="E7" s="81"/>
      <c r="F7" s="109" t="str">
        <f>HYPERLINK("https://i.ytimg.com/vi/ZGCEJKDDUf4/default.jpg")</f>
        <v>https://i.ytimg.com/vi/ZGCEJKDDUf4/default.jpg</v>
      </c>
      <c r="G7" s="15"/>
      <c r="H7" s="16" t="s">
        <v>308</v>
      </c>
      <c r="I7" s="66"/>
      <c r="J7" s="66" t="s">
        <v>159</v>
      </c>
      <c r="K7" s="106" t="s">
        <v>308</v>
      </c>
      <c r="L7" s="88">
        <v>2500.5</v>
      </c>
      <c r="M7" s="89">
        <v>344.0191955566406</v>
      </c>
      <c r="N7" s="89">
        <v>6170.8271484375</v>
      </c>
      <c r="O7" s="77"/>
      <c r="P7" s="90"/>
      <c r="Q7" s="90"/>
      <c r="R7" s="91"/>
      <c r="S7" s="51">
        <v>1</v>
      </c>
      <c r="T7" s="51">
        <v>0</v>
      </c>
      <c r="U7" s="52">
        <v>0</v>
      </c>
      <c r="V7" s="52">
        <v>0.023256</v>
      </c>
      <c r="W7" s="52">
        <v>0.000103</v>
      </c>
      <c r="X7" s="52">
        <v>0.546102</v>
      </c>
      <c r="Y7" s="52">
        <v>0</v>
      </c>
      <c r="Z7" s="52">
        <v>0</v>
      </c>
      <c r="AA7" s="82">
        <v>7</v>
      </c>
      <c r="AB7" s="82"/>
      <c r="AC7" s="92"/>
      <c r="AD7" s="85" t="s">
        <v>308</v>
      </c>
      <c r="AE7" s="85" t="s">
        <v>404</v>
      </c>
      <c r="AF7" s="85" t="s">
        <v>497</v>
      </c>
      <c r="AG7" s="85" t="s">
        <v>586</v>
      </c>
      <c r="AH7" s="85" t="s">
        <v>637</v>
      </c>
      <c r="AI7" s="85">
        <v>607221</v>
      </c>
      <c r="AJ7" s="85">
        <v>1897</v>
      </c>
      <c r="AK7" s="85">
        <v>16218</v>
      </c>
      <c r="AL7" s="85">
        <v>729</v>
      </c>
      <c r="AM7" s="85" t="s">
        <v>730</v>
      </c>
      <c r="AN7" s="108" t="str">
        <f>HYPERLINK("https://www.youtube.com/watch?v=ZGCEJKDDUf4")</f>
        <v>https://www.youtube.com/watch?v=ZGCEJKDDUf4</v>
      </c>
      <c r="AO7" s="85" t="str">
        <f>REPLACE(INDEX(GroupVertices[Group],MATCH(Vertices[[#This Row],[Vertex]],GroupVertices[Vertex],0)),1,1,"")</f>
        <v>1</v>
      </c>
      <c r="AP7" s="51">
        <v>0</v>
      </c>
      <c r="AQ7" s="52">
        <v>0</v>
      </c>
      <c r="AR7" s="51">
        <v>0</v>
      </c>
      <c r="AS7" s="52">
        <v>0</v>
      </c>
      <c r="AT7" s="51">
        <v>0</v>
      </c>
      <c r="AU7" s="52">
        <v>0</v>
      </c>
      <c r="AV7" s="51">
        <v>13</v>
      </c>
      <c r="AW7" s="52">
        <v>100</v>
      </c>
      <c r="AX7" s="51">
        <v>13</v>
      </c>
      <c r="AY7" s="51"/>
      <c r="AZ7" s="51"/>
      <c r="BA7" s="51"/>
      <c r="BB7" s="51"/>
      <c r="BC7" s="2"/>
      <c r="BD7" s="3"/>
      <c r="BE7" s="3"/>
      <c r="BF7" s="3"/>
      <c r="BG7" s="3"/>
    </row>
    <row r="8" spans="1:59" ht="15">
      <c r="A8" s="14" t="s">
        <v>210</v>
      </c>
      <c r="B8" s="15"/>
      <c r="C8" s="15"/>
      <c r="D8" s="87">
        <v>84.57774336425202</v>
      </c>
      <c r="E8" s="81"/>
      <c r="F8" s="109" t="str">
        <f>HYPERLINK("https://i.ytimg.com/vi/-93oZUrmeEA/default.jpg")</f>
        <v>https://i.ytimg.com/vi/-93oZUrmeEA/default.jpg</v>
      </c>
      <c r="G8" s="15"/>
      <c r="H8" s="16" t="s">
        <v>309</v>
      </c>
      <c r="I8" s="66"/>
      <c r="J8" s="66" t="s">
        <v>159</v>
      </c>
      <c r="K8" s="106" t="s">
        <v>309</v>
      </c>
      <c r="L8" s="88">
        <v>2500.5</v>
      </c>
      <c r="M8" s="89">
        <v>491.28765869140625</v>
      </c>
      <c r="N8" s="89">
        <v>7700.56494140625</v>
      </c>
      <c r="O8" s="77"/>
      <c r="P8" s="90"/>
      <c r="Q8" s="90"/>
      <c r="R8" s="91"/>
      <c r="S8" s="51">
        <v>1</v>
      </c>
      <c r="T8" s="51">
        <v>0</v>
      </c>
      <c r="U8" s="52">
        <v>0</v>
      </c>
      <c r="V8" s="52">
        <v>0.023256</v>
      </c>
      <c r="W8" s="52">
        <v>0.000103</v>
      </c>
      <c r="X8" s="52">
        <v>0.546102</v>
      </c>
      <c r="Y8" s="52">
        <v>0</v>
      </c>
      <c r="Z8" s="52">
        <v>0</v>
      </c>
      <c r="AA8" s="82">
        <v>8</v>
      </c>
      <c r="AB8" s="82"/>
      <c r="AC8" s="92"/>
      <c r="AD8" s="85" t="s">
        <v>309</v>
      </c>
      <c r="AE8" s="85" t="s">
        <v>405</v>
      </c>
      <c r="AF8" s="85" t="s">
        <v>498</v>
      </c>
      <c r="AG8" s="85" t="s">
        <v>587</v>
      </c>
      <c r="AH8" s="85" t="s">
        <v>638</v>
      </c>
      <c r="AI8" s="85">
        <v>104882</v>
      </c>
      <c r="AJ8" s="85">
        <v>185</v>
      </c>
      <c r="AK8" s="85">
        <v>1971</v>
      </c>
      <c r="AL8" s="85">
        <v>51</v>
      </c>
      <c r="AM8" s="85" t="s">
        <v>730</v>
      </c>
      <c r="AN8" s="108" t="str">
        <f>HYPERLINK("https://www.youtube.com/watch?v=-93oZUrmeEA")</f>
        <v>https://www.youtube.com/watch?v=-93oZUrmeEA</v>
      </c>
      <c r="AO8" s="85" t="str">
        <f>REPLACE(INDEX(GroupVertices[Group],MATCH(Vertices[[#This Row],[Vertex]],GroupVertices[Vertex],0)),1,1,"")</f>
        <v>1</v>
      </c>
      <c r="AP8" s="51">
        <v>1</v>
      </c>
      <c r="AQ8" s="52">
        <v>1.639344262295082</v>
      </c>
      <c r="AR8" s="51">
        <v>0</v>
      </c>
      <c r="AS8" s="52">
        <v>0</v>
      </c>
      <c r="AT8" s="51">
        <v>0</v>
      </c>
      <c r="AU8" s="52">
        <v>0</v>
      </c>
      <c r="AV8" s="51">
        <v>60</v>
      </c>
      <c r="AW8" s="52">
        <v>98.36065573770492</v>
      </c>
      <c r="AX8" s="51">
        <v>61</v>
      </c>
      <c r="AY8" s="51"/>
      <c r="AZ8" s="51"/>
      <c r="BA8" s="51"/>
      <c r="BB8" s="51"/>
      <c r="BC8" s="2"/>
      <c r="BD8" s="3"/>
      <c r="BE8" s="3"/>
      <c r="BF8" s="3"/>
      <c r="BG8" s="3"/>
    </row>
    <row r="9" spans="1:59" ht="15">
      <c r="A9" s="14" t="s">
        <v>211</v>
      </c>
      <c r="B9" s="15"/>
      <c r="C9" s="15"/>
      <c r="D9" s="87">
        <v>82.4534190220685</v>
      </c>
      <c r="E9" s="81"/>
      <c r="F9" s="109" t="str">
        <f>HYPERLINK("https://i.ytimg.com/vi/xIMDj-IO3S0/default.jpg")</f>
        <v>https://i.ytimg.com/vi/xIMDj-IO3S0/default.jpg</v>
      </c>
      <c r="G9" s="15"/>
      <c r="H9" s="16" t="s">
        <v>310</v>
      </c>
      <c r="I9" s="66"/>
      <c r="J9" s="66" t="s">
        <v>159</v>
      </c>
      <c r="K9" s="106" t="s">
        <v>310</v>
      </c>
      <c r="L9" s="88">
        <v>2500.5</v>
      </c>
      <c r="M9" s="89">
        <v>141.44020080566406</v>
      </c>
      <c r="N9" s="89">
        <v>7087.98388671875</v>
      </c>
      <c r="O9" s="77"/>
      <c r="P9" s="90"/>
      <c r="Q9" s="90"/>
      <c r="R9" s="91"/>
      <c r="S9" s="51">
        <v>1</v>
      </c>
      <c r="T9" s="51">
        <v>0</v>
      </c>
      <c r="U9" s="52">
        <v>0</v>
      </c>
      <c r="V9" s="52">
        <v>0.023256</v>
      </c>
      <c r="W9" s="52">
        <v>0.000103</v>
      </c>
      <c r="X9" s="52">
        <v>0.546102</v>
      </c>
      <c r="Y9" s="52">
        <v>0</v>
      </c>
      <c r="Z9" s="52">
        <v>0</v>
      </c>
      <c r="AA9" s="82">
        <v>9</v>
      </c>
      <c r="AB9" s="82"/>
      <c r="AC9" s="92"/>
      <c r="AD9" s="85" t="s">
        <v>310</v>
      </c>
      <c r="AE9" s="85" t="s">
        <v>406</v>
      </c>
      <c r="AF9" s="85" t="s">
        <v>499</v>
      </c>
      <c r="AG9" s="85" t="s">
        <v>587</v>
      </c>
      <c r="AH9" s="85" t="s">
        <v>639</v>
      </c>
      <c r="AI9" s="85">
        <v>65745</v>
      </c>
      <c r="AJ9" s="85">
        <v>116</v>
      </c>
      <c r="AK9" s="85">
        <v>1114</v>
      </c>
      <c r="AL9" s="85">
        <v>28</v>
      </c>
      <c r="AM9" s="85" t="s">
        <v>730</v>
      </c>
      <c r="AN9" s="108" t="str">
        <f>HYPERLINK("https://www.youtube.com/watch?v=xIMDj-IO3S0")</f>
        <v>https://www.youtube.com/watch?v=xIMDj-IO3S0</v>
      </c>
      <c r="AO9" s="85" t="str">
        <f>REPLACE(INDEX(GroupVertices[Group],MATCH(Vertices[[#This Row],[Vertex]],GroupVertices[Vertex],0)),1,1,"")</f>
        <v>1</v>
      </c>
      <c r="AP9" s="51">
        <v>3</v>
      </c>
      <c r="AQ9" s="52">
        <v>4.6875</v>
      </c>
      <c r="AR9" s="51">
        <v>2</v>
      </c>
      <c r="AS9" s="52">
        <v>3.125</v>
      </c>
      <c r="AT9" s="51">
        <v>0</v>
      </c>
      <c r="AU9" s="52">
        <v>0</v>
      </c>
      <c r="AV9" s="51">
        <v>59</v>
      </c>
      <c r="AW9" s="52">
        <v>92.1875</v>
      </c>
      <c r="AX9" s="51">
        <v>64</v>
      </c>
      <c r="AY9" s="51"/>
      <c r="AZ9" s="51"/>
      <c r="BA9" s="51"/>
      <c r="BB9" s="51"/>
      <c r="BC9" s="2"/>
      <c r="BD9" s="3"/>
      <c r="BE9" s="3"/>
      <c r="BF9" s="3"/>
      <c r="BG9" s="3"/>
    </row>
    <row r="10" spans="1:59" ht="15">
      <c r="A10" s="14" t="s">
        <v>212</v>
      </c>
      <c r="B10" s="15"/>
      <c r="C10" s="15"/>
      <c r="D10" s="87">
        <v>99.90243907043833</v>
      </c>
      <c r="E10" s="81"/>
      <c r="F10" s="109" t="str">
        <f>HYPERLINK("https://i.ytimg.com/vi/XI8FFeIzbR4/default.jpg")</f>
        <v>https://i.ytimg.com/vi/XI8FFeIzbR4/default.jpg</v>
      </c>
      <c r="G10" s="15"/>
      <c r="H10" s="16" t="s">
        <v>311</v>
      </c>
      <c r="I10" s="66"/>
      <c r="J10" s="66" t="s">
        <v>159</v>
      </c>
      <c r="K10" s="106" t="s">
        <v>311</v>
      </c>
      <c r="L10" s="88">
        <v>2500.5</v>
      </c>
      <c r="M10" s="89">
        <v>343.289794921875</v>
      </c>
      <c r="N10" s="89">
        <v>8708.2041015625</v>
      </c>
      <c r="O10" s="77"/>
      <c r="P10" s="90"/>
      <c r="Q10" s="90"/>
      <c r="R10" s="91"/>
      <c r="S10" s="51">
        <v>1</v>
      </c>
      <c r="T10" s="51">
        <v>0</v>
      </c>
      <c r="U10" s="52">
        <v>0</v>
      </c>
      <c r="V10" s="52">
        <v>0.023256</v>
      </c>
      <c r="W10" s="52">
        <v>0.000103</v>
      </c>
      <c r="X10" s="52">
        <v>0.546102</v>
      </c>
      <c r="Y10" s="52">
        <v>0</v>
      </c>
      <c r="Z10" s="52">
        <v>0</v>
      </c>
      <c r="AA10" s="82">
        <v>10</v>
      </c>
      <c r="AB10" s="82"/>
      <c r="AC10" s="92"/>
      <c r="AD10" s="85" t="s">
        <v>311</v>
      </c>
      <c r="AE10" s="85" t="s">
        <v>407</v>
      </c>
      <c r="AF10" s="85" t="s">
        <v>500</v>
      </c>
      <c r="AG10" s="85" t="s">
        <v>586</v>
      </c>
      <c r="AH10" s="85" t="s">
        <v>640</v>
      </c>
      <c r="AI10" s="85">
        <v>387213</v>
      </c>
      <c r="AJ10" s="85">
        <v>3922</v>
      </c>
      <c r="AK10" s="85">
        <v>22605</v>
      </c>
      <c r="AL10" s="85">
        <v>541</v>
      </c>
      <c r="AM10" s="85" t="s">
        <v>730</v>
      </c>
      <c r="AN10" s="108" t="str">
        <f>HYPERLINK("https://www.youtube.com/watch?v=XI8FFeIzbR4")</f>
        <v>https://www.youtube.com/watch?v=XI8FFeIzbR4</v>
      </c>
      <c r="AO10" s="85" t="str">
        <f>REPLACE(INDEX(GroupVertices[Group],MATCH(Vertices[[#This Row],[Vertex]],GroupVertices[Vertex],0)),1,1,"")</f>
        <v>1</v>
      </c>
      <c r="AP10" s="51">
        <v>0</v>
      </c>
      <c r="AQ10" s="52">
        <v>0</v>
      </c>
      <c r="AR10" s="51">
        <v>0</v>
      </c>
      <c r="AS10" s="52">
        <v>0</v>
      </c>
      <c r="AT10" s="51">
        <v>0</v>
      </c>
      <c r="AU10" s="52">
        <v>0</v>
      </c>
      <c r="AV10" s="51">
        <v>27</v>
      </c>
      <c r="AW10" s="52">
        <v>100</v>
      </c>
      <c r="AX10" s="51">
        <v>27</v>
      </c>
      <c r="AY10" s="51"/>
      <c r="AZ10" s="51"/>
      <c r="BA10" s="51"/>
      <c r="BB10" s="51"/>
      <c r="BC10" s="2"/>
      <c r="BD10" s="3"/>
      <c r="BE10" s="3"/>
      <c r="BF10" s="3"/>
      <c r="BG10" s="3"/>
    </row>
    <row r="11" spans="1:59" ht="15">
      <c r="A11" s="14" t="s">
        <v>213</v>
      </c>
      <c r="B11" s="15"/>
      <c r="C11" s="15"/>
      <c r="D11" s="87">
        <v>101.34908782654827</v>
      </c>
      <c r="E11" s="81"/>
      <c r="F11" s="109" t="str">
        <f>HYPERLINK("https://i.ytimg.com/vi/i6TwqCOWf7E/default.jpg")</f>
        <v>https://i.ytimg.com/vi/i6TwqCOWf7E/default.jpg</v>
      </c>
      <c r="G11" s="15"/>
      <c r="H11" s="16" t="s">
        <v>312</v>
      </c>
      <c r="I11" s="66"/>
      <c r="J11" s="66" t="s">
        <v>159</v>
      </c>
      <c r="K11" s="106" t="s">
        <v>312</v>
      </c>
      <c r="L11" s="88">
        <v>2500.5</v>
      </c>
      <c r="M11" s="89">
        <v>1601.024169921875</v>
      </c>
      <c r="N11" s="89">
        <v>9204.318359375</v>
      </c>
      <c r="O11" s="77"/>
      <c r="P11" s="90"/>
      <c r="Q11" s="90"/>
      <c r="R11" s="91"/>
      <c r="S11" s="51">
        <v>1</v>
      </c>
      <c r="T11" s="51">
        <v>0</v>
      </c>
      <c r="U11" s="52">
        <v>0</v>
      </c>
      <c r="V11" s="52">
        <v>0.023256</v>
      </c>
      <c r="W11" s="52">
        <v>0.000103</v>
      </c>
      <c r="X11" s="52">
        <v>0.546102</v>
      </c>
      <c r="Y11" s="52">
        <v>0</v>
      </c>
      <c r="Z11" s="52">
        <v>0</v>
      </c>
      <c r="AA11" s="82">
        <v>11</v>
      </c>
      <c r="AB11" s="82"/>
      <c r="AC11" s="92"/>
      <c r="AD11" s="85" t="s">
        <v>312</v>
      </c>
      <c r="AE11" s="85" t="s">
        <v>408</v>
      </c>
      <c r="AF11" s="85" t="s">
        <v>501</v>
      </c>
      <c r="AG11" s="85" t="s">
        <v>588</v>
      </c>
      <c r="AH11" s="85" t="s">
        <v>641</v>
      </c>
      <c r="AI11" s="85">
        <v>413865</v>
      </c>
      <c r="AJ11" s="85">
        <v>774</v>
      </c>
      <c r="AK11" s="85">
        <v>9949</v>
      </c>
      <c r="AL11" s="85">
        <v>284</v>
      </c>
      <c r="AM11" s="85" t="s">
        <v>730</v>
      </c>
      <c r="AN11" s="108" t="str">
        <f>HYPERLINK("https://www.youtube.com/watch?v=i6TwqCOWf7E")</f>
        <v>https://www.youtube.com/watch?v=i6TwqCOWf7E</v>
      </c>
      <c r="AO11" s="85" t="str">
        <f>REPLACE(INDEX(GroupVertices[Group],MATCH(Vertices[[#This Row],[Vertex]],GroupVertices[Vertex],0)),1,1,"")</f>
        <v>1</v>
      </c>
      <c r="AP11" s="51">
        <v>0</v>
      </c>
      <c r="AQ11" s="52">
        <v>0</v>
      </c>
      <c r="AR11" s="51">
        <v>0</v>
      </c>
      <c r="AS11" s="52">
        <v>0</v>
      </c>
      <c r="AT11" s="51">
        <v>0</v>
      </c>
      <c r="AU11" s="52">
        <v>0</v>
      </c>
      <c r="AV11" s="51">
        <v>19</v>
      </c>
      <c r="AW11" s="52">
        <v>100</v>
      </c>
      <c r="AX11" s="51">
        <v>19</v>
      </c>
      <c r="AY11" s="51"/>
      <c r="AZ11" s="51"/>
      <c r="BA11" s="51"/>
      <c r="BB11" s="51"/>
      <c r="BC11" s="2"/>
      <c r="BD11" s="3"/>
      <c r="BE11" s="3"/>
      <c r="BF11" s="3"/>
      <c r="BG11" s="3"/>
    </row>
    <row r="12" spans="1:59" ht="15">
      <c r="A12" s="14" t="s">
        <v>198</v>
      </c>
      <c r="B12" s="15"/>
      <c r="C12" s="15"/>
      <c r="D12" s="87">
        <v>133.30079965034767</v>
      </c>
      <c r="E12" s="81"/>
      <c r="F12" s="109" t="str">
        <f>HYPERLINK("https://i.ytimg.com/vi/8oqJiNzJQ_E/default.jpg")</f>
        <v>https://i.ytimg.com/vi/8oqJiNzJQ_E/default.jpg</v>
      </c>
      <c r="G12" s="15"/>
      <c r="H12" s="16" t="s">
        <v>313</v>
      </c>
      <c r="I12" s="66"/>
      <c r="J12" s="66" t="s">
        <v>159</v>
      </c>
      <c r="K12" s="106" t="s">
        <v>313</v>
      </c>
      <c r="L12" s="88">
        <v>1</v>
      </c>
      <c r="M12" s="89">
        <v>9090.412109375</v>
      </c>
      <c r="N12" s="89">
        <v>4489.08984375</v>
      </c>
      <c r="O12" s="77"/>
      <c r="P12" s="90"/>
      <c r="Q12" s="90"/>
      <c r="R12" s="91"/>
      <c r="S12" s="51">
        <v>0</v>
      </c>
      <c r="T12" s="51">
        <v>10</v>
      </c>
      <c r="U12" s="52">
        <v>1075.266667</v>
      </c>
      <c r="V12" s="52">
        <v>0.00625</v>
      </c>
      <c r="W12" s="52">
        <v>0.033534</v>
      </c>
      <c r="X12" s="52">
        <v>4.265189</v>
      </c>
      <c r="Y12" s="52">
        <v>0</v>
      </c>
      <c r="Z12" s="52">
        <v>0</v>
      </c>
      <c r="AA12" s="82">
        <v>12</v>
      </c>
      <c r="AB12" s="82"/>
      <c r="AC12" s="92"/>
      <c r="AD12" s="85" t="s">
        <v>313</v>
      </c>
      <c r="AE12" s="85" t="s">
        <v>409</v>
      </c>
      <c r="AF12" s="85" t="s">
        <v>502</v>
      </c>
      <c r="AG12" s="85" t="s">
        <v>589</v>
      </c>
      <c r="AH12" s="85" t="s">
        <v>642</v>
      </c>
      <c r="AI12" s="85">
        <v>1002520</v>
      </c>
      <c r="AJ12" s="85">
        <v>2021</v>
      </c>
      <c r="AK12" s="85">
        <v>1142</v>
      </c>
      <c r="AL12" s="85">
        <v>2590</v>
      </c>
      <c r="AM12" s="85" t="s">
        <v>730</v>
      </c>
      <c r="AN12" s="108" t="str">
        <f>HYPERLINK("https://www.youtube.com/watch?v=8oqJiNzJQ_E")</f>
        <v>https://www.youtube.com/watch?v=8oqJiNzJQ_E</v>
      </c>
      <c r="AO12" s="85" t="str">
        <f>REPLACE(INDEX(GroupVertices[Group],MATCH(Vertices[[#This Row],[Vertex]],GroupVertices[Vertex],0)),1,1,"")</f>
        <v>9</v>
      </c>
      <c r="AP12" s="51">
        <v>1</v>
      </c>
      <c r="AQ12" s="52">
        <v>1.5625</v>
      </c>
      <c r="AR12" s="51">
        <v>2</v>
      </c>
      <c r="AS12" s="52">
        <v>3.125</v>
      </c>
      <c r="AT12" s="51">
        <v>0</v>
      </c>
      <c r="AU12" s="52">
        <v>0</v>
      </c>
      <c r="AV12" s="51">
        <v>61</v>
      </c>
      <c r="AW12" s="52">
        <v>95.3125</v>
      </c>
      <c r="AX12" s="51">
        <v>64</v>
      </c>
      <c r="AY12" s="130" t="s">
        <v>1354</v>
      </c>
      <c r="AZ12" s="130" t="s">
        <v>1354</v>
      </c>
      <c r="BA12" s="130" t="s">
        <v>1354</v>
      </c>
      <c r="BB12" s="130" t="s">
        <v>1354</v>
      </c>
      <c r="BC12" s="2"/>
      <c r="BD12" s="3"/>
      <c r="BE12" s="3"/>
      <c r="BF12" s="3"/>
      <c r="BG12" s="3"/>
    </row>
    <row r="13" spans="1:59" ht="15">
      <c r="A13" s="14" t="s">
        <v>214</v>
      </c>
      <c r="B13" s="15"/>
      <c r="C13" s="15"/>
      <c r="D13" s="87">
        <v>80</v>
      </c>
      <c r="E13" s="81"/>
      <c r="F13" s="109" t="str">
        <f>HYPERLINK("https://i.ytimg.com/vi/3Jo_cvA8Orc/default.jpg")</f>
        <v>https://i.ytimg.com/vi/3Jo_cvA8Orc/default.jpg</v>
      </c>
      <c r="G13" s="15"/>
      <c r="H13" s="16" t="s">
        <v>314</v>
      </c>
      <c r="I13" s="66"/>
      <c r="J13" s="66" t="s">
        <v>159</v>
      </c>
      <c r="K13" s="106" t="s">
        <v>314</v>
      </c>
      <c r="L13" s="88">
        <v>2500.5</v>
      </c>
      <c r="M13" s="89">
        <v>9252.7158203125</v>
      </c>
      <c r="N13" s="89">
        <v>6718.9814453125</v>
      </c>
      <c r="O13" s="77"/>
      <c r="P13" s="90"/>
      <c r="Q13" s="90"/>
      <c r="R13" s="91"/>
      <c r="S13" s="51">
        <v>1</v>
      </c>
      <c r="T13" s="51">
        <v>0</v>
      </c>
      <c r="U13" s="52">
        <v>0</v>
      </c>
      <c r="V13" s="52">
        <v>0.004673</v>
      </c>
      <c r="W13" s="52">
        <v>0.02174</v>
      </c>
      <c r="X13" s="52">
        <v>0.512541</v>
      </c>
      <c r="Y13" s="52">
        <v>0</v>
      </c>
      <c r="Z13" s="52">
        <v>0</v>
      </c>
      <c r="AA13" s="82">
        <v>13</v>
      </c>
      <c r="AB13" s="82"/>
      <c r="AC13" s="92"/>
      <c r="AD13" s="85" t="s">
        <v>314</v>
      </c>
      <c r="AE13" s="85" t="s">
        <v>410</v>
      </c>
      <c r="AF13" s="85" t="s">
        <v>503</v>
      </c>
      <c r="AG13" s="85" t="s">
        <v>590</v>
      </c>
      <c r="AH13" s="85" t="s">
        <v>643</v>
      </c>
      <c r="AI13" s="85">
        <v>20545</v>
      </c>
      <c r="AJ13" s="85">
        <v>148</v>
      </c>
      <c r="AK13" s="85">
        <v>403</v>
      </c>
      <c r="AL13" s="85">
        <v>21</v>
      </c>
      <c r="AM13" s="85" t="s">
        <v>730</v>
      </c>
      <c r="AN13" s="108" t="str">
        <f>HYPERLINK("https://www.youtube.com/watch?v=3Jo_cvA8Orc")</f>
        <v>https://www.youtube.com/watch?v=3Jo_cvA8Orc</v>
      </c>
      <c r="AO13" s="85" t="str">
        <f>REPLACE(INDEX(GroupVertices[Group],MATCH(Vertices[[#This Row],[Vertex]],GroupVertices[Vertex],0)),1,1,"")</f>
        <v>9</v>
      </c>
      <c r="AP13" s="51">
        <v>2</v>
      </c>
      <c r="AQ13" s="52">
        <v>5.714285714285714</v>
      </c>
      <c r="AR13" s="51">
        <v>0</v>
      </c>
      <c r="AS13" s="52">
        <v>0</v>
      </c>
      <c r="AT13" s="51">
        <v>0</v>
      </c>
      <c r="AU13" s="52">
        <v>0</v>
      </c>
      <c r="AV13" s="51">
        <v>33</v>
      </c>
      <c r="AW13" s="52">
        <v>94.28571428571429</v>
      </c>
      <c r="AX13" s="51">
        <v>35</v>
      </c>
      <c r="AY13" s="51"/>
      <c r="AZ13" s="51"/>
      <c r="BA13" s="51"/>
      <c r="BB13" s="51"/>
      <c r="BC13" s="2"/>
      <c r="BD13" s="3"/>
      <c r="BE13" s="3"/>
      <c r="BF13" s="3"/>
      <c r="BG13" s="3"/>
    </row>
    <row r="14" spans="1:59" ht="15">
      <c r="A14" s="14" t="s">
        <v>215</v>
      </c>
      <c r="B14" s="15"/>
      <c r="C14" s="15"/>
      <c r="D14" s="87">
        <v>93.20536504873799</v>
      </c>
      <c r="E14" s="81"/>
      <c r="F14" s="109" t="str">
        <f>HYPERLINK("https://i.ytimg.com/vi/fuJC5hG92Vo/default.jpg")</f>
        <v>https://i.ytimg.com/vi/fuJC5hG92Vo/default.jpg</v>
      </c>
      <c r="G14" s="15"/>
      <c r="H14" s="16" t="s">
        <v>315</v>
      </c>
      <c r="I14" s="66"/>
      <c r="J14" s="66" t="s">
        <v>159</v>
      </c>
      <c r="K14" s="106" t="s">
        <v>315</v>
      </c>
      <c r="L14" s="88">
        <v>2500.5</v>
      </c>
      <c r="M14" s="89">
        <v>8570.986328125</v>
      </c>
      <c r="N14" s="89">
        <v>2662.593017578125</v>
      </c>
      <c r="O14" s="77"/>
      <c r="P14" s="90"/>
      <c r="Q14" s="90"/>
      <c r="R14" s="91"/>
      <c r="S14" s="51">
        <v>1</v>
      </c>
      <c r="T14" s="51">
        <v>0</v>
      </c>
      <c r="U14" s="52">
        <v>0</v>
      </c>
      <c r="V14" s="52">
        <v>0.004673</v>
      </c>
      <c r="W14" s="52">
        <v>0.02174</v>
      </c>
      <c r="X14" s="52">
        <v>0.512541</v>
      </c>
      <c r="Y14" s="52">
        <v>0</v>
      </c>
      <c r="Z14" s="52">
        <v>0</v>
      </c>
      <c r="AA14" s="82">
        <v>14</v>
      </c>
      <c r="AB14" s="82"/>
      <c r="AC14" s="92"/>
      <c r="AD14" s="85" t="s">
        <v>315</v>
      </c>
      <c r="AE14" s="85" t="s">
        <v>411</v>
      </c>
      <c r="AF14" s="85" t="s">
        <v>504</v>
      </c>
      <c r="AG14" s="85" t="s">
        <v>591</v>
      </c>
      <c r="AH14" s="85" t="s">
        <v>644</v>
      </c>
      <c r="AI14" s="85">
        <v>263831</v>
      </c>
      <c r="AJ14" s="85">
        <v>1258</v>
      </c>
      <c r="AK14" s="85">
        <v>3679</v>
      </c>
      <c r="AL14" s="85">
        <v>170</v>
      </c>
      <c r="AM14" s="85" t="s">
        <v>730</v>
      </c>
      <c r="AN14" s="108" t="str">
        <f>HYPERLINK("https://www.youtube.com/watch?v=fuJC5hG92Vo")</f>
        <v>https://www.youtube.com/watch?v=fuJC5hG92Vo</v>
      </c>
      <c r="AO14" s="85" t="str">
        <f>REPLACE(INDEX(GroupVertices[Group],MATCH(Vertices[[#This Row],[Vertex]],GroupVertices[Vertex],0)),1,1,"")</f>
        <v>9</v>
      </c>
      <c r="AP14" s="51">
        <v>1</v>
      </c>
      <c r="AQ14" s="52">
        <v>1.8181818181818181</v>
      </c>
      <c r="AR14" s="51">
        <v>5</v>
      </c>
      <c r="AS14" s="52">
        <v>9.090909090909092</v>
      </c>
      <c r="AT14" s="51">
        <v>0</v>
      </c>
      <c r="AU14" s="52">
        <v>0</v>
      </c>
      <c r="AV14" s="51">
        <v>49</v>
      </c>
      <c r="AW14" s="52">
        <v>89.0909090909091</v>
      </c>
      <c r="AX14" s="51">
        <v>55</v>
      </c>
      <c r="AY14" s="51"/>
      <c r="AZ14" s="51"/>
      <c r="BA14" s="51"/>
      <c r="BB14" s="51"/>
      <c r="BC14" s="2"/>
      <c r="BD14" s="3"/>
      <c r="BE14" s="3"/>
      <c r="BF14" s="3"/>
      <c r="BG14" s="3"/>
    </row>
    <row r="15" spans="1:59" ht="15">
      <c r="A15" s="14" t="s">
        <v>216</v>
      </c>
      <c r="B15" s="15"/>
      <c r="C15" s="15"/>
      <c r="D15" s="87">
        <v>80.63555494091592</v>
      </c>
      <c r="E15" s="81"/>
      <c r="F15" s="109" t="str">
        <f>HYPERLINK("https://i.ytimg.com/vi/nR_28RIEGyw/default.jpg")</f>
        <v>https://i.ytimg.com/vi/nR_28RIEGyw/default.jpg</v>
      </c>
      <c r="G15" s="15"/>
      <c r="H15" s="16" t="s">
        <v>316</v>
      </c>
      <c r="I15" s="66"/>
      <c r="J15" s="66" t="s">
        <v>159</v>
      </c>
      <c r="K15" s="106" t="s">
        <v>316</v>
      </c>
      <c r="L15" s="88">
        <v>2500.5</v>
      </c>
      <c r="M15" s="89">
        <v>8215.7392578125</v>
      </c>
      <c r="N15" s="89">
        <v>4403.1220703125</v>
      </c>
      <c r="O15" s="77"/>
      <c r="P15" s="90"/>
      <c r="Q15" s="90"/>
      <c r="R15" s="91"/>
      <c r="S15" s="51">
        <v>1</v>
      </c>
      <c r="T15" s="51">
        <v>0</v>
      </c>
      <c r="U15" s="52">
        <v>0</v>
      </c>
      <c r="V15" s="52">
        <v>0.004673</v>
      </c>
      <c r="W15" s="52">
        <v>0.02174</v>
      </c>
      <c r="X15" s="52">
        <v>0.512541</v>
      </c>
      <c r="Y15" s="52">
        <v>0</v>
      </c>
      <c r="Z15" s="52">
        <v>0</v>
      </c>
      <c r="AA15" s="82">
        <v>15</v>
      </c>
      <c r="AB15" s="82"/>
      <c r="AC15" s="92"/>
      <c r="AD15" s="85" t="s">
        <v>316</v>
      </c>
      <c r="AE15" s="85" t="s">
        <v>412</v>
      </c>
      <c r="AF15" s="85" t="s">
        <v>505</v>
      </c>
      <c r="AG15" s="85" t="s">
        <v>592</v>
      </c>
      <c r="AH15" s="85" t="s">
        <v>645</v>
      </c>
      <c r="AI15" s="85">
        <v>32254</v>
      </c>
      <c r="AJ15" s="85">
        <v>184</v>
      </c>
      <c r="AK15" s="85">
        <v>607</v>
      </c>
      <c r="AL15" s="85">
        <v>19</v>
      </c>
      <c r="AM15" s="85" t="s">
        <v>730</v>
      </c>
      <c r="AN15" s="108" t="str">
        <f>HYPERLINK("https://www.youtube.com/watch?v=nR_28RIEGyw")</f>
        <v>https://www.youtube.com/watch?v=nR_28RIEGyw</v>
      </c>
      <c r="AO15" s="85" t="str">
        <f>REPLACE(INDEX(GroupVertices[Group],MATCH(Vertices[[#This Row],[Vertex]],GroupVertices[Vertex],0)),1,1,"")</f>
        <v>9</v>
      </c>
      <c r="AP15" s="51">
        <v>0</v>
      </c>
      <c r="AQ15" s="52">
        <v>0</v>
      </c>
      <c r="AR15" s="51">
        <v>1</v>
      </c>
      <c r="AS15" s="52">
        <v>5.2631578947368425</v>
      </c>
      <c r="AT15" s="51">
        <v>0</v>
      </c>
      <c r="AU15" s="52">
        <v>0</v>
      </c>
      <c r="AV15" s="51">
        <v>18</v>
      </c>
      <c r="AW15" s="52">
        <v>94.73684210526316</v>
      </c>
      <c r="AX15" s="51">
        <v>19</v>
      </c>
      <c r="AY15" s="51"/>
      <c r="AZ15" s="51"/>
      <c r="BA15" s="51"/>
      <c r="BB15" s="51"/>
      <c r="BC15" s="2"/>
      <c r="BD15" s="3"/>
      <c r="BE15" s="3"/>
      <c r="BF15" s="3"/>
      <c r="BG15" s="3"/>
    </row>
    <row r="16" spans="1:59" ht="15">
      <c r="A16" s="14" t="s">
        <v>217</v>
      </c>
      <c r="B16" s="15"/>
      <c r="C16" s="15"/>
      <c r="D16" s="87">
        <v>82.21822732687772</v>
      </c>
      <c r="E16" s="81"/>
      <c r="F16" s="109" t="str">
        <f>HYPERLINK("https://i.ytimg.com/vi/siigAameuGg/default.jpg")</f>
        <v>https://i.ytimg.com/vi/siigAameuGg/default.jpg</v>
      </c>
      <c r="G16" s="15"/>
      <c r="H16" s="16" t="s">
        <v>317</v>
      </c>
      <c r="I16" s="66"/>
      <c r="J16" s="66" t="s">
        <v>159</v>
      </c>
      <c r="K16" s="106" t="s">
        <v>317</v>
      </c>
      <c r="L16" s="88">
        <v>2500.5</v>
      </c>
      <c r="M16" s="89">
        <v>9857.5595703125</v>
      </c>
      <c r="N16" s="89">
        <v>3582.65869140625</v>
      </c>
      <c r="O16" s="77"/>
      <c r="P16" s="90"/>
      <c r="Q16" s="90"/>
      <c r="R16" s="91"/>
      <c r="S16" s="51">
        <v>1</v>
      </c>
      <c r="T16" s="51">
        <v>0</v>
      </c>
      <c r="U16" s="52">
        <v>0</v>
      </c>
      <c r="V16" s="52">
        <v>0.004673</v>
      </c>
      <c r="W16" s="52">
        <v>0.02174</v>
      </c>
      <c r="X16" s="52">
        <v>0.512541</v>
      </c>
      <c r="Y16" s="52">
        <v>0</v>
      </c>
      <c r="Z16" s="52">
        <v>0</v>
      </c>
      <c r="AA16" s="82">
        <v>16</v>
      </c>
      <c r="AB16" s="82"/>
      <c r="AC16" s="92"/>
      <c r="AD16" s="85" t="s">
        <v>317</v>
      </c>
      <c r="AE16" s="85" t="s">
        <v>413</v>
      </c>
      <c r="AF16" s="85" t="s">
        <v>506</v>
      </c>
      <c r="AG16" s="85" t="s">
        <v>593</v>
      </c>
      <c r="AH16" s="85" t="s">
        <v>646</v>
      </c>
      <c r="AI16" s="85">
        <v>61412</v>
      </c>
      <c r="AJ16" s="85">
        <v>0</v>
      </c>
      <c r="AK16" s="85">
        <v>1304</v>
      </c>
      <c r="AL16" s="85">
        <v>69</v>
      </c>
      <c r="AM16" s="85" t="s">
        <v>730</v>
      </c>
      <c r="AN16" s="108" t="str">
        <f>HYPERLINK("https://www.youtube.com/watch?v=siigAameuGg")</f>
        <v>https://www.youtube.com/watch?v=siigAameuGg</v>
      </c>
      <c r="AO16" s="85" t="str">
        <f>REPLACE(INDEX(GroupVertices[Group],MATCH(Vertices[[#This Row],[Vertex]],GroupVertices[Vertex],0)),1,1,"")</f>
        <v>9</v>
      </c>
      <c r="AP16" s="51">
        <v>0</v>
      </c>
      <c r="AQ16" s="52">
        <v>0</v>
      </c>
      <c r="AR16" s="51">
        <v>1</v>
      </c>
      <c r="AS16" s="52">
        <v>8.333333333333334</v>
      </c>
      <c r="AT16" s="51">
        <v>0</v>
      </c>
      <c r="AU16" s="52">
        <v>0</v>
      </c>
      <c r="AV16" s="51">
        <v>11</v>
      </c>
      <c r="AW16" s="52">
        <v>91.66666666666667</v>
      </c>
      <c r="AX16" s="51">
        <v>12</v>
      </c>
      <c r="AY16" s="51"/>
      <c r="AZ16" s="51"/>
      <c r="BA16" s="51"/>
      <c r="BB16" s="51"/>
      <c r="BC16" s="2"/>
      <c r="BD16" s="3"/>
      <c r="BE16" s="3"/>
      <c r="BF16" s="3"/>
      <c r="BG16" s="3"/>
    </row>
    <row r="17" spans="1:59" ht="15">
      <c r="A17" s="14" t="s">
        <v>218</v>
      </c>
      <c r="B17" s="15"/>
      <c r="C17" s="15"/>
      <c r="D17" s="87">
        <v>1000</v>
      </c>
      <c r="E17" s="81"/>
      <c r="F17" s="109" t="str">
        <f>HYPERLINK("https://i.ytimg.com/vi/vDBzi0n9Fxg/default.jpg")</f>
        <v>https://i.ytimg.com/vi/vDBzi0n9Fxg/default.jpg</v>
      </c>
      <c r="G17" s="15"/>
      <c r="H17" s="16" t="s">
        <v>318</v>
      </c>
      <c r="I17" s="66"/>
      <c r="J17" s="66" t="s">
        <v>159</v>
      </c>
      <c r="K17" s="106" t="s">
        <v>318</v>
      </c>
      <c r="L17" s="88">
        <v>2500.5</v>
      </c>
      <c r="M17" s="89">
        <v>9317.373046875</v>
      </c>
      <c r="N17" s="89">
        <v>2297.4580078125</v>
      </c>
      <c r="O17" s="77"/>
      <c r="P17" s="90"/>
      <c r="Q17" s="90"/>
      <c r="R17" s="91"/>
      <c r="S17" s="51">
        <v>1</v>
      </c>
      <c r="T17" s="51">
        <v>0</v>
      </c>
      <c r="U17" s="52">
        <v>0</v>
      </c>
      <c r="V17" s="52">
        <v>0.004673</v>
      </c>
      <c r="W17" s="52">
        <v>0.02174</v>
      </c>
      <c r="X17" s="52">
        <v>0.512541</v>
      </c>
      <c r="Y17" s="52">
        <v>0</v>
      </c>
      <c r="Z17" s="52">
        <v>0</v>
      </c>
      <c r="AA17" s="82">
        <v>17</v>
      </c>
      <c r="AB17" s="82"/>
      <c r="AC17" s="92"/>
      <c r="AD17" s="85" t="s">
        <v>318</v>
      </c>
      <c r="AE17" s="85" t="s">
        <v>414</v>
      </c>
      <c r="AF17" s="85" t="s">
        <v>507</v>
      </c>
      <c r="AG17" s="85" t="s">
        <v>594</v>
      </c>
      <c r="AH17" s="85" t="s">
        <v>647</v>
      </c>
      <c r="AI17" s="85">
        <v>16969953</v>
      </c>
      <c r="AJ17" s="85">
        <v>29448</v>
      </c>
      <c r="AK17" s="85">
        <v>569146</v>
      </c>
      <c r="AL17" s="85">
        <v>20226</v>
      </c>
      <c r="AM17" s="85" t="s">
        <v>730</v>
      </c>
      <c r="AN17" s="108" t="str">
        <f>HYPERLINK("https://www.youtube.com/watch?v=vDBzi0n9Fxg")</f>
        <v>https://www.youtube.com/watch?v=vDBzi0n9Fxg</v>
      </c>
      <c r="AO17" s="85" t="str">
        <f>REPLACE(INDEX(GroupVertices[Group],MATCH(Vertices[[#This Row],[Vertex]],GroupVertices[Vertex],0)),1,1,"")</f>
        <v>9</v>
      </c>
      <c r="AP17" s="51">
        <v>0</v>
      </c>
      <c r="AQ17" s="52">
        <v>0</v>
      </c>
      <c r="AR17" s="51">
        <v>12</v>
      </c>
      <c r="AS17" s="52">
        <v>17.647058823529413</v>
      </c>
      <c r="AT17" s="51">
        <v>0</v>
      </c>
      <c r="AU17" s="52">
        <v>0</v>
      </c>
      <c r="AV17" s="51">
        <v>56</v>
      </c>
      <c r="AW17" s="52">
        <v>82.3529411764706</v>
      </c>
      <c r="AX17" s="51">
        <v>68</v>
      </c>
      <c r="AY17" s="51"/>
      <c r="AZ17" s="51"/>
      <c r="BA17" s="51"/>
      <c r="BB17" s="51"/>
      <c r="BC17" s="2"/>
      <c r="BD17" s="3"/>
      <c r="BE17" s="3"/>
      <c r="BF17" s="3"/>
      <c r="BG17" s="3"/>
    </row>
    <row r="18" spans="1:59" ht="15">
      <c r="A18" s="14" t="s">
        <v>219</v>
      </c>
      <c r="B18" s="15"/>
      <c r="C18" s="15"/>
      <c r="D18" s="87">
        <v>82.74066445270537</v>
      </c>
      <c r="E18" s="81"/>
      <c r="F18" s="109" t="str">
        <f>HYPERLINK("https://i.ytimg.com/vi/RLrK1yAajJs/default.jpg")</f>
        <v>https://i.ytimg.com/vi/RLrK1yAajJs/default.jpg</v>
      </c>
      <c r="G18" s="15"/>
      <c r="H18" s="16" t="s">
        <v>319</v>
      </c>
      <c r="I18" s="66"/>
      <c r="J18" s="66" t="s">
        <v>159</v>
      </c>
      <c r="K18" s="106" t="s">
        <v>319</v>
      </c>
      <c r="L18" s="88">
        <v>2500.5</v>
      </c>
      <c r="M18" s="89">
        <v>9857.5595703125</v>
      </c>
      <c r="N18" s="89">
        <v>5550.4287109375</v>
      </c>
      <c r="O18" s="77"/>
      <c r="P18" s="90"/>
      <c r="Q18" s="90"/>
      <c r="R18" s="91"/>
      <c r="S18" s="51">
        <v>1</v>
      </c>
      <c r="T18" s="51">
        <v>0</v>
      </c>
      <c r="U18" s="52">
        <v>0</v>
      </c>
      <c r="V18" s="52">
        <v>0.004673</v>
      </c>
      <c r="W18" s="52">
        <v>0.02174</v>
      </c>
      <c r="X18" s="52">
        <v>0.512541</v>
      </c>
      <c r="Y18" s="52">
        <v>0</v>
      </c>
      <c r="Z18" s="52">
        <v>0</v>
      </c>
      <c r="AA18" s="82">
        <v>18</v>
      </c>
      <c r="AB18" s="82"/>
      <c r="AC18" s="92"/>
      <c r="AD18" s="85" t="s">
        <v>319</v>
      </c>
      <c r="AE18" s="85" t="s">
        <v>415</v>
      </c>
      <c r="AF18" s="85" t="s">
        <v>508</v>
      </c>
      <c r="AG18" s="85" t="s">
        <v>595</v>
      </c>
      <c r="AH18" s="85" t="s">
        <v>648</v>
      </c>
      <c r="AI18" s="85">
        <v>71037</v>
      </c>
      <c r="AJ18" s="85">
        <v>502</v>
      </c>
      <c r="AK18" s="85">
        <v>1882</v>
      </c>
      <c r="AL18" s="85">
        <v>63</v>
      </c>
      <c r="AM18" s="85" t="s">
        <v>730</v>
      </c>
      <c r="AN18" s="108" t="str">
        <f>HYPERLINK("https://www.youtube.com/watch?v=RLrK1yAajJs")</f>
        <v>https://www.youtube.com/watch?v=RLrK1yAajJs</v>
      </c>
      <c r="AO18" s="85" t="str">
        <f>REPLACE(INDEX(GroupVertices[Group],MATCH(Vertices[[#This Row],[Vertex]],GroupVertices[Vertex],0)),1,1,"")</f>
        <v>9</v>
      </c>
      <c r="AP18" s="51">
        <v>0</v>
      </c>
      <c r="AQ18" s="52">
        <v>0</v>
      </c>
      <c r="AR18" s="51">
        <v>4</v>
      </c>
      <c r="AS18" s="52">
        <v>9.30232558139535</v>
      </c>
      <c r="AT18" s="51">
        <v>0</v>
      </c>
      <c r="AU18" s="52">
        <v>0</v>
      </c>
      <c r="AV18" s="51">
        <v>39</v>
      </c>
      <c r="AW18" s="52">
        <v>90.69767441860465</v>
      </c>
      <c r="AX18" s="51">
        <v>43</v>
      </c>
      <c r="AY18" s="51"/>
      <c r="AZ18" s="51"/>
      <c r="BA18" s="51"/>
      <c r="BB18" s="51"/>
      <c r="BC18" s="2"/>
      <c r="BD18" s="3"/>
      <c r="BE18" s="3"/>
      <c r="BF18" s="3"/>
      <c r="BG18" s="3"/>
    </row>
    <row r="19" spans="1:59" ht="15">
      <c r="A19" s="14" t="s">
        <v>220</v>
      </c>
      <c r="B19" s="15"/>
      <c r="C19" s="15"/>
      <c r="D19" s="87">
        <v>82.07672149965356</v>
      </c>
      <c r="E19" s="81"/>
      <c r="F19" s="109" t="str">
        <f>HYPERLINK("https://i.ytimg.com/vi/9dtt3MPwenA/default.jpg")</f>
        <v>https://i.ytimg.com/vi/9dtt3MPwenA/default.jpg</v>
      </c>
      <c r="G19" s="15"/>
      <c r="H19" s="16" t="s">
        <v>320</v>
      </c>
      <c r="I19" s="66"/>
      <c r="J19" s="66" t="s">
        <v>159</v>
      </c>
      <c r="K19" s="106" t="s">
        <v>320</v>
      </c>
      <c r="L19" s="88">
        <v>2500.5</v>
      </c>
      <c r="M19" s="89">
        <v>8519.1357421875</v>
      </c>
      <c r="N19" s="89">
        <v>6208.38671875</v>
      </c>
      <c r="O19" s="77"/>
      <c r="P19" s="90"/>
      <c r="Q19" s="90"/>
      <c r="R19" s="91"/>
      <c r="S19" s="51">
        <v>1</v>
      </c>
      <c r="T19" s="51">
        <v>0</v>
      </c>
      <c r="U19" s="52">
        <v>0</v>
      </c>
      <c r="V19" s="52">
        <v>0.004673</v>
      </c>
      <c r="W19" s="52">
        <v>0.02174</v>
      </c>
      <c r="X19" s="52">
        <v>0.512541</v>
      </c>
      <c r="Y19" s="52">
        <v>0</v>
      </c>
      <c r="Z19" s="52">
        <v>0</v>
      </c>
      <c r="AA19" s="82">
        <v>19</v>
      </c>
      <c r="AB19" s="82"/>
      <c r="AC19" s="92"/>
      <c r="AD19" s="85" t="s">
        <v>320</v>
      </c>
      <c r="AE19" s="85" t="s">
        <v>416</v>
      </c>
      <c r="AF19" s="85" t="s">
        <v>509</v>
      </c>
      <c r="AG19" s="85" t="s">
        <v>596</v>
      </c>
      <c r="AH19" s="85" t="s">
        <v>649</v>
      </c>
      <c r="AI19" s="85">
        <v>58805</v>
      </c>
      <c r="AJ19" s="85">
        <v>343</v>
      </c>
      <c r="AK19" s="85">
        <v>1252</v>
      </c>
      <c r="AL19" s="85">
        <v>160</v>
      </c>
      <c r="AM19" s="85" t="s">
        <v>730</v>
      </c>
      <c r="AN19" s="108" t="str">
        <f>HYPERLINK("https://www.youtube.com/watch?v=9dtt3MPwenA")</f>
        <v>https://www.youtube.com/watch?v=9dtt3MPwenA</v>
      </c>
      <c r="AO19" s="85" t="str">
        <f>REPLACE(INDEX(GroupVertices[Group],MATCH(Vertices[[#This Row],[Vertex]],GroupVertices[Vertex],0)),1,1,"")</f>
        <v>9</v>
      </c>
      <c r="AP19" s="51">
        <v>0</v>
      </c>
      <c r="AQ19" s="52">
        <v>0</v>
      </c>
      <c r="AR19" s="51">
        <v>0</v>
      </c>
      <c r="AS19" s="52">
        <v>0</v>
      </c>
      <c r="AT19" s="51">
        <v>0</v>
      </c>
      <c r="AU19" s="52">
        <v>0</v>
      </c>
      <c r="AV19" s="51">
        <v>17</v>
      </c>
      <c r="AW19" s="52">
        <v>100</v>
      </c>
      <c r="AX19" s="51">
        <v>17</v>
      </c>
      <c r="AY19" s="51"/>
      <c r="AZ19" s="51"/>
      <c r="BA19" s="51"/>
      <c r="BB19" s="51"/>
      <c r="BC19" s="2"/>
      <c r="BD19" s="3"/>
      <c r="BE19" s="3"/>
      <c r="BF19" s="3"/>
      <c r="BG19" s="3"/>
    </row>
    <row r="20" spans="1:59" ht="15">
      <c r="A20" s="14" t="s">
        <v>221</v>
      </c>
      <c r="B20" s="15"/>
      <c r="C20" s="15"/>
      <c r="D20" s="87">
        <v>97.56588312700951</v>
      </c>
      <c r="E20" s="81"/>
      <c r="F20" s="109" t="str">
        <f>HYPERLINK("https://i.ytimg.com/vi/BzoKwC3UC0c/default.jpg")</f>
        <v>https://i.ytimg.com/vi/BzoKwC3UC0c/default.jpg</v>
      </c>
      <c r="G20" s="15"/>
      <c r="H20" s="16" t="s">
        <v>321</v>
      </c>
      <c r="I20" s="66"/>
      <c r="J20" s="66" t="s">
        <v>75</v>
      </c>
      <c r="K20" s="106" t="s">
        <v>321</v>
      </c>
      <c r="L20" s="88">
        <v>9999</v>
      </c>
      <c r="M20" s="89">
        <v>8171.14599609375</v>
      </c>
      <c r="N20" s="89">
        <v>6863.4755859375</v>
      </c>
      <c r="O20" s="77"/>
      <c r="P20" s="90"/>
      <c r="Q20" s="90"/>
      <c r="R20" s="91"/>
      <c r="S20" s="51">
        <v>4</v>
      </c>
      <c r="T20" s="51">
        <v>0</v>
      </c>
      <c r="U20" s="52">
        <v>1213.2</v>
      </c>
      <c r="V20" s="52">
        <v>0.006098</v>
      </c>
      <c r="W20" s="52">
        <v>0.07683</v>
      </c>
      <c r="X20" s="52">
        <v>1.612493</v>
      </c>
      <c r="Y20" s="52">
        <v>0</v>
      </c>
      <c r="Z20" s="52">
        <v>0</v>
      </c>
      <c r="AA20" s="82">
        <v>20</v>
      </c>
      <c r="AB20" s="82"/>
      <c r="AC20" s="92"/>
      <c r="AD20" s="85" t="s">
        <v>321</v>
      </c>
      <c r="AE20" s="85" t="s">
        <v>417</v>
      </c>
      <c r="AF20" s="85" t="s">
        <v>510</v>
      </c>
      <c r="AG20" s="85" t="s">
        <v>597</v>
      </c>
      <c r="AH20" s="85" t="s">
        <v>650</v>
      </c>
      <c r="AI20" s="85">
        <v>344166</v>
      </c>
      <c r="AJ20" s="85">
        <v>1169</v>
      </c>
      <c r="AK20" s="85">
        <v>6072</v>
      </c>
      <c r="AL20" s="85">
        <v>180</v>
      </c>
      <c r="AM20" s="85" t="s">
        <v>730</v>
      </c>
      <c r="AN20" s="108" t="str">
        <f>HYPERLINK("https://www.youtube.com/watch?v=BzoKwC3UC0c")</f>
        <v>https://www.youtube.com/watch?v=BzoKwC3UC0c</v>
      </c>
      <c r="AO20" s="85" t="str">
        <f>REPLACE(INDEX(GroupVertices[Group],MATCH(Vertices[[#This Row],[Vertex]],GroupVertices[Vertex],0)),1,1,"")</f>
        <v>6</v>
      </c>
      <c r="AP20" s="51">
        <v>0</v>
      </c>
      <c r="AQ20" s="52">
        <v>0</v>
      </c>
      <c r="AR20" s="51">
        <v>1</v>
      </c>
      <c r="AS20" s="52">
        <v>6.25</v>
      </c>
      <c r="AT20" s="51">
        <v>0</v>
      </c>
      <c r="AU20" s="52">
        <v>0</v>
      </c>
      <c r="AV20" s="51">
        <v>15</v>
      </c>
      <c r="AW20" s="52">
        <v>93.75</v>
      </c>
      <c r="AX20" s="51">
        <v>16</v>
      </c>
      <c r="AY20" s="51"/>
      <c r="AZ20" s="51"/>
      <c r="BA20" s="51"/>
      <c r="BB20" s="51"/>
      <c r="BC20" s="2"/>
      <c r="BD20" s="3"/>
      <c r="BE20" s="3"/>
      <c r="BF20" s="3"/>
      <c r="BG20" s="3"/>
    </row>
    <row r="21" spans="1:59" ht="15">
      <c r="A21" s="14" t="s">
        <v>222</v>
      </c>
      <c r="B21" s="15"/>
      <c r="C21" s="15"/>
      <c r="D21" s="87">
        <v>100.9197394976863</v>
      </c>
      <c r="E21" s="81"/>
      <c r="F21" s="109" t="str">
        <f>HYPERLINK("https://i.ytimg.com/vi/Ubknv_CxSUY/default.jpg")</f>
        <v>https://i.ytimg.com/vi/Ubknv_CxSUY/default.jpg</v>
      </c>
      <c r="G21" s="15"/>
      <c r="H21" s="16" t="s">
        <v>322</v>
      </c>
      <c r="I21" s="66"/>
      <c r="J21" s="66" t="s">
        <v>75</v>
      </c>
      <c r="K21" s="106" t="s">
        <v>322</v>
      </c>
      <c r="L21" s="88">
        <v>7499.5</v>
      </c>
      <c r="M21" s="89">
        <v>3195.009521484375</v>
      </c>
      <c r="N21" s="89">
        <v>5041.39404296875</v>
      </c>
      <c r="O21" s="77"/>
      <c r="P21" s="90"/>
      <c r="Q21" s="90"/>
      <c r="R21" s="91"/>
      <c r="S21" s="51">
        <v>3</v>
      </c>
      <c r="T21" s="51">
        <v>0</v>
      </c>
      <c r="U21" s="52">
        <v>1441.333333</v>
      </c>
      <c r="V21" s="52">
        <v>0.006329</v>
      </c>
      <c r="W21" s="52">
        <v>0.054666</v>
      </c>
      <c r="X21" s="52">
        <v>1.253847</v>
      </c>
      <c r="Y21" s="52">
        <v>0</v>
      </c>
      <c r="Z21" s="52">
        <v>0</v>
      </c>
      <c r="AA21" s="82">
        <v>21</v>
      </c>
      <c r="AB21" s="82"/>
      <c r="AC21" s="92"/>
      <c r="AD21" s="85" t="s">
        <v>322</v>
      </c>
      <c r="AE21" s="85" t="s">
        <v>418</v>
      </c>
      <c r="AF21" s="85" t="s">
        <v>511</v>
      </c>
      <c r="AG21" s="85" t="s">
        <v>598</v>
      </c>
      <c r="AH21" s="85" t="s">
        <v>651</v>
      </c>
      <c r="AI21" s="85">
        <v>405955</v>
      </c>
      <c r="AJ21" s="85">
        <v>1837</v>
      </c>
      <c r="AK21" s="85">
        <v>5224</v>
      </c>
      <c r="AL21" s="85">
        <v>266</v>
      </c>
      <c r="AM21" s="85" t="s">
        <v>730</v>
      </c>
      <c r="AN21" s="108" t="str">
        <f>HYPERLINK("https://www.youtube.com/watch?v=Ubknv_CxSUY")</f>
        <v>https://www.youtube.com/watch?v=Ubknv_CxSUY</v>
      </c>
      <c r="AO21" s="85" t="str">
        <f>REPLACE(INDEX(GroupVertices[Group],MATCH(Vertices[[#This Row],[Vertex]],GroupVertices[Vertex],0)),1,1,"")</f>
        <v>5</v>
      </c>
      <c r="AP21" s="51">
        <v>0</v>
      </c>
      <c r="AQ21" s="52">
        <v>0</v>
      </c>
      <c r="AR21" s="51">
        <v>0</v>
      </c>
      <c r="AS21" s="52">
        <v>0</v>
      </c>
      <c r="AT21" s="51">
        <v>0</v>
      </c>
      <c r="AU21" s="52">
        <v>0</v>
      </c>
      <c r="AV21" s="51">
        <v>13</v>
      </c>
      <c r="AW21" s="52">
        <v>100</v>
      </c>
      <c r="AX21" s="51">
        <v>13</v>
      </c>
      <c r="AY21" s="51"/>
      <c r="AZ21" s="51"/>
      <c r="BA21" s="51"/>
      <c r="BB21" s="51"/>
      <c r="BC21" s="2"/>
      <c r="BD21" s="3"/>
      <c r="BE21" s="3"/>
      <c r="BF21" s="3"/>
      <c r="BG21" s="3"/>
    </row>
    <row r="22" spans="1:59" ht="15">
      <c r="A22" s="14" t="s">
        <v>223</v>
      </c>
      <c r="B22" s="15"/>
      <c r="C22" s="15"/>
      <c r="D22" s="87">
        <v>114.42505130562672</v>
      </c>
      <c r="E22" s="81"/>
      <c r="F22" s="109" t="str">
        <f>HYPERLINK("https://i.ytimg.com/vi/pgw6FoFPhjo/default.jpg")</f>
        <v>https://i.ytimg.com/vi/pgw6FoFPhjo/default.jpg</v>
      </c>
      <c r="G22" s="15"/>
      <c r="H22" s="16" t="s">
        <v>323</v>
      </c>
      <c r="I22" s="66"/>
      <c r="J22" s="66" t="s">
        <v>75</v>
      </c>
      <c r="K22" s="106" t="s">
        <v>323</v>
      </c>
      <c r="L22" s="88">
        <v>5000</v>
      </c>
      <c r="M22" s="89">
        <v>9841.8505859375</v>
      </c>
      <c r="N22" s="89">
        <v>1510.924072265625</v>
      </c>
      <c r="O22" s="77"/>
      <c r="P22" s="90"/>
      <c r="Q22" s="90"/>
      <c r="R22" s="91"/>
      <c r="S22" s="51">
        <v>2</v>
      </c>
      <c r="T22" s="51">
        <v>0</v>
      </c>
      <c r="U22" s="52">
        <v>41.333333</v>
      </c>
      <c r="V22" s="52">
        <v>0.005051</v>
      </c>
      <c r="W22" s="52">
        <v>0.045471</v>
      </c>
      <c r="X22" s="52">
        <v>0.865094</v>
      </c>
      <c r="Y22" s="52">
        <v>0</v>
      </c>
      <c r="Z22" s="52">
        <v>0</v>
      </c>
      <c r="AA22" s="82">
        <v>22</v>
      </c>
      <c r="AB22" s="82"/>
      <c r="AC22" s="92"/>
      <c r="AD22" s="85" t="s">
        <v>323</v>
      </c>
      <c r="AE22" s="85" t="s">
        <v>419</v>
      </c>
      <c r="AF22" s="85" t="s">
        <v>512</v>
      </c>
      <c r="AG22" s="85" t="s">
        <v>599</v>
      </c>
      <c r="AH22" s="85" t="s">
        <v>652</v>
      </c>
      <c r="AI22" s="85">
        <v>654767</v>
      </c>
      <c r="AJ22" s="85">
        <v>2825</v>
      </c>
      <c r="AK22" s="85">
        <v>8554</v>
      </c>
      <c r="AL22" s="85">
        <v>413</v>
      </c>
      <c r="AM22" s="85" t="s">
        <v>730</v>
      </c>
      <c r="AN22" s="108" t="str">
        <f>HYPERLINK("https://www.youtube.com/watch?v=pgw6FoFPhjo")</f>
        <v>https://www.youtube.com/watch?v=pgw6FoFPhjo</v>
      </c>
      <c r="AO22" s="85" t="str">
        <f>REPLACE(INDEX(GroupVertices[Group],MATCH(Vertices[[#This Row],[Vertex]],GroupVertices[Vertex],0)),1,1,"")</f>
        <v>8</v>
      </c>
      <c r="AP22" s="51">
        <v>0</v>
      </c>
      <c r="AQ22" s="52">
        <v>0</v>
      </c>
      <c r="AR22" s="51">
        <v>0</v>
      </c>
      <c r="AS22" s="52">
        <v>0</v>
      </c>
      <c r="AT22" s="51">
        <v>0</v>
      </c>
      <c r="AU22" s="52">
        <v>0</v>
      </c>
      <c r="AV22" s="51">
        <v>43</v>
      </c>
      <c r="AW22" s="52">
        <v>100</v>
      </c>
      <c r="AX22" s="51">
        <v>43</v>
      </c>
      <c r="AY22" s="51"/>
      <c r="AZ22" s="51"/>
      <c r="BA22" s="51"/>
      <c r="BB22" s="51"/>
      <c r="BC22" s="2"/>
      <c r="BD22" s="3"/>
      <c r="BE22" s="3"/>
      <c r="BF22" s="3"/>
      <c r="BG22" s="3"/>
    </row>
    <row r="23" spans="1:59" ht="15">
      <c r="A23" s="14" t="s">
        <v>199</v>
      </c>
      <c r="B23" s="15"/>
      <c r="C23" s="15"/>
      <c r="D23" s="87">
        <v>134.44337642943046</v>
      </c>
      <c r="E23" s="81"/>
      <c r="F23" s="109" t="str">
        <f>HYPERLINK("https://i.ytimg.com/vi/Kp7FkLBRpKg/default.jpg")</f>
        <v>https://i.ytimg.com/vi/Kp7FkLBRpKg/default.jpg</v>
      </c>
      <c r="G23" s="15"/>
      <c r="H23" s="16" t="s">
        <v>324</v>
      </c>
      <c r="I23" s="66"/>
      <c r="J23" s="66" t="s">
        <v>159</v>
      </c>
      <c r="K23" s="106" t="s">
        <v>324</v>
      </c>
      <c r="L23" s="88">
        <v>1</v>
      </c>
      <c r="M23" s="89">
        <v>8359.869140625</v>
      </c>
      <c r="N23" s="89">
        <v>8373.4853515625</v>
      </c>
      <c r="O23" s="77"/>
      <c r="P23" s="90"/>
      <c r="Q23" s="90"/>
      <c r="R23" s="91"/>
      <c r="S23" s="51">
        <v>0</v>
      </c>
      <c r="T23" s="51">
        <v>10</v>
      </c>
      <c r="U23" s="52">
        <v>839.266667</v>
      </c>
      <c r="V23" s="52">
        <v>0.005</v>
      </c>
      <c r="W23" s="52">
        <v>0.023372</v>
      </c>
      <c r="X23" s="52">
        <v>4.488253</v>
      </c>
      <c r="Y23" s="52">
        <v>0</v>
      </c>
      <c r="Z23" s="52">
        <v>0</v>
      </c>
      <c r="AA23" s="82">
        <v>23</v>
      </c>
      <c r="AB23" s="82"/>
      <c r="AC23" s="92"/>
      <c r="AD23" s="85" t="s">
        <v>324</v>
      </c>
      <c r="AE23" s="85" t="s">
        <v>420</v>
      </c>
      <c r="AF23" s="85" t="s">
        <v>513</v>
      </c>
      <c r="AG23" s="85" t="s">
        <v>600</v>
      </c>
      <c r="AH23" s="85" t="s">
        <v>653</v>
      </c>
      <c r="AI23" s="85">
        <v>1023570</v>
      </c>
      <c r="AJ23" s="85">
        <v>1534</v>
      </c>
      <c r="AK23" s="85">
        <v>6442</v>
      </c>
      <c r="AL23" s="85">
        <v>231</v>
      </c>
      <c r="AM23" s="85" t="s">
        <v>730</v>
      </c>
      <c r="AN23" s="108" t="str">
        <f>HYPERLINK("https://www.youtube.com/watch?v=Kp7FkLBRpKg")</f>
        <v>https://www.youtube.com/watch?v=Kp7FkLBRpKg</v>
      </c>
      <c r="AO23" s="85" t="str">
        <f>REPLACE(INDEX(GroupVertices[Group],MATCH(Vertices[[#This Row],[Vertex]],GroupVertices[Vertex],0)),1,1,"")</f>
        <v>6</v>
      </c>
      <c r="AP23" s="51">
        <v>1</v>
      </c>
      <c r="AQ23" s="52">
        <v>5.882352941176471</v>
      </c>
      <c r="AR23" s="51">
        <v>2</v>
      </c>
      <c r="AS23" s="52">
        <v>11.764705882352942</v>
      </c>
      <c r="AT23" s="51">
        <v>0</v>
      </c>
      <c r="AU23" s="52">
        <v>0</v>
      </c>
      <c r="AV23" s="51">
        <v>14</v>
      </c>
      <c r="AW23" s="52">
        <v>82.3529411764706</v>
      </c>
      <c r="AX23" s="51">
        <v>17</v>
      </c>
      <c r="AY23" s="130" t="s">
        <v>1354</v>
      </c>
      <c r="AZ23" s="130" t="s">
        <v>1354</v>
      </c>
      <c r="BA23" s="130" t="s">
        <v>1354</v>
      </c>
      <c r="BB23" s="130" t="s">
        <v>1354</v>
      </c>
      <c r="BC23" s="2"/>
      <c r="BD23" s="3"/>
      <c r="BE23" s="3"/>
      <c r="BF23" s="3"/>
      <c r="BG23" s="3"/>
    </row>
    <row r="24" spans="1:59" ht="15">
      <c r="A24" s="14" t="s">
        <v>224</v>
      </c>
      <c r="B24" s="15"/>
      <c r="C24" s="15"/>
      <c r="D24" s="87">
        <v>94.6632495955021</v>
      </c>
      <c r="E24" s="81"/>
      <c r="F24" s="109" t="str">
        <f>HYPERLINK("https://i.ytimg.com/vi/04MDYW1oEe0/default.jpg")</f>
        <v>https://i.ytimg.com/vi/04MDYW1oEe0/default.jpg</v>
      </c>
      <c r="G24" s="15"/>
      <c r="H24" s="16" t="s">
        <v>325</v>
      </c>
      <c r="I24" s="66"/>
      <c r="J24" s="66" t="s">
        <v>159</v>
      </c>
      <c r="K24" s="106" t="s">
        <v>325</v>
      </c>
      <c r="L24" s="88">
        <v>2500.5</v>
      </c>
      <c r="M24" s="89">
        <v>7993.13671875</v>
      </c>
      <c r="N24" s="89">
        <v>9830.5205078125</v>
      </c>
      <c r="O24" s="77"/>
      <c r="P24" s="90"/>
      <c r="Q24" s="90"/>
      <c r="R24" s="91"/>
      <c r="S24" s="51">
        <v>1</v>
      </c>
      <c r="T24" s="51">
        <v>0</v>
      </c>
      <c r="U24" s="52">
        <v>0</v>
      </c>
      <c r="V24" s="52">
        <v>0.003937</v>
      </c>
      <c r="W24" s="52">
        <v>0.015152</v>
      </c>
      <c r="X24" s="52">
        <v>0.531501</v>
      </c>
      <c r="Y24" s="52">
        <v>0</v>
      </c>
      <c r="Z24" s="52">
        <v>0</v>
      </c>
      <c r="AA24" s="82">
        <v>24</v>
      </c>
      <c r="AB24" s="82"/>
      <c r="AC24" s="92"/>
      <c r="AD24" s="85" t="s">
        <v>325</v>
      </c>
      <c r="AE24" s="85" t="s">
        <v>421</v>
      </c>
      <c r="AF24" s="85" t="s">
        <v>514</v>
      </c>
      <c r="AG24" s="85" t="s">
        <v>601</v>
      </c>
      <c r="AH24" s="85" t="s">
        <v>654</v>
      </c>
      <c r="AI24" s="85">
        <v>290690</v>
      </c>
      <c r="AJ24" s="85">
        <v>1211</v>
      </c>
      <c r="AK24" s="85">
        <v>6705</v>
      </c>
      <c r="AL24" s="85">
        <v>89</v>
      </c>
      <c r="AM24" s="85" t="s">
        <v>730</v>
      </c>
      <c r="AN24" s="108" t="str">
        <f>HYPERLINK("https://www.youtube.com/watch?v=04MDYW1oEe0")</f>
        <v>https://www.youtube.com/watch?v=04MDYW1oEe0</v>
      </c>
      <c r="AO24" s="85" t="str">
        <f>REPLACE(INDEX(GroupVertices[Group],MATCH(Vertices[[#This Row],[Vertex]],GroupVertices[Vertex],0)),1,1,"")</f>
        <v>6</v>
      </c>
      <c r="AP24" s="51">
        <v>0</v>
      </c>
      <c r="AQ24" s="52">
        <v>0</v>
      </c>
      <c r="AR24" s="51">
        <v>0</v>
      </c>
      <c r="AS24" s="52">
        <v>0</v>
      </c>
      <c r="AT24" s="51">
        <v>0</v>
      </c>
      <c r="AU24" s="52">
        <v>0</v>
      </c>
      <c r="AV24" s="51">
        <v>8</v>
      </c>
      <c r="AW24" s="52">
        <v>100</v>
      </c>
      <c r="AX24" s="51">
        <v>8</v>
      </c>
      <c r="AY24" s="51"/>
      <c r="AZ24" s="51"/>
      <c r="BA24" s="51"/>
      <c r="BB24" s="51"/>
      <c r="BC24" s="2"/>
      <c r="BD24" s="3"/>
      <c r="BE24" s="3"/>
      <c r="BF24" s="3"/>
      <c r="BG24" s="3"/>
    </row>
    <row r="25" spans="1:59" ht="15">
      <c r="A25" s="14" t="s">
        <v>225</v>
      </c>
      <c r="B25" s="15"/>
      <c r="C25" s="15"/>
      <c r="D25" s="87">
        <v>127.88563706767812</v>
      </c>
      <c r="E25" s="81"/>
      <c r="F25" s="109" t="str">
        <f>HYPERLINK("https://i.ytimg.com/vi/k848RRhBJXc/default.jpg")</f>
        <v>https://i.ytimg.com/vi/k848RRhBJXc/default.jpg</v>
      </c>
      <c r="G25" s="15"/>
      <c r="H25" s="16" t="s">
        <v>326</v>
      </c>
      <c r="I25" s="66"/>
      <c r="J25" s="66" t="s">
        <v>159</v>
      </c>
      <c r="K25" s="106" t="s">
        <v>326</v>
      </c>
      <c r="L25" s="88">
        <v>2500.5</v>
      </c>
      <c r="M25" s="89">
        <v>6761.53173828125</v>
      </c>
      <c r="N25" s="89">
        <v>8287.6796875</v>
      </c>
      <c r="O25" s="77"/>
      <c r="P25" s="90"/>
      <c r="Q25" s="90"/>
      <c r="R25" s="91"/>
      <c r="S25" s="51">
        <v>1</v>
      </c>
      <c r="T25" s="51">
        <v>0</v>
      </c>
      <c r="U25" s="52">
        <v>0</v>
      </c>
      <c r="V25" s="52">
        <v>0.003937</v>
      </c>
      <c r="W25" s="52">
        <v>0.015152</v>
      </c>
      <c r="X25" s="52">
        <v>0.531501</v>
      </c>
      <c r="Y25" s="52">
        <v>0</v>
      </c>
      <c r="Z25" s="52">
        <v>0</v>
      </c>
      <c r="AA25" s="82">
        <v>25</v>
      </c>
      <c r="AB25" s="82"/>
      <c r="AC25" s="92"/>
      <c r="AD25" s="85" t="s">
        <v>326</v>
      </c>
      <c r="AE25" s="85" t="s">
        <v>422</v>
      </c>
      <c r="AF25" s="85" t="s">
        <v>515</v>
      </c>
      <c r="AG25" s="85" t="s">
        <v>602</v>
      </c>
      <c r="AH25" s="85" t="s">
        <v>655</v>
      </c>
      <c r="AI25" s="85">
        <v>902755</v>
      </c>
      <c r="AJ25" s="85">
        <v>4379</v>
      </c>
      <c r="AK25" s="85">
        <v>17004</v>
      </c>
      <c r="AL25" s="85">
        <v>690</v>
      </c>
      <c r="AM25" s="85" t="s">
        <v>730</v>
      </c>
      <c r="AN25" s="108" t="str">
        <f>HYPERLINK("https://www.youtube.com/watch?v=k848RRhBJXc")</f>
        <v>https://www.youtube.com/watch?v=k848RRhBJXc</v>
      </c>
      <c r="AO25" s="85" t="str">
        <f>REPLACE(INDEX(GroupVertices[Group],MATCH(Vertices[[#This Row],[Vertex]],GroupVertices[Vertex],0)),1,1,"")</f>
        <v>6</v>
      </c>
      <c r="AP25" s="51">
        <v>0</v>
      </c>
      <c r="AQ25" s="52">
        <v>0</v>
      </c>
      <c r="AR25" s="51">
        <v>1</v>
      </c>
      <c r="AS25" s="52">
        <v>2.5</v>
      </c>
      <c r="AT25" s="51">
        <v>0</v>
      </c>
      <c r="AU25" s="52">
        <v>0</v>
      </c>
      <c r="AV25" s="51">
        <v>39</v>
      </c>
      <c r="AW25" s="52">
        <v>97.5</v>
      </c>
      <c r="AX25" s="51">
        <v>40</v>
      </c>
      <c r="AY25" s="51"/>
      <c r="AZ25" s="51"/>
      <c r="BA25" s="51"/>
      <c r="BB25" s="51"/>
      <c r="BC25" s="2"/>
      <c r="BD25" s="3"/>
      <c r="BE25" s="3"/>
      <c r="BF25" s="3"/>
      <c r="BG25" s="3"/>
    </row>
    <row r="26" spans="1:59" ht="15">
      <c r="A26" s="14" t="s">
        <v>226</v>
      </c>
      <c r="B26" s="15"/>
      <c r="C26" s="15"/>
      <c r="D26" s="87">
        <v>92.34297740664452</v>
      </c>
      <c r="E26" s="81"/>
      <c r="F26" s="109" t="str">
        <f>HYPERLINK("https://i.ytimg.com/vi/CzFs7gqfXFU/default.jpg")</f>
        <v>https://i.ytimg.com/vi/CzFs7gqfXFU/default.jpg</v>
      </c>
      <c r="G26" s="15"/>
      <c r="H26" s="16" t="s">
        <v>327</v>
      </c>
      <c r="I26" s="66"/>
      <c r="J26" s="66" t="s">
        <v>159</v>
      </c>
      <c r="K26" s="106" t="s">
        <v>327</v>
      </c>
      <c r="L26" s="88">
        <v>2500.5</v>
      </c>
      <c r="M26" s="89">
        <v>9238.453125</v>
      </c>
      <c r="N26" s="89">
        <v>7099.95458984375</v>
      </c>
      <c r="O26" s="77"/>
      <c r="P26" s="90"/>
      <c r="Q26" s="90"/>
      <c r="R26" s="91"/>
      <c r="S26" s="51">
        <v>1</v>
      </c>
      <c r="T26" s="51">
        <v>0</v>
      </c>
      <c r="U26" s="52">
        <v>0</v>
      </c>
      <c r="V26" s="52">
        <v>0.003937</v>
      </c>
      <c r="W26" s="52">
        <v>0.015152</v>
      </c>
      <c r="X26" s="52">
        <v>0.531501</v>
      </c>
      <c r="Y26" s="52">
        <v>0</v>
      </c>
      <c r="Z26" s="52">
        <v>0</v>
      </c>
      <c r="AA26" s="82">
        <v>26</v>
      </c>
      <c r="AB26" s="82"/>
      <c r="AC26" s="92"/>
      <c r="AD26" s="85" t="s">
        <v>327</v>
      </c>
      <c r="AE26" s="85" t="s">
        <v>423</v>
      </c>
      <c r="AF26" s="85" t="s">
        <v>516</v>
      </c>
      <c r="AG26" s="85" t="s">
        <v>597</v>
      </c>
      <c r="AH26" s="85" t="s">
        <v>656</v>
      </c>
      <c r="AI26" s="85">
        <v>247943</v>
      </c>
      <c r="AJ26" s="85">
        <v>593</v>
      </c>
      <c r="AK26" s="85">
        <v>3849</v>
      </c>
      <c r="AL26" s="85">
        <v>66</v>
      </c>
      <c r="AM26" s="85" t="s">
        <v>730</v>
      </c>
      <c r="AN26" s="108" t="str">
        <f>HYPERLINK("https://www.youtube.com/watch?v=CzFs7gqfXFU")</f>
        <v>https://www.youtube.com/watch?v=CzFs7gqfXFU</v>
      </c>
      <c r="AO26" s="85" t="str">
        <f>REPLACE(INDEX(GroupVertices[Group],MATCH(Vertices[[#This Row],[Vertex]],GroupVertices[Vertex],0)),1,1,"")</f>
        <v>6</v>
      </c>
      <c r="AP26" s="51">
        <v>0</v>
      </c>
      <c r="AQ26" s="52">
        <v>0</v>
      </c>
      <c r="AR26" s="51">
        <v>1</v>
      </c>
      <c r="AS26" s="52">
        <v>7.6923076923076925</v>
      </c>
      <c r="AT26" s="51">
        <v>0</v>
      </c>
      <c r="AU26" s="52">
        <v>0</v>
      </c>
      <c r="AV26" s="51">
        <v>12</v>
      </c>
      <c r="AW26" s="52">
        <v>92.3076923076923</v>
      </c>
      <c r="AX26" s="51">
        <v>13</v>
      </c>
      <c r="AY26" s="51"/>
      <c r="AZ26" s="51"/>
      <c r="BA26" s="51"/>
      <c r="BB26" s="51"/>
      <c r="BC26" s="2"/>
      <c r="BD26" s="3"/>
      <c r="BE26" s="3"/>
      <c r="BF26" s="3"/>
      <c r="BG26" s="3"/>
    </row>
    <row r="27" spans="1:59" ht="15">
      <c r="A27" s="14" t="s">
        <v>227</v>
      </c>
      <c r="B27" s="15"/>
      <c r="C27" s="15"/>
      <c r="D27" s="87">
        <v>82.01234638991521</v>
      </c>
      <c r="E27" s="81"/>
      <c r="F27" s="109" t="str">
        <f>HYPERLINK("https://i.ytimg.com/vi/w_O1oIqVq3g/default.jpg")</f>
        <v>https://i.ytimg.com/vi/w_O1oIqVq3g/default.jpg</v>
      </c>
      <c r="G27" s="15"/>
      <c r="H27" s="16" t="s">
        <v>328</v>
      </c>
      <c r="I27" s="66"/>
      <c r="J27" s="66" t="s">
        <v>159</v>
      </c>
      <c r="K27" s="106" t="s">
        <v>328</v>
      </c>
      <c r="L27" s="88">
        <v>2500.5</v>
      </c>
      <c r="M27" s="89">
        <v>7191.89013671875</v>
      </c>
      <c r="N27" s="89">
        <v>7330.42041015625</v>
      </c>
      <c r="O27" s="77"/>
      <c r="P27" s="90"/>
      <c r="Q27" s="90"/>
      <c r="R27" s="91"/>
      <c r="S27" s="51">
        <v>1</v>
      </c>
      <c r="T27" s="51">
        <v>0</v>
      </c>
      <c r="U27" s="52">
        <v>0</v>
      </c>
      <c r="V27" s="52">
        <v>0.003937</v>
      </c>
      <c r="W27" s="52">
        <v>0.015152</v>
      </c>
      <c r="X27" s="52">
        <v>0.531501</v>
      </c>
      <c r="Y27" s="52">
        <v>0</v>
      </c>
      <c r="Z27" s="52">
        <v>0</v>
      </c>
      <c r="AA27" s="82">
        <v>27</v>
      </c>
      <c r="AB27" s="82"/>
      <c r="AC27" s="92"/>
      <c r="AD27" s="85" t="s">
        <v>328</v>
      </c>
      <c r="AE27" s="85" t="s">
        <v>424</v>
      </c>
      <c r="AF27" s="85" t="s">
        <v>517</v>
      </c>
      <c r="AG27" s="85" t="s">
        <v>603</v>
      </c>
      <c r="AH27" s="85" t="s">
        <v>657</v>
      </c>
      <c r="AI27" s="85">
        <v>57619</v>
      </c>
      <c r="AJ27" s="85">
        <v>0</v>
      </c>
      <c r="AK27" s="85">
        <v>914</v>
      </c>
      <c r="AL27" s="85">
        <v>76</v>
      </c>
      <c r="AM27" s="85" t="s">
        <v>730</v>
      </c>
      <c r="AN27" s="108" t="str">
        <f>HYPERLINK("https://www.youtube.com/watch?v=w_O1oIqVq3g")</f>
        <v>https://www.youtube.com/watch?v=w_O1oIqVq3g</v>
      </c>
      <c r="AO27" s="85" t="str">
        <f>REPLACE(INDEX(GroupVertices[Group],MATCH(Vertices[[#This Row],[Vertex]],GroupVertices[Vertex],0)),1,1,"")</f>
        <v>6</v>
      </c>
      <c r="AP27" s="51">
        <v>1</v>
      </c>
      <c r="AQ27" s="52">
        <v>2.272727272727273</v>
      </c>
      <c r="AR27" s="51">
        <v>0</v>
      </c>
      <c r="AS27" s="52">
        <v>0</v>
      </c>
      <c r="AT27" s="51">
        <v>0</v>
      </c>
      <c r="AU27" s="52">
        <v>0</v>
      </c>
      <c r="AV27" s="51">
        <v>43</v>
      </c>
      <c r="AW27" s="52">
        <v>97.72727272727273</v>
      </c>
      <c r="AX27" s="51">
        <v>44</v>
      </c>
      <c r="AY27" s="51"/>
      <c r="AZ27" s="51"/>
      <c r="BA27" s="51"/>
      <c r="BB27" s="51"/>
      <c r="BC27" s="2"/>
      <c r="BD27" s="3"/>
      <c r="BE27" s="3"/>
      <c r="BF27" s="3"/>
      <c r="BG27" s="3"/>
    </row>
    <row r="28" spans="1:59" ht="15">
      <c r="A28" s="14" t="s">
        <v>228</v>
      </c>
      <c r="B28" s="15"/>
      <c r="C28" s="15"/>
      <c r="D28" s="87">
        <v>88.8726379116014</v>
      </c>
      <c r="E28" s="81"/>
      <c r="F28" s="109" t="str">
        <f>HYPERLINK("https://i.ytimg.com/vi/4vB05rZ6AMk/default.jpg")</f>
        <v>https://i.ytimg.com/vi/4vB05rZ6AMk/default.jpg</v>
      </c>
      <c r="G28" s="15"/>
      <c r="H28" s="16" t="s">
        <v>329</v>
      </c>
      <c r="I28" s="66"/>
      <c r="J28" s="66" t="s">
        <v>159</v>
      </c>
      <c r="K28" s="106" t="s">
        <v>329</v>
      </c>
      <c r="L28" s="88">
        <v>2500.5</v>
      </c>
      <c r="M28" s="89">
        <v>7074.6767578125</v>
      </c>
      <c r="N28" s="89">
        <v>9285.353515625</v>
      </c>
      <c r="O28" s="77"/>
      <c r="P28" s="90"/>
      <c r="Q28" s="90"/>
      <c r="R28" s="91"/>
      <c r="S28" s="51">
        <v>1</v>
      </c>
      <c r="T28" s="51">
        <v>0</v>
      </c>
      <c r="U28" s="52">
        <v>0</v>
      </c>
      <c r="V28" s="52">
        <v>0.003937</v>
      </c>
      <c r="W28" s="52">
        <v>0.015152</v>
      </c>
      <c r="X28" s="52">
        <v>0.531501</v>
      </c>
      <c r="Y28" s="52">
        <v>0</v>
      </c>
      <c r="Z28" s="52">
        <v>0</v>
      </c>
      <c r="AA28" s="82">
        <v>28</v>
      </c>
      <c r="AB28" s="82"/>
      <c r="AC28" s="92"/>
      <c r="AD28" s="85" t="s">
        <v>329</v>
      </c>
      <c r="AE28" s="85" t="s">
        <v>425</v>
      </c>
      <c r="AF28" s="85" t="s">
        <v>518</v>
      </c>
      <c r="AG28" s="85" t="s">
        <v>604</v>
      </c>
      <c r="AH28" s="85" t="s">
        <v>658</v>
      </c>
      <c r="AI28" s="85">
        <v>184008</v>
      </c>
      <c r="AJ28" s="85">
        <v>1026</v>
      </c>
      <c r="AK28" s="85">
        <v>6481</v>
      </c>
      <c r="AL28" s="85">
        <v>178</v>
      </c>
      <c r="AM28" s="85" t="s">
        <v>730</v>
      </c>
      <c r="AN28" s="108" t="str">
        <f>HYPERLINK("https://www.youtube.com/watch?v=4vB05rZ6AMk")</f>
        <v>https://www.youtube.com/watch?v=4vB05rZ6AMk</v>
      </c>
      <c r="AO28" s="85" t="str">
        <f>REPLACE(INDEX(GroupVertices[Group],MATCH(Vertices[[#This Row],[Vertex]],GroupVertices[Vertex],0)),1,1,"")</f>
        <v>6</v>
      </c>
      <c r="AP28" s="51">
        <v>0</v>
      </c>
      <c r="AQ28" s="52">
        <v>0</v>
      </c>
      <c r="AR28" s="51">
        <v>0</v>
      </c>
      <c r="AS28" s="52">
        <v>0</v>
      </c>
      <c r="AT28" s="51">
        <v>0</v>
      </c>
      <c r="AU28" s="52">
        <v>0</v>
      </c>
      <c r="AV28" s="51">
        <v>29</v>
      </c>
      <c r="AW28" s="52">
        <v>100</v>
      </c>
      <c r="AX28" s="51">
        <v>29</v>
      </c>
      <c r="AY28" s="51"/>
      <c r="AZ28" s="51"/>
      <c r="BA28" s="51"/>
      <c r="BB28" s="51"/>
      <c r="BC28" s="2"/>
      <c r="BD28" s="3"/>
      <c r="BE28" s="3"/>
      <c r="BF28" s="3"/>
      <c r="BG28" s="3"/>
    </row>
    <row r="29" spans="1:59" ht="15">
      <c r="A29" s="14" t="s">
        <v>229</v>
      </c>
      <c r="B29" s="15"/>
      <c r="C29" s="15"/>
      <c r="D29" s="87">
        <v>81.44947127356896</v>
      </c>
      <c r="E29" s="81"/>
      <c r="F29" s="109" t="str">
        <f>HYPERLINK("https://i.ytimg.com/vi/saaP94xOJWM/default.jpg")</f>
        <v>https://i.ytimg.com/vi/saaP94xOJWM/default.jpg</v>
      </c>
      <c r="G29" s="15"/>
      <c r="H29" s="16" t="s">
        <v>330</v>
      </c>
      <c r="I29" s="66"/>
      <c r="J29" s="66" t="s">
        <v>159</v>
      </c>
      <c r="K29" s="106" t="s">
        <v>330</v>
      </c>
      <c r="L29" s="88">
        <v>2500.5</v>
      </c>
      <c r="M29" s="89">
        <v>9857.5595703125</v>
      </c>
      <c r="N29" s="89">
        <v>7934.919921875</v>
      </c>
      <c r="O29" s="77"/>
      <c r="P29" s="90"/>
      <c r="Q29" s="90"/>
      <c r="R29" s="91"/>
      <c r="S29" s="51">
        <v>1</v>
      </c>
      <c r="T29" s="51">
        <v>0</v>
      </c>
      <c r="U29" s="52">
        <v>0</v>
      </c>
      <c r="V29" s="52">
        <v>0.003937</v>
      </c>
      <c r="W29" s="52">
        <v>0.015152</v>
      </c>
      <c r="X29" s="52">
        <v>0.531501</v>
      </c>
      <c r="Y29" s="52">
        <v>0</v>
      </c>
      <c r="Z29" s="52">
        <v>0</v>
      </c>
      <c r="AA29" s="82">
        <v>29</v>
      </c>
      <c r="AB29" s="82"/>
      <c r="AC29" s="92"/>
      <c r="AD29" s="85" t="s">
        <v>330</v>
      </c>
      <c r="AE29" s="85" t="s">
        <v>426</v>
      </c>
      <c r="AF29" s="85" t="s">
        <v>519</v>
      </c>
      <c r="AG29" s="85" t="s">
        <v>597</v>
      </c>
      <c r="AH29" s="85" t="s">
        <v>659</v>
      </c>
      <c r="AI29" s="85">
        <v>47249</v>
      </c>
      <c r="AJ29" s="85">
        <v>147</v>
      </c>
      <c r="AK29" s="85">
        <v>1009</v>
      </c>
      <c r="AL29" s="85">
        <v>33</v>
      </c>
      <c r="AM29" s="85" t="s">
        <v>730</v>
      </c>
      <c r="AN29" s="108" t="str">
        <f>HYPERLINK("https://www.youtube.com/watch?v=saaP94xOJWM")</f>
        <v>https://www.youtube.com/watch?v=saaP94xOJWM</v>
      </c>
      <c r="AO29" s="85" t="str">
        <f>REPLACE(INDEX(GroupVertices[Group],MATCH(Vertices[[#This Row],[Vertex]],GroupVertices[Vertex],0)),1,1,"")</f>
        <v>6</v>
      </c>
      <c r="AP29" s="51">
        <v>0</v>
      </c>
      <c r="AQ29" s="52">
        <v>0</v>
      </c>
      <c r="AR29" s="51">
        <v>0</v>
      </c>
      <c r="AS29" s="52">
        <v>0</v>
      </c>
      <c r="AT29" s="51">
        <v>0</v>
      </c>
      <c r="AU29" s="52">
        <v>0</v>
      </c>
      <c r="AV29" s="51">
        <v>17</v>
      </c>
      <c r="AW29" s="52">
        <v>100</v>
      </c>
      <c r="AX29" s="51">
        <v>17</v>
      </c>
      <c r="AY29" s="51"/>
      <c r="AZ29" s="51"/>
      <c r="BA29" s="51"/>
      <c r="BB29" s="51"/>
      <c r="BC29" s="2"/>
      <c r="BD29" s="3"/>
      <c r="BE29" s="3"/>
      <c r="BF29" s="3"/>
      <c r="BG29" s="3"/>
    </row>
    <row r="30" spans="1:59" ht="15">
      <c r="A30" s="14" t="s">
        <v>230</v>
      </c>
      <c r="B30" s="15"/>
      <c r="C30" s="15"/>
      <c r="D30" s="87">
        <v>81.44420619292426</v>
      </c>
      <c r="E30" s="81"/>
      <c r="F30" s="109" t="str">
        <f>HYPERLINK("https://i.ytimg.com/vi/2tqckO7bBjk/default.jpg")</f>
        <v>https://i.ytimg.com/vi/2tqckO7bBjk/default.jpg</v>
      </c>
      <c r="G30" s="15"/>
      <c r="H30" s="16" t="s">
        <v>331</v>
      </c>
      <c r="I30" s="66"/>
      <c r="J30" s="66" t="s">
        <v>159</v>
      </c>
      <c r="K30" s="106" t="s">
        <v>331</v>
      </c>
      <c r="L30" s="88">
        <v>2500.5</v>
      </c>
      <c r="M30" s="89">
        <v>9832.3583984375</v>
      </c>
      <c r="N30" s="89">
        <v>8974.3095703125</v>
      </c>
      <c r="O30" s="77"/>
      <c r="P30" s="90"/>
      <c r="Q30" s="90"/>
      <c r="R30" s="91"/>
      <c r="S30" s="51">
        <v>1</v>
      </c>
      <c r="T30" s="51">
        <v>0</v>
      </c>
      <c r="U30" s="52">
        <v>0</v>
      </c>
      <c r="V30" s="52">
        <v>0.003937</v>
      </c>
      <c r="W30" s="52">
        <v>0.015152</v>
      </c>
      <c r="X30" s="52">
        <v>0.531501</v>
      </c>
      <c r="Y30" s="52">
        <v>0</v>
      </c>
      <c r="Z30" s="52">
        <v>0</v>
      </c>
      <c r="AA30" s="82">
        <v>30</v>
      </c>
      <c r="AB30" s="82"/>
      <c r="AC30" s="92"/>
      <c r="AD30" s="85" t="s">
        <v>331</v>
      </c>
      <c r="AE30" s="85" t="s">
        <v>427</v>
      </c>
      <c r="AF30" s="85" t="s">
        <v>520</v>
      </c>
      <c r="AG30" s="85" t="s">
        <v>602</v>
      </c>
      <c r="AH30" s="85" t="s">
        <v>660</v>
      </c>
      <c r="AI30" s="85">
        <v>47152</v>
      </c>
      <c r="AJ30" s="85">
        <v>302</v>
      </c>
      <c r="AK30" s="85">
        <v>1210</v>
      </c>
      <c r="AL30" s="85">
        <v>26</v>
      </c>
      <c r="AM30" s="85" t="s">
        <v>730</v>
      </c>
      <c r="AN30" s="108" t="str">
        <f>HYPERLINK("https://www.youtube.com/watch?v=2tqckO7bBjk")</f>
        <v>https://www.youtube.com/watch?v=2tqckO7bBjk</v>
      </c>
      <c r="AO30" s="85" t="str">
        <f>REPLACE(INDEX(GroupVertices[Group],MATCH(Vertices[[#This Row],[Vertex]],GroupVertices[Vertex],0)),1,1,"")</f>
        <v>6</v>
      </c>
      <c r="AP30" s="51">
        <v>0</v>
      </c>
      <c r="AQ30" s="52">
        <v>0</v>
      </c>
      <c r="AR30" s="51">
        <v>0</v>
      </c>
      <c r="AS30" s="52">
        <v>0</v>
      </c>
      <c r="AT30" s="51">
        <v>0</v>
      </c>
      <c r="AU30" s="52">
        <v>0</v>
      </c>
      <c r="AV30" s="51">
        <v>14</v>
      </c>
      <c r="AW30" s="52">
        <v>100</v>
      </c>
      <c r="AX30" s="51">
        <v>14</v>
      </c>
      <c r="AY30" s="51"/>
      <c r="AZ30" s="51"/>
      <c r="BA30" s="51"/>
      <c r="BB30" s="51"/>
      <c r="BC30" s="2"/>
      <c r="BD30" s="3"/>
      <c r="BE30" s="3"/>
      <c r="BF30" s="3"/>
      <c r="BG30" s="3"/>
    </row>
    <row r="31" spans="1:59" ht="15">
      <c r="A31" s="14" t="s">
        <v>231</v>
      </c>
      <c r="B31" s="15"/>
      <c r="C31" s="15"/>
      <c r="D31" s="87">
        <v>80.14693374541459</v>
      </c>
      <c r="E31" s="81"/>
      <c r="F31" s="109" t="str">
        <f>HYPERLINK("https://i.ytimg.com/vi/G-xPt-1vBZE/default.jpg")</f>
        <v>https://i.ytimg.com/vi/G-xPt-1vBZE/default.jpg</v>
      </c>
      <c r="G31" s="15"/>
      <c r="H31" s="16" t="s">
        <v>332</v>
      </c>
      <c r="I31" s="66"/>
      <c r="J31" s="66" t="s">
        <v>159</v>
      </c>
      <c r="K31" s="106" t="s">
        <v>332</v>
      </c>
      <c r="L31" s="88">
        <v>2500.5</v>
      </c>
      <c r="M31" s="89">
        <v>9080.94921875</v>
      </c>
      <c r="N31" s="89">
        <v>9732.6025390625</v>
      </c>
      <c r="O31" s="77"/>
      <c r="P31" s="90"/>
      <c r="Q31" s="90"/>
      <c r="R31" s="91"/>
      <c r="S31" s="51">
        <v>1</v>
      </c>
      <c r="T31" s="51">
        <v>0</v>
      </c>
      <c r="U31" s="52">
        <v>0</v>
      </c>
      <c r="V31" s="52">
        <v>0.003937</v>
      </c>
      <c r="W31" s="52">
        <v>0.015152</v>
      </c>
      <c r="X31" s="52">
        <v>0.531501</v>
      </c>
      <c r="Y31" s="52">
        <v>0</v>
      </c>
      <c r="Z31" s="52">
        <v>0</v>
      </c>
      <c r="AA31" s="82">
        <v>31</v>
      </c>
      <c r="AB31" s="82"/>
      <c r="AC31" s="92"/>
      <c r="AD31" s="85" t="s">
        <v>332</v>
      </c>
      <c r="AE31" s="85" t="s">
        <v>428</v>
      </c>
      <c r="AF31" s="85" t="s">
        <v>521</v>
      </c>
      <c r="AG31" s="85" t="s">
        <v>605</v>
      </c>
      <c r="AH31" s="85" t="s">
        <v>661</v>
      </c>
      <c r="AI31" s="85">
        <v>23252</v>
      </c>
      <c r="AJ31" s="85">
        <v>109</v>
      </c>
      <c r="AK31" s="85">
        <v>418</v>
      </c>
      <c r="AL31" s="85">
        <v>14</v>
      </c>
      <c r="AM31" s="85" t="s">
        <v>730</v>
      </c>
      <c r="AN31" s="108" t="str">
        <f>HYPERLINK("https://www.youtube.com/watch?v=G-xPt-1vBZE")</f>
        <v>https://www.youtube.com/watch?v=G-xPt-1vBZE</v>
      </c>
      <c r="AO31" s="85" t="str">
        <f>REPLACE(INDEX(GroupVertices[Group],MATCH(Vertices[[#This Row],[Vertex]],GroupVertices[Vertex],0)),1,1,"")</f>
        <v>6</v>
      </c>
      <c r="AP31" s="51">
        <v>0</v>
      </c>
      <c r="AQ31" s="52">
        <v>0</v>
      </c>
      <c r="AR31" s="51">
        <v>1</v>
      </c>
      <c r="AS31" s="52">
        <v>7.142857142857143</v>
      </c>
      <c r="AT31" s="51">
        <v>0</v>
      </c>
      <c r="AU31" s="52">
        <v>0</v>
      </c>
      <c r="AV31" s="51">
        <v>13</v>
      </c>
      <c r="AW31" s="52">
        <v>92.85714285714286</v>
      </c>
      <c r="AX31" s="51">
        <v>14</v>
      </c>
      <c r="AY31" s="51"/>
      <c r="AZ31" s="51"/>
      <c r="BA31" s="51"/>
      <c r="BB31" s="51"/>
      <c r="BC31" s="2"/>
      <c r="BD31" s="3"/>
      <c r="BE31" s="3"/>
      <c r="BF31" s="3"/>
      <c r="BG31" s="3"/>
    </row>
    <row r="32" spans="1:59" ht="15">
      <c r="A32" s="14" t="s">
        <v>232</v>
      </c>
      <c r="B32" s="15"/>
      <c r="C32" s="15"/>
      <c r="D32" s="87">
        <v>84.68879857042795</v>
      </c>
      <c r="E32" s="81"/>
      <c r="F32" s="109" t="str">
        <f>HYPERLINK("https://i.ytimg.com/vi/bY4U35dEYcc/default.jpg")</f>
        <v>https://i.ytimg.com/vi/bY4U35dEYcc/default.jpg</v>
      </c>
      <c r="G32" s="15"/>
      <c r="H32" s="16" t="s">
        <v>333</v>
      </c>
      <c r="I32" s="66"/>
      <c r="J32" s="66" t="s">
        <v>75</v>
      </c>
      <c r="K32" s="106" t="s">
        <v>333</v>
      </c>
      <c r="L32" s="88">
        <v>5000</v>
      </c>
      <c r="M32" s="89">
        <v>7402.6376953125</v>
      </c>
      <c r="N32" s="89">
        <v>2297.4580078125</v>
      </c>
      <c r="O32" s="77"/>
      <c r="P32" s="90"/>
      <c r="Q32" s="90"/>
      <c r="R32" s="91"/>
      <c r="S32" s="51">
        <v>2</v>
      </c>
      <c r="T32" s="51">
        <v>0</v>
      </c>
      <c r="U32" s="52">
        <v>69</v>
      </c>
      <c r="V32" s="52">
        <v>0.004202</v>
      </c>
      <c r="W32" s="52">
        <v>0.031358</v>
      </c>
      <c r="X32" s="52">
        <v>0.897399</v>
      </c>
      <c r="Y32" s="52">
        <v>0</v>
      </c>
      <c r="Z32" s="52">
        <v>0</v>
      </c>
      <c r="AA32" s="82">
        <v>32</v>
      </c>
      <c r="AB32" s="82"/>
      <c r="AC32" s="92"/>
      <c r="AD32" s="85" t="s">
        <v>333</v>
      </c>
      <c r="AE32" s="85" t="s">
        <v>429</v>
      </c>
      <c r="AF32" s="85" t="s">
        <v>522</v>
      </c>
      <c r="AG32" s="85" t="s">
        <v>597</v>
      </c>
      <c r="AH32" s="85" t="s">
        <v>662</v>
      </c>
      <c r="AI32" s="85">
        <v>106928</v>
      </c>
      <c r="AJ32" s="85">
        <v>400</v>
      </c>
      <c r="AK32" s="85">
        <v>2223</v>
      </c>
      <c r="AL32" s="85">
        <v>74</v>
      </c>
      <c r="AM32" s="85" t="s">
        <v>730</v>
      </c>
      <c r="AN32" s="108" t="str">
        <f>HYPERLINK("https://www.youtube.com/watch?v=bY4U35dEYcc")</f>
        <v>https://www.youtube.com/watch?v=bY4U35dEYcc</v>
      </c>
      <c r="AO32" s="85" t="str">
        <f>REPLACE(INDEX(GroupVertices[Group],MATCH(Vertices[[#This Row],[Vertex]],GroupVertices[Vertex],0)),1,1,"")</f>
        <v>7</v>
      </c>
      <c r="AP32" s="51">
        <v>0</v>
      </c>
      <c r="AQ32" s="52">
        <v>0</v>
      </c>
      <c r="AR32" s="51">
        <v>0</v>
      </c>
      <c r="AS32" s="52">
        <v>0</v>
      </c>
      <c r="AT32" s="51">
        <v>0</v>
      </c>
      <c r="AU32" s="52">
        <v>0</v>
      </c>
      <c r="AV32" s="51">
        <v>12</v>
      </c>
      <c r="AW32" s="52">
        <v>100</v>
      </c>
      <c r="AX32" s="51">
        <v>12</v>
      </c>
      <c r="AY32" s="51"/>
      <c r="AZ32" s="51"/>
      <c r="BA32" s="51"/>
      <c r="BB32" s="51"/>
      <c r="BC32" s="2"/>
      <c r="BD32" s="3"/>
      <c r="BE32" s="3"/>
      <c r="BF32" s="3"/>
      <c r="BG32" s="3"/>
    </row>
    <row r="33" spans="1:59" ht="15">
      <c r="A33" s="14" t="s">
        <v>200</v>
      </c>
      <c r="B33" s="15"/>
      <c r="C33" s="15"/>
      <c r="D33" s="87">
        <v>137.46786672431273</v>
      </c>
      <c r="E33" s="81"/>
      <c r="F33" s="109" t="str">
        <f>HYPERLINK("https://i.ytimg.com/vi/1efOs0BsE0g/default.jpg")</f>
        <v>https://i.ytimg.com/vi/1efOs0BsE0g/default.jpg</v>
      </c>
      <c r="G33" s="15"/>
      <c r="H33" s="16" t="s">
        <v>334</v>
      </c>
      <c r="I33" s="66"/>
      <c r="J33" s="66" t="s">
        <v>159</v>
      </c>
      <c r="K33" s="106" t="s">
        <v>334</v>
      </c>
      <c r="L33" s="88">
        <v>1</v>
      </c>
      <c r="M33" s="89">
        <v>4686.95263671875</v>
      </c>
      <c r="N33" s="89">
        <v>5121.81396484375</v>
      </c>
      <c r="O33" s="77"/>
      <c r="P33" s="90"/>
      <c r="Q33" s="90"/>
      <c r="R33" s="91"/>
      <c r="S33" s="51">
        <v>0</v>
      </c>
      <c r="T33" s="51">
        <v>10</v>
      </c>
      <c r="U33" s="52">
        <v>1600</v>
      </c>
      <c r="V33" s="52">
        <v>0.005747</v>
      </c>
      <c r="W33" s="52">
        <v>0.014182</v>
      </c>
      <c r="X33" s="52">
        <v>4.573569</v>
      </c>
      <c r="Y33" s="52">
        <v>0</v>
      </c>
      <c r="Z33" s="52">
        <v>0</v>
      </c>
      <c r="AA33" s="82">
        <v>33</v>
      </c>
      <c r="AB33" s="82"/>
      <c r="AC33" s="92"/>
      <c r="AD33" s="85" t="s">
        <v>334</v>
      </c>
      <c r="AE33" s="85" t="s">
        <v>430</v>
      </c>
      <c r="AF33" s="85" t="s">
        <v>523</v>
      </c>
      <c r="AG33" s="85" t="s">
        <v>606</v>
      </c>
      <c r="AH33" s="85" t="s">
        <v>663</v>
      </c>
      <c r="AI33" s="85">
        <v>1079291</v>
      </c>
      <c r="AJ33" s="85">
        <v>6991</v>
      </c>
      <c r="AK33" s="85">
        <v>76292</v>
      </c>
      <c r="AL33" s="85">
        <v>2083</v>
      </c>
      <c r="AM33" s="85" t="s">
        <v>730</v>
      </c>
      <c r="AN33" s="108" t="str">
        <f>HYPERLINK("https://www.youtube.com/watch?v=1efOs0BsE0g")</f>
        <v>https://www.youtube.com/watch?v=1efOs0BsE0g</v>
      </c>
      <c r="AO33" s="85" t="str">
        <f>REPLACE(INDEX(GroupVertices[Group],MATCH(Vertices[[#This Row],[Vertex]],GroupVertices[Vertex],0)),1,1,"")</f>
        <v>5</v>
      </c>
      <c r="AP33" s="51">
        <v>1</v>
      </c>
      <c r="AQ33" s="52">
        <v>20</v>
      </c>
      <c r="AR33" s="51">
        <v>0</v>
      </c>
      <c r="AS33" s="52">
        <v>0</v>
      </c>
      <c r="AT33" s="51">
        <v>0</v>
      </c>
      <c r="AU33" s="52">
        <v>0</v>
      </c>
      <c r="AV33" s="51">
        <v>4</v>
      </c>
      <c r="AW33" s="52">
        <v>80</v>
      </c>
      <c r="AX33" s="51">
        <v>5</v>
      </c>
      <c r="AY33" s="130" t="s">
        <v>1354</v>
      </c>
      <c r="AZ33" s="130" t="s">
        <v>1354</v>
      </c>
      <c r="BA33" s="130" t="s">
        <v>1354</v>
      </c>
      <c r="BB33" s="130" t="s">
        <v>1354</v>
      </c>
      <c r="BC33" s="2"/>
      <c r="BD33" s="3"/>
      <c r="BE33" s="3"/>
      <c r="BF33" s="3"/>
      <c r="BG33" s="3"/>
    </row>
    <row r="34" spans="1:59" ht="15">
      <c r="A34" s="14" t="s">
        <v>233</v>
      </c>
      <c r="B34" s="15"/>
      <c r="C34" s="15"/>
      <c r="D34" s="87">
        <v>104.07151447413385</v>
      </c>
      <c r="E34" s="81"/>
      <c r="F34" s="109" t="str">
        <f>HYPERLINK("https://i.ytimg.com/vi/7CMUtKWubxg/default.jpg")</f>
        <v>https://i.ytimg.com/vi/7CMUtKWubxg/default.jpg</v>
      </c>
      <c r="G34" s="15"/>
      <c r="H34" s="16" t="s">
        <v>335</v>
      </c>
      <c r="I34" s="66"/>
      <c r="J34" s="66" t="s">
        <v>159</v>
      </c>
      <c r="K34" s="106" t="s">
        <v>335</v>
      </c>
      <c r="L34" s="88">
        <v>2500.5</v>
      </c>
      <c r="M34" s="89">
        <v>4500.1630859375</v>
      </c>
      <c r="N34" s="89">
        <v>3496.760009765625</v>
      </c>
      <c r="O34" s="77"/>
      <c r="P34" s="90"/>
      <c r="Q34" s="90"/>
      <c r="R34" s="91"/>
      <c r="S34" s="51">
        <v>1</v>
      </c>
      <c r="T34" s="51">
        <v>0</v>
      </c>
      <c r="U34" s="52">
        <v>0</v>
      </c>
      <c r="V34" s="52">
        <v>0.004386</v>
      </c>
      <c r="W34" s="52">
        <v>0.009194</v>
      </c>
      <c r="X34" s="52">
        <v>0.538753</v>
      </c>
      <c r="Y34" s="52">
        <v>0</v>
      </c>
      <c r="Z34" s="52">
        <v>0</v>
      </c>
      <c r="AA34" s="82">
        <v>34</v>
      </c>
      <c r="AB34" s="82"/>
      <c r="AC34" s="92"/>
      <c r="AD34" s="85" t="s">
        <v>335</v>
      </c>
      <c r="AE34" s="85" t="s">
        <v>431</v>
      </c>
      <c r="AF34" s="85" t="s">
        <v>524</v>
      </c>
      <c r="AG34" s="85" t="s">
        <v>606</v>
      </c>
      <c r="AH34" s="85" t="s">
        <v>664</v>
      </c>
      <c r="AI34" s="85">
        <v>464021</v>
      </c>
      <c r="AJ34" s="85">
        <v>3177</v>
      </c>
      <c r="AK34" s="85">
        <v>37837</v>
      </c>
      <c r="AL34" s="85">
        <v>680</v>
      </c>
      <c r="AM34" s="85" t="s">
        <v>730</v>
      </c>
      <c r="AN34" s="108" t="str">
        <f>HYPERLINK("https://www.youtube.com/watch?v=7CMUtKWubxg")</f>
        <v>https://www.youtube.com/watch?v=7CMUtKWubxg</v>
      </c>
      <c r="AO34" s="85" t="str">
        <f>REPLACE(INDEX(GroupVertices[Group],MATCH(Vertices[[#This Row],[Vertex]],GroupVertices[Vertex],0)),1,1,"")</f>
        <v>5</v>
      </c>
      <c r="AP34" s="51">
        <v>1</v>
      </c>
      <c r="AQ34" s="52">
        <v>9.090909090909092</v>
      </c>
      <c r="AR34" s="51">
        <v>1</v>
      </c>
      <c r="AS34" s="52">
        <v>9.090909090909092</v>
      </c>
      <c r="AT34" s="51">
        <v>0</v>
      </c>
      <c r="AU34" s="52">
        <v>0</v>
      </c>
      <c r="AV34" s="51">
        <v>9</v>
      </c>
      <c r="AW34" s="52">
        <v>81.81818181818181</v>
      </c>
      <c r="AX34" s="51">
        <v>11</v>
      </c>
      <c r="AY34" s="51"/>
      <c r="AZ34" s="51"/>
      <c r="BA34" s="51"/>
      <c r="BB34" s="51"/>
      <c r="BC34" s="2"/>
      <c r="BD34" s="3"/>
      <c r="BE34" s="3"/>
      <c r="BF34" s="3"/>
      <c r="BG34" s="3"/>
    </row>
    <row r="35" spans="1:59" ht="15">
      <c r="A35" s="14" t="s">
        <v>234</v>
      </c>
      <c r="B35" s="15"/>
      <c r="C35" s="15"/>
      <c r="D35" s="87">
        <v>120.39728113217878</v>
      </c>
      <c r="E35" s="81"/>
      <c r="F35" s="109" t="str">
        <f>HYPERLINK("https://i.ytimg.com/vi/6BmbvTvFQ3g/default.jpg")</f>
        <v>https://i.ytimg.com/vi/6BmbvTvFQ3g/default.jpg</v>
      </c>
      <c r="G35" s="15"/>
      <c r="H35" s="16" t="s">
        <v>336</v>
      </c>
      <c r="I35" s="66"/>
      <c r="J35" s="66" t="s">
        <v>159</v>
      </c>
      <c r="K35" s="106" t="s">
        <v>336</v>
      </c>
      <c r="L35" s="88">
        <v>2500.5</v>
      </c>
      <c r="M35" s="89">
        <v>6063.7314453125</v>
      </c>
      <c r="N35" s="89">
        <v>5756.9150390625</v>
      </c>
      <c r="O35" s="77"/>
      <c r="P35" s="90"/>
      <c r="Q35" s="90"/>
      <c r="R35" s="91"/>
      <c r="S35" s="51">
        <v>1</v>
      </c>
      <c r="T35" s="51">
        <v>0</v>
      </c>
      <c r="U35" s="52">
        <v>0</v>
      </c>
      <c r="V35" s="52">
        <v>0.004386</v>
      </c>
      <c r="W35" s="52">
        <v>0.009194</v>
      </c>
      <c r="X35" s="52">
        <v>0.538753</v>
      </c>
      <c r="Y35" s="52">
        <v>0</v>
      </c>
      <c r="Z35" s="52">
        <v>0</v>
      </c>
      <c r="AA35" s="82">
        <v>35</v>
      </c>
      <c r="AB35" s="82"/>
      <c r="AC35" s="92"/>
      <c r="AD35" s="85" t="s">
        <v>336</v>
      </c>
      <c r="AE35" s="85" t="s">
        <v>432</v>
      </c>
      <c r="AF35" s="85" t="s">
        <v>525</v>
      </c>
      <c r="AG35" s="85" t="s">
        <v>606</v>
      </c>
      <c r="AH35" s="85" t="s">
        <v>665</v>
      </c>
      <c r="AI35" s="85">
        <v>764795</v>
      </c>
      <c r="AJ35" s="85">
        <v>3308</v>
      </c>
      <c r="AK35" s="85">
        <v>40996</v>
      </c>
      <c r="AL35" s="85">
        <v>1034</v>
      </c>
      <c r="AM35" s="85" t="s">
        <v>730</v>
      </c>
      <c r="AN35" s="108" t="str">
        <f>HYPERLINK("https://www.youtube.com/watch?v=6BmbvTvFQ3g")</f>
        <v>https://www.youtube.com/watch?v=6BmbvTvFQ3g</v>
      </c>
      <c r="AO35" s="85" t="str">
        <f>REPLACE(INDEX(GroupVertices[Group],MATCH(Vertices[[#This Row],[Vertex]],GroupVertices[Vertex],0)),1,1,"")</f>
        <v>5</v>
      </c>
      <c r="AP35" s="51">
        <v>0</v>
      </c>
      <c r="AQ35" s="52">
        <v>0</v>
      </c>
      <c r="AR35" s="51">
        <v>0</v>
      </c>
      <c r="AS35" s="52">
        <v>0</v>
      </c>
      <c r="AT35" s="51">
        <v>0</v>
      </c>
      <c r="AU35" s="52">
        <v>0</v>
      </c>
      <c r="AV35" s="51">
        <v>1</v>
      </c>
      <c r="AW35" s="52">
        <v>100</v>
      </c>
      <c r="AX35" s="51">
        <v>1</v>
      </c>
      <c r="AY35" s="51"/>
      <c r="AZ35" s="51"/>
      <c r="BA35" s="51"/>
      <c r="BB35" s="51"/>
      <c r="BC35" s="2"/>
      <c r="BD35" s="3"/>
      <c r="BE35" s="3"/>
      <c r="BF35" s="3"/>
      <c r="BG35" s="3"/>
    </row>
    <row r="36" spans="1:59" ht="15">
      <c r="A36" s="14" t="s">
        <v>235</v>
      </c>
      <c r="B36" s="15"/>
      <c r="C36" s="15"/>
      <c r="D36" s="87">
        <v>138.04333461086074</v>
      </c>
      <c r="E36" s="81"/>
      <c r="F36" s="109" t="str">
        <f>HYPERLINK("https://i.ytimg.com/vi/MfAiB2ZoRhM/default.jpg")</f>
        <v>https://i.ytimg.com/vi/MfAiB2ZoRhM/default.jpg</v>
      </c>
      <c r="G36" s="15"/>
      <c r="H36" s="16" t="s">
        <v>337</v>
      </c>
      <c r="I36" s="66"/>
      <c r="J36" s="66" t="s">
        <v>159</v>
      </c>
      <c r="K36" s="106" t="s">
        <v>337</v>
      </c>
      <c r="L36" s="88">
        <v>2500.5</v>
      </c>
      <c r="M36" s="89">
        <v>5496.40283203125</v>
      </c>
      <c r="N36" s="89">
        <v>3745.485107421875</v>
      </c>
      <c r="O36" s="77"/>
      <c r="P36" s="90"/>
      <c r="Q36" s="90"/>
      <c r="R36" s="91"/>
      <c r="S36" s="51">
        <v>1</v>
      </c>
      <c r="T36" s="51">
        <v>0</v>
      </c>
      <c r="U36" s="52">
        <v>0</v>
      </c>
      <c r="V36" s="52">
        <v>0.004386</v>
      </c>
      <c r="W36" s="52">
        <v>0.009194</v>
      </c>
      <c r="X36" s="52">
        <v>0.538753</v>
      </c>
      <c r="Y36" s="52">
        <v>0</v>
      </c>
      <c r="Z36" s="52">
        <v>0</v>
      </c>
      <c r="AA36" s="82">
        <v>36</v>
      </c>
      <c r="AB36" s="82"/>
      <c r="AC36" s="92"/>
      <c r="AD36" s="85" t="s">
        <v>337</v>
      </c>
      <c r="AE36" s="85" t="s">
        <v>433</v>
      </c>
      <c r="AF36" s="85" t="s">
        <v>526</v>
      </c>
      <c r="AG36" s="85" t="s">
        <v>606</v>
      </c>
      <c r="AH36" s="85" t="s">
        <v>666</v>
      </c>
      <c r="AI36" s="85">
        <v>1089893</v>
      </c>
      <c r="AJ36" s="85">
        <v>4901</v>
      </c>
      <c r="AK36" s="85">
        <v>51149</v>
      </c>
      <c r="AL36" s="85">
        <v>2779</v>
      </c>
      <c r="AM36" s="85" t="s">
        <v>730</v>
      </c>
      <c r="AN36" s="108" t="str">
        <f>HYPERLINK("https://www.youtube.com/watch?v=MfAiB2ZoRhM")</f>
        <v>https://www.youtube.com/watch?v=MfAiB2ZoRhM</v>
      </c>
      <c r="AO36" s="85" t="str">
        <f>REPLACE(INDEX(GroupVertices[Group],MATCH(Vertices[[#This Row],[Vertex]],GroupVertices[Vertex],0)),1,1,"")</f>
        <v>5</v>
      </c>
      <c r="AP36" s="51">
        <v>0</v>
      </c>
      <c r="AQ36" s="52">
        <v>0</v>
      </c>
      <c r="AR36" s="51">
        <v>0</v>
      </c>
      <c r="AS36" s="52">
        <v>0</v>
      </c>
      <c r="AT36" s="51">
        <v>0</v>
      </c>
      <c r="AU36" s="52">
        <v>0</v>
      </c>
      <c r="AV36" s="51">
        <v>4</v>
      </c>
      <c r="AW36" s="52">
        <v>100</v>
      </c>
      <c r="AX36" s="51">
        <v>4</v>
      </c>
      <c r="AY36" s="51"/>
      <c r="AZ36" s="51"/>
      <c r="BA36" s="51"/>
      <c r="BB36" s="51"/>
      <c r="BC36" s="2"/>
      <c r="BD36" s="3"/>
      <c r="BE36" s="3"/>
      <c r="BF36" s="3"/>
      <c r="BG36" s="3"/>
    </row>
    <row r="37" spans="1:59" ht="15">
      <c r="A37" s="14" t="s">
        <v>236</v>
      </c>
      <c r="B37" s="15"/>
      <c r="C37" s="15"/>
      <c r="D37" s="87">
        <v>113.81131659583627</v>
      </c>
      <c r="E37" s="81"/>
      <c r="F37" s="109" t="str">
        <f>HYPERLINK("https://i.ytimg.com/vi/OJrXI3rBbSA/default.jpg")</f>
        <v>https://i.ytimg.com/vi/OJrXI3rBbSA/default.jpg</v>
      </c>
      <c r="G37" s="15"/>
      <c r="H37" s="16" t="s">
        <v>338</v>
      </c>
      <c r="I37" s="66"/>
      <c r="J37" s="66" t="s">
        <v>159</v>
      </c>
      <c r="K37" s="106" t="s">
        <v>338</v>
      </c>
      <c r="L37" s="88">
        <v>2500.5</v>
      </c>
      <c r="M37" s="89">
        <v>3591.357177734375</v>
      </c>
      <c r="N37" s="89">
        <v>4008.8017578125</v>
      </c>
      <c r="O37" s="77"/>
      <c r="P37" s="90"/>
      <c r="Q37" s="90"/>
      <c r="R37" s="91"/>
      <c r="S37" s="51">
        <v>1</v>
      </c>
      <c r="T37" s="51">
        <v>0</v>
      </c>
      <c r="U37" s="52">
        <v>0</v>
      </c>
      <c r="V37" s="52">
        <v>0.004386</v>
      </c>
      <c r="W37" s="52">
        <v>0.009194</v>
      </c>
      <c r="X37" s="52">
        <v>0.538753</v>
      </c>
      <c r="Y37" s="52">
        <v>0</v>
      </c>
      <c r="Z37" s="52">
        <v>0</v>
      </c>
      <c r="AA37" s="82">
        <v>37</v>
      </c>
      <c r="AB37" s="82"/>
      <c r="AC37" s="92"/>
      <c r="AD37" s="85" t="s">
        <v>338</v>
      </c>
      <c r="AE37" s="85" t="s">
        <v>434</v>
      </c>
      <c r="AF37" s="85" t="s">
        <v>527</v>
      </c>
      <c r="AG37" s="85" t="s">
        <v>606</v>
      </c>
      <c r="AH37" s="85" t="s">
        <v>667</v>
      </c>
      <c r="AI37" s="85">
        <v>643460</v>
      </c>
      <c r="AJ37" s="85">
        <v>4012</v>
      </c>
      <c r="AK37" s="85">
        <v>37458</v>
      </c>
      <c r="AL37" s="85">
        <v>1593</v>
      </c>
      <c r="AM37" s="85" t="s">
        <v>730</v>
      </c>
      <c r="AN37" s="108" t="str">
        <f>HYPERLINK("https://www.youtube.com/watch?v=OJrXI3rBbSA")</f>
        <v>https://www.youtube.com/watch?v=OJrXI3rBbSA</v>
      </c>
      <c r="AO37" s="85" t="str">
        <f>REPLACE(INDEX(GroupVertices[Group],MATCH(Vertices[[#This Row],[Vertex]],GroupVertices[Vertex],0)),1,1,"")</f>
        <v>5</v>
      </c>
      <c r="AP37" s="51">
        <v>1</v>
      </c>
      <c r="AQ37" s="52">
        <v>20</v>
      </c>
      <c r="AR37" s="51">
        <v>0</v>
      </c>
      <c r="AS37" s="52">
        <v>0</v>
      </c>
      <c r="AT37" s="51">
        <v>0</v>
      </c>
      <c r="AU37" s="52">
        <v>0</v>
      </c>
      <c r="AV37" s="51">
        <v>4</v>
      </c>
      <c r="AW37" s="52">
        <v>80</v>
      </c>
      <c r="AX37" s="51">
        <v>5</v>
      </c>
      <c r="AY37" s="51"/>
      <c r="AZ37" s="51"/>
      <c r="BA37" s="51"/>
      <c r="BB37" s="51"/>
      <c r="BC37" s="2"/>
      <c r="BD37" s="3"/>
      <c r="BE37" s="3"/>
      <c r="BF37" s="3"/>
      <c r="BG37" s="3"/>
    </row>
    <row r="38" spans="1:59" ht="15">
      <c r="A38" s="14" t="s">
        <v>237</v>
      </c>
      <c r="B38" s="15"/>
      <c r="C38" s="15"/>
      <c r="D38" s="87">
        <v>119.869253250615</v>
      </c>
      <c r="E38" s="81"/>
      <c r="F38" s="109" t="str">
        <f>HYPERLINK("https://i.ytimg.com/vi/aWl7kQZHZE0/default.jpg")</f>
        <v>https://i.ytimg.com/vi/aWl7kQZHZE0/default.jpg</v>
      </c>
      <c r="G38" s="15"/>
      <c r="H38" s="16" t="s">
        <v>339</v>
      </c>
      <c r="I38" s="66"/>
      <c r="J38" s="66" t="s">
        <v>159</v>
      </c>
      <c r="K38" s="106" t="s">
        <v>339</v>
      </c>
      <c r="L38" s="88">
        <v>2500.5</v>
      </c>
      <c r="M38" s="89">
        <v>3496.999755859375</v>
      </c>
      <c r="N38" s="89">
        <v>6111.64013671875</v>
      </c>
      <c r="O38" s="77"/>
      <c r="P38" s="90"/>
      <c r="Q38" s="90"/>
      <c r="R38" s="91"/>
      <c r="S38" s="51">
        <v>1</v>
      </c>
      <c r="T38" s="51">
        <v>0</v>
      </c>
      <c r="U38" s="52">
        <v>0</v>
      </c>
      <c r="V38" s="52">
        <v>0.004386</v>
      </c>
      <c r="W38" s="52">
        <v>0.009194</v>
      </c>
      <c r="X38" s="52">
        <v>0.538753</v>
      </c>
      <c r="Y38" s="52">
        <v>0</v>
      </c>
      <c r="Z38" s="52">
        <v>0</v>
      </c>
      <c r="AA38" s="82">
        <v>38</v>
      </c>
      <c r="AB38" s="82"/>
      <c r="AC38" s="92"/>
      <c r="AD38" s="85" t="s">
        <v>339</v>
      </c>
      <c r="AE38" s="85" t="s">
        <v>435</v>
      </c>
      <c r="AF38" s="85" t="s">
        <v>525</v>
      </c>
      <c r="AG38" s="85" t="s">
        <v>606</v>
      </c>
      <c r="AH38" s="85" t="s">
        <v>668</v>
      </c>
      <c r="AI38" s="85">
        <v>755067</v>
      </c>
      <c r="AJ38" s="85">
        <v>3898</v>
      </c>
      <c r="AK38" s="85">
        <v>40285</v>
      </c>
      <c r="AL38" s="85">
        <v>1315</v>
      </c>
      <c r="AM38" s="85" t="s">
        <v>730</v>
      </c>
      <c r="AN38" s="108" t="str">
        <f>HYPERLINK("https://www.youtube.com/watch?v=aWl7kQZHZE0")</f>
        <v>https://www.youtube.com/watch?v=aWl7kQZHZE0</v>
      </c>
      <c r="AO38" s="85" t="str">
        <f>REPLACE(INDEX(GroupVertices[Group],MATCH(Vertices[[#This Row],[Vertex]],GroupVertices[Vertex],0)),1,1,"")</f>
        <v>5</v>
      </c>
      <c r="AP38" s="51">
        <v>0</v>
      </c>
      <c r="AQ38" s="52">
        <v>0</v>
      </c>
      <c r="AR38" s="51">
        <v>0</v>
      </c>
      <c r="AS38" s="52">
        <v>0</v>
      </c>
      <c r="AT38" s="51">
        <v>0</v>
      </c>
      <c r="AU38" s="52">
        <v>0</v>
      </c>
      <c r="AV38" s="51">
        <v>1</v>
      </c>
      <c r="AW38" s="52">
        <v>100</v>
      </c>
      <c r="AX38" s="51">
        <v>1</v>
      </c>
      <c r="AY38" s="51"/>
      <c r="AZ38" s="51"/>
      <c r="BA38" s="51"/>
      <c r="BB38" s="51"/>
      <c r="BC38" s="2"/>
      <c r="BD38" s="3"/>
      <c r="BE38" s="3"/>
      <c r="BF38" s="3"/>
      <c r="BG38" s="3"/>
    </row>
    <row r="39" spans="1:59" ht="15">
      <c r="A39" s="14" t="s">
        <v>238</v>
      </c>
      <c r="B39" s="15"/>
      <c r="C39" s="15"/>
      <c r="D39" s="87">
        <v>117.52043021207584</v>
      </c>
      <c r="E39" s="81"/>
      <c r="F39" s="109" t="str">
        <f>HYPERLINK("https://i.ytimg.com/vi/cOmdkN6MOwU/default.jpg")</f>
        <v>https://i.ytimg.com/vi/cOmdkN6MOwU/default.jpg</v>
      </c>
      <c r="G39" s="15"/>
      <c r="H39" s="16" t="s">
        <v>340</v>
      </c>
      <c r="I39" s="66"/>
      <c r="J39" s="66" t="s">
        <v>159</v>
      </c>
      <c r="K39" s="106" t="s">
        <v>340</v>
      </c>
      <c r="L39" s="88">
        <v>2500.5</v>
      </c>
      <c r="M39" s="89">
        <v>6114.0380859375</v>
      </c>
      <c r="N39" s="89">
        <v>4637.919921875</v>
      </c>
      <c r="O39" s="77"/>
      <c r="P39" s="90"/>
      <c r="Q39" s="90"/>
      <c r="R39" s="91"/>
      <c r="S39" s="51">
        <v>1</v>
      </c>
      <c r="T39" s="51">
        <v>0</v>
      </c>
      <c r="U39" s="52">
        <v>0</v>
      </c>
      <c r="V39" s="52">
        <v>0.004386</v>
      </c>
      <c r="W39" s="52">
        <v>0.009194</v>
      </c>
      <c r="X39" s="52">
        <v>0.538753</v>
      </c>
      <c r="Y39" s="52">
        <v>0</v>
      </c>
      <c r="Z39" s="52">
        <v>0</v>
      </c>
      <c r="AA39" s="82">
        <v>39</v>
      </c>
      <c r="AB39" s="82"/>
      <c r="AC39" s="92"/>
      <c r="AD39" s="85" t="s">
        <v>340</v>
      </c>
      <c r="AE39" s="85" t="s">
        <v>436</v>
      </c>
      <c r="AF39" s="85" t="s">
        <v>528</v>
      </c>
      <c r="AG39" s="85" t="s">
        <v>606</v>
      </c>
      <c r="AH39" s="85" t="s">
        <v>669</v>
      </c>
      <c r="AI39" s="85">
        <v>711794</v>
      </c>
      <c r="AJ39" s="85">
        <v>3618</v>
      </c>
      <c r="AK39" s="85">
        <v>34434</v>
      </c>
      <c r="AL39" s="85">
        <v>1418</v>
      </c>
      <c r="AM39" s="85" t="s">
        <v>730</v>
      </c>
      <c r="AN39" s="108" t="str">
        <f>HYPERLINK("https://www.youtube.com/watch?v=cOmdkN6MOwU")</f>
        <v>https://www.youtube.com/watch?v=cOmdkN6MOwU</v>
      </c>
      <c r="AO39" s="85" t="str">
        <f>REPLACE(INDEX(GroupVertices[Group],MATCH(Vertices[[#This Row],[Vertex]],GroupVertices[Vertex],0)),1,1,"")</f>
        <v>5</v>
      </c>
      <c r="AP39" s="51">
        <v>0</v>
      </c>
      <c r="AQ39" s="52">
        <v>0</v>
      </c>
      <c r="AR39" s="51">
        <v>2</v>
      </c>
      <c r="AS39" s="52">
        <v>40</v>
      </c>
      <c r="AT39" s="51">
        <v>0</v>
      </c>
      <c r="AU39" s="52">
        <v>0</v>
      </c>
      <c r="AV39" s="51">
        <v>3</v>
      </c>
      <c r="AW39" s="52">
        <v>60</v>
      </c>
      <c r="AX39" s="51">
        <v>5</v>
      </c>
      <c r="AY39" s="51"/>
      <c r="AZ39" s="51"/>
      <c r="BA39" s="51"/>
      <c r="BB39" s="51"/>
      <c r="BC39" s="2"/>
      <c r="BD39" s="3"/>
      <c r="BE39" s="3"/>
      <c r="BF39" s="3"/>
      <c r="BG39" s="3"/>
    </row>
    <row r="40" spans="1:59" ht="15">
      <c r="A40" s="14" t="s">
        <v>239</v>
      </c>
      <c r="B40" s="15"/>
      <c r="C40" s="15"/>
      <c r="D40" s="87">
        <v>427.24346714646316</v>
      </c>
      <c r="E40" s="81"/>
      <c r="F40" s="109" t="str">
        <f>HYPERLINK("https://i.ytimg.com/vi/Hks6Nq7g6P4/default.jpg")</f>
        <v>https://i.ytimg.com/vi/Hks6Nq7g6P4/default.jpg</v>
      </c>
      <c r="G40" s="15"/>
      <c r="H40" s="16" t="s">
        <v>341</v>
      </c>
      <c r="I40" s="66"/>
      <c r="J40" s="66" t="s">
        <v>159</v>
      </c>
      <c r="K40" s="106" t="s">
        <v>341</v>
      </c>
      <c r="L40" s="88">
        <v>2500.5</v>
      </c>
      <c r="M40" s="89">
        <v>5369.3466796875</v>
      </c>
      <c r="N40" s="89">
        <v>6578.56201171875</v>
      </c>
      <c r="O40" s="77"/>
      <c r="P40" s="90"/>
      <c r="Q40" s="90"/>
      <c r="R40" s="91"/>
      <c r="S40" s="51">
        <v>1</v>
      </c>
      <c r="T40" s="51">
        <v>0</v>
      </c>
      <c r="U40" s="52">
        <v>0</v>
      </c>
      <c r="V40" s="52">
        <v>0.004386</v>
      </c>
      <c r="W40" s="52">
        <v>0.009194</v>
      </c>
      <c r="X40" s="52">
        <v>0.538753</v>
      </c>
      <c r="Y40" s="52">
        <v>0</v>
      </c>
      <c r="Z40" s="52">
        <v>0</v>
      </c>
      <c r="AA40" s="82">
        <v>40</v>
      </c>
      <c r="AB40" s="82"/>
      <c r="AC40" s="92"/>
      <c r="AD40" s="85" t="s">
        <v>341</v>
      </c>
      <c r="AE40" s="85" t="s">
        <v>437</v>
      </c>
      <c r="AF40" s="85" t="s">
        <v>529</v>
      </c>
      <c r="AG40" s="85" t="s">
        <v>606</v>
      </c>
      <c r="AH40" s="85" t="s">
        <v>670</v>
      </c>
      <c r="AI40" s="85">
        <v>6417905</v>
      </c>
      <c r="AJ40" s="85">
        <v>6498</v>
      </c>
      <c r="AK40" s="85">
        <v>93932</v>
      </c>
      <c r="AL40" s="85">
        <v>6195</v>
      </c>
      <c r="AM40" s="85" t="s">
        <v>730</v>
      </c>
      <c r="AN40" s="108" t="str">
        <f>HYPERLINK("https://www.youtube.com/watch?v=Hks6Nq7g6P4")</f>
        <v>https://www.youtube.com/watch?v=Hks6Nq7g6P4</v>
      </c>
      <c r="AO40" s="85" t="str">
        <f>REPLACE(INDEX(GroupVertices[Group],MATCH(Vertices[[#This Row],[Vertex]],GroupVertices[Vertex],0)),1,1,"")</f>
        <v>5</v>
      </c>
      <c r="AP40" s="51">
        <v>0</v>
      </c>
      <c r="AQ40" s="52">
        <v>0</v>
      </c>
      <c r="AR40" s="51">
        <v>0</v>
      </c>
      <c r="AS40" s="52">
        <v>0</v>
      </c>
      <c r="AT40" s="51">
        <v>0</v>
      </c>
      <c r="AU40" s="52">
        <v>0</v>
      </c>
      <c r="AV40" s="51">
        <v>2</v>
      </c>
      <c r="AW40" s="52">
        <v>100</v>
      </c>
      <c r="AX40" s="51">
        <v>2</v>
      </c>
      <c r="AY40" s="51"/>
      <c r="AZ40" s="51"/>
      <c r="BA40" s="51"/>
      <c r="BB40" s="51"/>
      <c r="BC40" s="2"/>
      <c r="BD40" s="3"/>
      <c r="BE40" s="3"/>
      <c r="BF40" s="3"/>
      <c r="BG40" s="3"/>
    </row>
    <row r="41" spans="1:59" ht="15">
      <c r="A41" s="14" t="s">
        <v>240</v>
      </c>
      <c r="B41" s="15"/>
      <c r="C41" s="15"/>
      <c r="D41" s="87">
        <v>112.94643211137522</v>
      </c>
      <c r="E41" s="81"/>
      <c r="F41" s="109" t="str">
        <f>HYPERLINK("https://i.ytimg.com/vi/ZE7OfU71Sbk/default.jpg")</f>
        <v>https://i.ytimg.com/vi/ZE7OfU71Sbk/default.jpg</v>
      </c>
      <c r="G41" s="15"/>
      <c r="H41" s="16" t="s">
        <v>342</v>
      </c>
      <c r="I41" s="66"/>
      <c r="J41" s="66" t="s">
        <v>159</v>
      </c>
      <c r="K41" s="106" t="s">
        <v>342</v>
      </c>
      <c r="L41" s="88">
        <v>2500.5</v>
      </c>
      <c r="M41" s="89">
        <v>4355.63330078125</v>
      </c>
      <c r="N41" s="89">
        <v>6718.9814453125</v>
      </c>
      <c r="O41" s="77"/>
      <c r="P41" s="90"/>
      <c r="Q41" s="90"/>
      <c r="R41" s="91"/>
      <c r="S41" s="51">
        <v>1</v>
      </c>
      <c r="T41" s="51">
        <v>0</v>
      </c>
      <c r="U41" s="52">
        <v>0</v>
      </c>
      <c r="V41" s="52">
        <v>0.004386</v>
      </c>
      <c r="W41" s="52">
        <v>0.009194</v>
      </c>
      <c r="X41" s="52">
        <v>0.538753</v>
      </c>
      <c r="Y41" s="52">
        <v>0</v>
      </c>
      <c r="Z41" s="52">
        <v>0</v>
      </c>
      <c r="AA41" s="82">
        <v>41</v>
      </c>
      <c r="AB41" s="82"/>
      <c r="AC41" s="92"/>
      <c r="AD41" s="85" t="s">
        <v>342</v>
      </c>
      <c r="AE41" s="85" t="s">
        <v>438</v>
      </c>
      <c r="AF41" s="85" t="s">
        <v>530</v>
      </c>
      <c r="AG41" s="85" t="s">
        <v>597</v>
      </c>
      <c r="AH41" s="85" t="s">
        <v>671</v>
      </c>
      <c r="AI41" s="85">
        <v>627526</v>
      </c>
      <c r="AJ41" s="85">
        <v>5915</v>
      </c>
      <c r="AK41" s="85">
        <v>22828</v>
      </c>
      <c r="AL41" s="85">
        <v>606</v>
      </c>
      <c r="AM41" s="85" t="s">
        <v>730</v>
      </c>
      <c r="AN41" s="108" t="str">
        <f>HYPERLINK("https://www.youtube.com/watch?v=ZE7OfU71Sbk")</f>
        <v>https://www.youtube.com/watch?v=ZE7OfU71Sbk</v>
      </c>
      <c r="AO41" s="85" t="str">
        <f>REPLACE(INDEX(GroupVertices[Group],MATCH(Vertices[[#This Row],[Vertex]],GroupVertices[Vertex],0)),1,1,"")</f>
        <v>5</v>
      </c>
      <c r="AP41" s="51">
        <v>1</v>
      </c>
      <c r="AQ41" s="52">
        <v>1.8181818181818181</v>
      </c>
      <c r="AR41" s="51">
        <v>0</v>
      </c>
      <c r="AS41" s="52">
        <v>0</v>
      </c>
      <c r="AT41" s="51">
        <v>0</v>
      </c>
      <c r="AU41" s="52">
        <v>0</v>
      </c>
      <c r="AV41" s="51">
        <v>54</v>
      </c>
      <c r="AW41" s="52">
        <v>98.18181818181819</v>
      </c>
      <c r="AX41" s="51">
        <v>55</v>
      </c>
      <c r="AY41" s="51"/>
      <c r="AZ41" s="51"/>
      <c r="BA41" s="51"/>
      <c r="BB41" s="51"/>
      <c r="BC41" s="2"/>
      <c r="BD41" s="3"/>
      <c r="BE41" s="3"/>
      <c r="BF41" s="3"/>
      <c r="BG41" s="3"/>
    </row>
    <row r="42" spans="1:59" ht="15">
      <c r="A42" s="14" t="s">
        <v>241</v>
      </c>
      <c r="B42" s="15"/>
      <c r="C42" s="15"/>
      <c r="D42" s="87">
        <v>196.26617047627857</v>
      </c>
      <c r="E42" s="81"/>
      <c r="F42" s="109" t="str">
        <f>HYPERLINK("https://i.ytimg.com/vi/iFGjvH6Q2rQ/default.jpg")</f>
        <v>https://i.ytimg.com/vi/iFGjvH6Q2rQ/default.jpg</v>
      </c>
      <c r="G42" s="15"/>
      <c r="H42" s="16" t="s">
        <v>343</v>
      </c>
      <c r="I42" s="66"/>
      <c r="J42" s="66" t="s">
        <v>75</v>
      </c>
      <c r="K42" s="106" t="s">
        <v>343</v>
      </c>
      <c r="L42" s="88">
        <v>5000</v>
      </c>
      <c r="M42" s="89">
        <v>379.3872375488281</v>
      </c>
      <c r="N42" s="89">
        <v>2926.60009765625</v>
      </c>
      <c r="O42" s="77"/>
      <c r="P42" s="90"/>
      <c r="Q42" s="90"/>
      <c r="R42" s="91"/>
      <c r="S42" s="51">
        <v>2</v>
      </c>
      <c r="T42" s="51">
        <v>0</v>
      </c>
      <c r="U42" s="52">
        <v>900</v>
      </c>
      <c r="V42" s="52">
        <v>0.004808</v>
      </c>
      <c r="W42" s="52">
        <v>0.010983</v>
      </c>
      <c r="X42" s="52">
        <v>0.952462</v>
      </c>
      <c r="Y42" s="52">
        <v>0</v>
      </c>
      <c r="Z42" s="52">
        <v>0</v>
      </c>
      <c r="AA42" s="82">
        <v>42</v>
      </c>
      <c r="AB42" s="82"/>
      <c r="AC42" s="92"/>
      <c r="AD42" s="85" t="s">
        <v>343</v>
      </c>
      <c r="AE42" s="85" t="s">
        <v>439</v>
      </c>
      <c r="AF42" s="85" t="s">
        <v>531</v>
      </c>
      <c r="AG42" s="85" t="s">
        <v>607</v>
      </c>
      <c r="AH42" s="85" t="s">
        <v>672</v>
      </c>
      <c r="AI42" s="85">
        <v>2162548</v>
      </c>
      <c r="AJ42" s="85">
        <v>1190</v>
      </c>
      <c r="AK42" s="85">
        <v>19869</v>
      </c>
      <c r="AL42" s="85">
        <v>964</v>
      </c>
      <c r="AM42" s="85" t="s">
        <v>730</v>
      </c>
      <c r="AN42" s="108" t="str">
        <f>HYPERLINK("https://www.youtube.com/watch?v=iFGjvH6Q2rQ")</f>
        <v>https://www.youtube.com/watch?v=iFGjvH6Q2rQ</v>
      </c>
      <c r="AO42" s="85" t="str">
        <f>REPLACE(INDEX(GroupVertices[Group],MATCH(Vertices[[#This Row],[Vertex]],GroupVertices[Vertex],0)),1,1,"")</f>
        <v>3</v>
      </c>
      <c r="AP42" s="51">
        <v>1</v>
      </c>
      <c r="AQ42" s="52">
        <v>1.5625</v>
      </c>
      <c r="AR42" s="51">
        <v>1</v>
      </c>
      <c r="AS42" s="52">
        <v>1.5625</v>
      </c>
      <c r="AT42" s="51">
        <v>0</v>
      </c>
      <c r="AU42" s="52">
        <v>0</v>
      </c>
      <c r="AV42" s="51">
        <v>62</v>
      </c>
      <c r="AW42" s="52">
        <v>96.875</v>
      </c>
      <c r="AX42" s="51">
        <v>64</v>
      </c>
      <c r="AY42" s="51"/>
      <c r="AZ42" s="51"/>
      <c r="BA42" s="51"/>
      <c r="BB42" s="51"/>
      <c r="BC42" s="2"/>
      <c r="BD42" s="3"/>
      <c r="BE42" s="3"/>
      <c r="BF42" s="3"/>
      <c r="BG42" s="3"/>
    </row>
    <row r="43" spans="1:59" ht="15">
      <c r="A43" s="14" t="s">
        <v>201</v>
      </c>
      <c r="B43" s="15"/>
      <c r="C43" s="15"/>
      <c r="D43" s="87">
        <v>143.19372334420177</v>
      </c>
      <c r="E43" s="81"/>
      <c r="F43" s="109" t="str">
        <f>HYPERLINK("https://i.ytimg.com/vi/5-EJAIXdGp8/default.jpg")</f>
        <v>https://i.ytimg.com/vi/5-EJAIXdGp8/default.jpg</v>
      </c>
      <c r="G43" s="15"/>
      <c r="H43" s="16" t="s">
        <v>344</v>
      </c>
      <c r="I43" s="66"/>
      <c r="J43" s="66" t="s">
        <v>159</v>
      </c>
      <c r="K43" s="106" t="s">
        <v>344</v>
      </c>
      <c r="L43" s="88">
        <v>1</v>
      </c>
      <c r="M43" s="89">
        <v>7164.888671875</v>
      </c>
      <c r="N43" s="89">
        <v>4508.21875</v>
      </c>
      <c r="O43" s="77"/>
      <c r="P43" s="90"/>
      <c r="Q43" s="90"/>
      <c r="R43" s="91"/>
      <c r="S43" s="51">
        <v>0</v>
      </c>
      <c r="T43" s="51">
        <v>9</v>
      </c>
      <c r="U43" s="52">
        <v>681.733333</v>
      </c>
      <c r="V43" s="52">
        <v>0.00495</v>
      </c>
      <c r="W43" s="52">
        <v>0.024998</v>
      </c>
      <c r="X43" s="52">
        <v>3.874216</v>
      </c>
      <c r="Y43" s="52">
        <v>0</v>
      </c>
      <c r="Z43" s="52">
        <v>0</v>
      </c>
      <c r="AA43" s="82">
        <v>43</v>
      </c>
      <c r="AB43" s="82"/>
      <c r="AC43" s="92"/>
      <c r="AD43" s="85" t="s">
        <v>344</v>
      </c>
      <c r="AE43" s="85" t="s">
        <v>440</v>
      </c>
      <c r="AF43" s="85" t="s">
        <v>532</v>
      </c>
      <c r="AG43" s="85" t="s">
        <v>608</v>
      </c>
      <c r="AH43" s="85" t="s">
        <v>673</v>
      </c>
      <c r="AI43" s="85">
        <v>1184780</v>
      </c>
      <c r="AJ43" s="85">
        <v>4740</v>
      </c>
      <c r="AK43" s="85">
        <v>5364</v>
      </c>
      <c r="AL43" s="85">
        <v>4630</v>
      </c>
      <c r="AM43" s="85" t="s">
        <v>730</v>
      </c>
      <c r="AN43" s="108" t="str">
        <f>HYPERLINK("https://www.youtube.com/watch?v=5-EJAIXdGp8")</f>
        <v>https://www.youtube.com/watch?v=5-EJAIXdGp8</v>
      </c>
      <c r="AO43" s="85" t="str">
        <f>REPLACE(INDEX(GroupVertices[Group],MATCH(Vertices[[#This Row],[Vertex]],GroupVertices[Vertex],0)),1,1,"")</f>
        <v>7</v>
      </c>
      <c r="AP43" s="51">
        <v>0</v>
      </c>
      <c r="AQ43" s="52">
        <v>0</v>
      </c>
      <c r="AR43" s="51">
        <v>0</v>
      </c>
      <c r="AS43" s="52">
        <v>0</v>
      </c>
      <c r="AT43" s="51">
        <v>0</v>
      </c>
      <c r="AU43" s="52">
        <v>0</v>
      </c>
      <c r="AV43" s="51">
        <v>32</v>
      </c>
      <c r="AW43" s="52">
        <v>100</v>
      </c>
      <c r="AX43" s="51">
        <v>32</v>
      </c>
      <c r="AY43" s="130" t="s">
        <v>1354</v>
      </c>
      <c r="AZ43" s="130" t="s">
        <v>1354</v>
      </c>
      <c r="BA43" s="130" t="s">
        <v>1354</v>
      </c>
      <c r="BB43" s="130" t="s">
        <v>1354</v>
      </c>
      <c r="BC43" s="2"/>
      <c r="BD43" s="3"/>
      <c r="BE43" s="3"/>
      <c r="BF43" s="3"/>
      <c r="BG43" s="3"/>
    </row>
    <row r="44" spans="1:59" ht="15">
      <c r="A44" s="14" t="s">
        <v>242</v>
      </c>
      <c r="B44" s="15"/>
      <c r="C44" s="15"/>
      <c r="D44" s="87">
        <v>179.734034368634</v>
      </c>
      <c r="E44" s="81"/>
      <c r="F44" s="109" t="str">
        <f>HYPERLINK("https://i.ytimg.com/vi/joxYLYD5eoQ/default.jpg")</f>
        <v>https://i.ytimg.com/vi/joxYLYD5eoQ/default.jpg</v>
      </c>
      <c r="G44" s="15"/>
      <c r="H44" s="16" t="s">
        <v>345</v>
      </c>
      <c r="I44" s="66"/>
      <c r="J44" s="66" t="s">
        <v>159</v>
      </c>
      <c r="K44" s="106" t="s">
        <v>345</v>
      </c>
      <c r="L44" s="88">
        <v>2500.5</v>
      </c>
      <c r="M44" s="89">
        <v>6328.76953125</v>
      </c>
      <c r="N44" s="89">
        <v>5678.048828125</v>
      </c>
      <c r="O44" s="77"/>
      <c r="P44" s="90"/>
      <c r="Q44" s="90"/>
      <c r="R44" s="91"/>
      <c r="S44" s="51">
        <v>1</v>
      </c>
      <c r="T44" s="51">
        <v>0</v>
      </c>
      <c r="U44" s="52">
        <v>0</v>
      </c>
      <c r="V44" s="52">
        <v>0.003906</v>
      </c>
      <c r="W44" s="52">
        <v>0.016206</v>
      </c>
      <c r="X44" s="52">
        <v>0.515898</v>
      </c>
      <c r="Y44" s="52">
        <v>0</v>
      </c>
      <c r="Z44" s="52">
        <v>0</v>
      </c>
      <c r="AA44" s="82">
        <v>44</v>
      </c>
      <c r="AB44" s="82"/>
      <c r="AC44" s="92"/>
      <c r="AD44" s="85" t="s">
        <v>345</v>
      </c>
      <c r="AE44" s="85" t="s">
        <v>441</v>
      </c>
      <c r="AF44" s="85" t="s">
        <v>533</v>
      </c>
      <c r="AG44" s="85" t="s">
        <v>608</v>
      </c>
      <c r="AH44" s="85" t="s">
        <v>674</v>
      </c>
      <c r="AI44" s="85">
        <v>1857972</v>
      </c>
      <c r="AJ44" s="85">
        <v>3074</v>
      </c>
      <c r="AK44" s="85">
        <v>21375</v>
      </c>
      <c r="AL44" s="85">
        <v>1767</v>
      </c>
      <c r="AM44" s="85" t="s">
        <v>730</v>
      </c>
      <c r="AN44" s="108" t="str">
        <f>HYPERLINK("https://www.youtube.com/watch?v=joxYLYD5eoQ")</f>
        <v>https://www.youtube.com/watch?v=joxYLYD5eoQ</v>
      </c>
      <c r="AO44" s="85" t="str">
        <f>REPLACE(INDEX(GroupVertices[Group],MATCH(Vertices[[#This Row],[Vertex]],GroupVertices[Vertex],0)),1,1,"")</f>
        <v>7</v>
      </c>
      <c r="AP44" s="51">
        <v>3</v>
      </c>
      <c r="AQ44" s="52">
        <v>5.769230769230769</v>
      </c>
      <c r="AR44" s="51">
        <v>0</v>
      </c>
      <c r="AS44" s="52">
        <v>0</v>
      </c>
      <c r="AT44" s="51">
        <v>0</v>
      </c>
      <c r="AU44" s="52">
        <v>0</v>
      </c>
      <c r="AV44" s="51">
        <v>49</v>
      </c>
      <c r="AW44" s="52">
        <v>94.23076923076923</v>
      </c>
      <c r="AX44" s="51">
        <v>52</v>
      </c>
      <c r="AY44" s="51"/>
      <c r="AZ44" s="51"/>
      <c r="BA44" s="51"/>
      <c r="BB44" s="51"/>
      <c r="BC44" s="2"/>
      <c r="BD44" s="3"/>
      <c r="BE44" s="3"/>
      <c r="BF44" s="3"/>
      <c r="BG44" s="3"/>
    </row>
    <row r="45" spans="1:59" ht="15">
      <c r="A45" s="14" t="s">
        <v>243</v>
      </c>
      <c r="B45" s="15"/>
      <c r="C45" s="15"/>
      <c r="D45" s="87">
        <v>110.34434241007119</v>
      </c>
      <c r="E45" s="81"/>
      <c r="F45" s="109" t="str">
        <f>HYPERLINK("https://i.ytimg.com/vi/PObqVwmO9pU/default.jpg")</f>
        <v>https://i.ytimg.com/vi/PObqVwmO9pU/default.jpg</v>
      </c>
      <c r="G45" s="15"/>
      <c r="H45" s="16" t="s">
        <v>346</v>
      </c>
      <c r="I45" s="66"/>
      <c r="J45" s="66" t="s">
        <v>159</v>
      </c>
      <c r="K45" s="106" t="s">
        <v>346</v>
      </c>
      <c r="L45" s="88">
        <v>2500.5</v>
      </c>
      <c r="M45" s="89">
        <v>6927.1396484375</v>
      </c>
      <c r="N45" s="89">
        <v>6718.9814453125</v>
      </c>
      <c r="O45" s="77"/>
      <c r="P45" s="90"/>
      <c r="Q45" s="90"/>
      <c r="R45" s="91"/>
      <c r="S45" s="51">
        <v>1</v>
      </c>
      <c r="T45" s="51">
        <v>0</v>
      </c>
      <c r="U45" s="52">
        <v>0</v>
      </c>
      <c r="V45" s="52">
        <v>0.003906</v>
      </c>
      <c r="W45" s="52">
        <v>0.016206</v>
      </c>
      <c r="X45" s="52">
        <v>0.515898</v>
      </c>
      <c r="Y45" s="52">
        <v>0</v>
      </c>
      <c r="Z45" s="52">
        <v>0</v>
      </c>
      <c r="AA45" s="82">
        <v>45</v>
      </c>
      <c r="AB45" s="82"/>
      <c r="AC45" s="92"/>
      <c r="AD45" s="85" t="s">
        <v>346</v>
      </c>
      <c r="AE45" s="85" t="s">
        <v>442</v>
      </c>
      <c r="AF45" s="85" t="s">
        <v>534</v>
      </c>
      <c r="AG45" s="85" t="s">
        <v>608</v>
      </c>
      <c r="AH45" s="85" t="s">
        <v>675</v>
      </c>
      <c r="AI45" s="85">
        <v>579587</v>
      </c>
      <c r="AJ45" s="85">
        <v>2147</v>
      </c>
      <c r="AK45" s="85">
        <v>5705</v>
      </c>
      <c r="AL45" s="85">
        <v>860</v>
      </c>
      <c r="AM45" s="85" t="s">
        <v>730</v>
      </c>
      <c r="AN45" s="108" t="str">
        <f>HYPERLINK("https://www.youtube.com/watch?v=PObqVwmO9pU")</f>
        <v>https://www.youtube.com/watch?v=PObqVwmO9pU</v>
      </c>
      <c r="AO45" s="85" t="str">
        <f>REPLACE(INDEX(GroupVertices[Group],MATCH(Vertices[[#This Row],[Vertex]],GroupVertices[Vertex],0)),1,1,"")</f>
        <v>7</v>
      </c>
      <c r="AP45" s="51">
        <v>3</v>
      </c>
      <c r="AQ45" s="52">
        <v>4.166666666666667</v>
      </c>
      <c r="AR45" s="51">
        <v>5</v>
      </c>
      <c r="AS45" s="52">
        <v>6.944444444444445</v>
      </c>
      <c r="AT45" s="51">
        <v>0</v>
      </c>
      <c r="AU45" s="52">
        <v>0</v>
      </c>
      <c r="AV45" s="51">
        <v>64</v>
      </c>
      <c r="AW45" s="52">
        <v>88.88888888888889</v>
      </c>
      <c r="AX45" s="51">
        <v>72</v>
      </c>
      <c r="AY45" s="51"/>
      <c r="AZ45" s="51"/>
      <c r="BA45" s="51"/>
      <c r="BB45" s="51"/>
      <c r="BC45" s="2"/>
      <c r="BD45" s="3"/>
      <c r="BE45" s="3"/>
      <c r="BF45" s="3"/>
      <c r="BG45" s="3"/>
    </row>
    <row r="46" spans="1:59" ht="15">
      <c r="A46" s="14" t="s">
        <v>244</v>
      </c>
      <c r="B46" s="15"/>
      <c r="C46" s="15"/>
      <c r="D46" s="87">
        <v>119.5984001329132</v>
      </c>
      <c r="E46" s="81"/>
      <c r="F46" s="109" t="str">
        <f>HYPERLINK("https://i.ytimg.com/vi/SzrrjMZqMJs/default.jpg")</f>
        <v>https://i.ytimg.com/vi/SzrrjMZqMJs/default.jpg</v>
      </c>
      <c r="G46" s="15"/>
      <c r="H46" s="16" t="s">
        <v>347</v>
      </c>
      <c r="I46" s="66"/>
      <c r="J46" s="66" t="s">
        <v>159</v>
      </c>
      <c r="K46" s="106" t="s">
        <v>347</v>
      </c>
      <c r="L46" s="88">
        <v>2500.5</v>
      </c>
      <c r="M46" s="89">
        <v>6664.99609375</v>
      </c>
      <c r="N46" s="89">
        <v>2551.563720703125</v>
      </c>
      <c r="O46" s="77"/>
      <c r="P46" s="90"/>
      <c r="Q46" s="90"/>
      <c r="R46" s="91"/>
      <c r="S46" s="51">
        <v>1</v>
      </c>
      <c r="T46" s="51">
        <v>0</v>
      </c>
      <c r="U46" s="52">
        <v>0</v>
      </c>
      <c r="V46" s="52">
        <v>0.003906</v>
      </c>
      <c r="W46" s="52">
        <v>0.016206</v>
      </c>
      <c r="X46" s="52">
        <v>0.515898</v>
      </c>
      <c r="Y46" s="52">
        <v>0</v>
      </c>
      <c r="Z46" s="52">
        <v>0</v>
      </c>
      <c r="AA46" s="82">
        <v>46</v>
      </c>
      <c r="AB46" s="82"/>
      <c r="AC46" s="92"/>
      <c r="AD46" s="85" t="s">
        <v>347</v>
      </c>
      <c r="AE46" s="85" t="s">
        <v>443</v>
      </c>
      <c r="AF46" s="85" t="s">
        <v>535</v>
      </c>
      <c r="AG46" s="85" t="s">
        <v>608</v>
      </c>
      <c r="AH46" s="85" t="s">
        <v>676</v>
      </c>
      <c r="AI46" s="85">
        <v>750077</v>
      </c>
      <c r="AJ46" s="85">
        <v>564</v>
      </c>
      <c r="AK46" s="85">
        <v>4512</v>
      </c>
      <c r="AL46" s="85">
        <v>240</v>
      </c>
      <c r="AM46" s="85" t="s">
        <v>730</v>
      </c>
      <c r="AN46" s="108" t="str">
        <f>HYPERLINK("https://www.youtube.com/watch?v=SzrrjMZqMJs")</f>
        <v>https://www.youtube.com/watch?v=SzrrjMZqMJs</v>
      </c>
      <c r="AO46" s="85" t="str">
        <f>REPLACE(INDEX(GroupVertices[Group],MATCH(Vertices[[#This Row],[Vertex]],GroupVertices[Vertex],0)),1,1,"")</f>
        <v>7</v>
      </c>
      <c r="AP46" s="51">
        <v>0</v>
      </c>
      <c r="AQ46" s="52">
        <v>0</v>
      </c>
      <c r="AR46" s="51">
        <v>2</v>
      </c>
      <c r="AS46" s="52">
        <v>4.166666666666667</v>
      </c>
      <c r="AT46" s="51">
        <v>0</v>
      </c>
      <c r="AU46" s="52">
        <v>0</v>
      </c>
      <c r="AV46" s="51">
        <v>46</v>
      </c>
      <c r="AW46" s="52">
        <v>95.83333333333333</v>
      </c>
      <c r="AX46" s="51">
        <v>48</v>
      </c>
      <c r="AY46" s="51"/>
      <c r="AZ46" s="51"/>
      <c r="BA46" s="51"/>
      <c r="BB46" s="51"/>
      <c r="BC46" s="2"/>
      <c r="BD46" s="3"/>
      <c r="BE46" s="3"/>
      <c r="BF46" s="3"/>
      <c r="BG46" s="3"/>
    </row>
    <row r="47" spans="1:59" ht="15">
      <c r="A47" s="14" t="s">
        <v>245</v>
      </c>
      <c r="B47" s="15"/>
      <c r="C47" s="15"/>
      <c r="D47" s="87">
        <v>146.80665425010716</v>
      </c>
      <c r="E47" s="81"/>
      <c r="F47" s="109" t="str">
        <f>HYPERLINK("https://i.ytimg.com/vi/m9AwjZWboIk/default.jpg")</f>
        <v>https://i.ytimg.com/vi/m9AwjZWboIk/default.jpg</v>
      </c>
      <c r="G47" s="15"/>
      <c r="H47" s="16" t="s">
        <v>348</v>
      </c>
      <c r="I47" s="66"/>
      <c r="J47" s="66" t="s">
        <v>159</v>
      </c>
      <c r="K47" s="106" t="s">
        <v>348</v>
      </c>
      <c r="L47" s="88">
        <v>2500.5</v>
      </c>
      <c r="M47" s="89">
        <v>8109.59228515625</v>
      </c>
      <c r="N47" s="89">
        <v>5064.59033203125</v>
      </c>
      <c r="O47" s="77"/>
      <c r="P47" s="90"/>
      <c r="Q47" s="90"/>
      <c r="R47" s="91"/>
      <c r="S47" s="51">
        <v>1</v>
      </c>
      <c r="T47" s="51">
        <v>0</v>
      </c>
      <c r="U47" s="52">
        <v>0</v>
      </c>
      <c r="V47" s="52">
        <v>0.003906</v>
      </c>
      <c r="W47" s="52">
        <v>0.016206</v>
      </c>
      <c r="X47" s="52">
        <v>0.515898</v>
      </c>
      <c r="Y47" s="52">
        <v>0</v>
      </c>
      <c r="Z47" s="52">
        <v>0</v>
      </c>
      <c r="AA47" s="82">
        <v>47</v>
      </c>
      <c r="AB47" s="82"/>
      <c r="AC47" s="92"/>
      <c r="AD47" s="85" t="s">
        <v>348</v>
      </c>
      <c r="AE47" s="85" t="s">
        <v>444</v>
      </c>
      <c r="AF47" s="85" t="s">
        <v>536</v>
      </c>
      <c r="AG47" s="85" t="s">
        <v>608</v>
      </c>
      <c r="AH47" s="85" t="s">
        <v>677</v>
      </c>
      <c r="AI47" s="85">
        <v>1251342</v>
      </c>
      <c r="AJ47" s="85">
        <v>5767</v>
      </c>
      <c r="AK47" s="85">
        <v>19189</v>
      </c>
      <c r="AL47" s="85">
        <v>1641</v>
      </c>
      <c r="AM47" s="85" t="s">
        <v>730</v>
      </c>
      <c r="AN47" s="108" t="str">
        <f>HYPERLINK("https://www.youtube.com/watch?v=m9AwjZWboIk")</f>
        <v>https://www.youtube.com/watch?v=m9AwjZWboIk</v>
      </c>
      <c r="AO47" s="85" t="str">
        <f>REPLACE(INDEX(GroupVertices[Group],MATCH(Vertices[[#This Row],[Vertex]],GroupVertices[Vertex],0)),1,1,"")</f>
        <v>7</v>
      </c>
      <c r="AP47" s="51">
        <v>3</v>
      </c>
      <c r="AQ47" s="52">
        <v>4.918032786885246</v>
      </c>
      <c r="AR47" s="51">
        <v>3</v>
      </c>
      <c r="AS47" s="52">
        <v>4.918032786885246</v>
      </c>
      <c r="AT47" s="51">
        <v>0</v>
      </c>
      <c r="AU47" s="52">
        <v>0</v>
      </c>
      <c r="AV47" s="51">
        <v>55</v>
      </c>
      <c r="AW47" s="52">
        <v>90.1639344262295</v>
      </c>
      <c r="AX47" s="51">
        <v>61</v>
      </c>
      <c r="AY47" s="51"/>
      <c r="AZ47" s="51"/>
      <c r="BA47" s="51"/>
      <c r="BB47" s="51"/>
      <c r="BC47" s="2"/>
      <c r="BD47" s="3"/>
      <c r="BE47" s="3"/>
      <c r="BF47" s="3"/>
      <c r="BG47" s="3"/>
    </row>
    <row r="48" spans="1:59" ht="15">
      <c r="A48" s="14" t="s">
        <v>246</v>
      </c>
      <c r="B48" s="15"/>
      <c r="C48" s="15"/>
      <c r="D48" s="87">
        <v>165.94343118060524</v>
      </c>
      <c r="E48" s="81"/>
      <c r="F48" s="109" t="str">
        <f>HYPERLINK("https://i.ytimg.com/vi/ZZ7c_6xghX8/default.jpg")</f>
        <v>https://i.ytimg.com/vi/ZZ7c_6xghX8/default.jpg</v>
      </c>
      <c r="G48" s="15"/>
      <c r="H48" s="16" t="s">
        <v>349</v>
      </c>
      <c r="I48" s="66"/>
      <c r="J48" s="66" t="s">
        <v>159</v>
      </c>
      <c r="K48" s="106" t="s">
        <v>349</v>
      </c>
      <c r="L48" s="88">
        <v>2500.5</v>
      </c>
      <c r="M48" s="89">
        <v>8001.0087890625</v>
      </c>
      <c r="N48" s="89">
        <v>3338.387939453125</v>
      </c>
      <c r="O48" s="77"/>
      <c r="P48" s="90"/>
      <c r="Q48" s="90"/>
      <c r="R48" s="91"/>
      <c r="S48" s="51">
        <v>1</v>
      </c>
      <c r="T48" s="51">
        <v>0</v>
      </c>
      <c r="U48" s="52">
        <v>0</v>
      </c>
      <c r="V48" s="52">
        <v>0.003906</v>
      </c>
      <c r="W48" s="52">
        <v>0.016206</v>
      </c>
      <c r="X48" s="52">
        <v>0.515898</v>
      </c>
      <c r="Y48" s="52">
        <v>0</v>
      </c>
      <c r="Z48" s="52">
        <v>0</v>
      </c>
      <c r="AA48" s="82">
        <v>48</v>
      </c>
      <c r="AB48" s="82"/>
      <c r="AC48" s="92"/>
      <c r="AD48" s="85" t="s">
        <v>349</v>
      </c>
      <c r="AE48" s="85" t="s">
        <v>445</v>
      </c>
      <c r="AF48" s="85" t="s">
        <v>537</v>
      </c>
      <c r="AG48" s="85" t="s">
        <v>608</v>
      </c>
      <c r="AH48" s="85" t="s">
        <v>678</v>
      </c>
      <c r="AI48" s="85">
        <v>1603904</v>
      </c>
      <c r="AJ48" s="85">
        <v>3568</v>
      </c>
      <c r="AK48" s="85">
        <v>27820</v>
      </c>
      <c r="AL48" s="85">
        <v>1176</v>
      </c>
      <c r="AM48" s="85" t="s">
        <v>730</v>
      </c>
      <c r="AN48" s="108" t="str">
        <f>HYPERLINK("https://www.youtube.com/watch?v=ZZ7c_6xghX8")</f>
        <v>https://www.youtube.com/watch?v=ZZ7c_6xghX8</v>
      </c>
      <c r="AO48" s="85" t="str">
        <f>REPLACE(INDEX(GroupVertices[Group],MATCH(Vertices[[#This Row],[Vertex]],GroupVertices[Vertex],0)),1,1,"")</f>
        <v>7</v>
      </c>
      <c r="AP48" s="51">
        <v>0</v>
      </c>
      <c r="AQ48" s="52">
        <v>0</v>
      </c>
      <c r="AR48" s="51">
        <v>1</v>
      </c>
      <c r="AS48" s="52">
        <v>1.7241379310344827</v>
      </c>
      <c r="AT48" s="51">
        <v>0</v>
      </c>
      <c r="AU48" s="52">
        <v>0</v>
      </c>
      <c r="AV48" s="51">
        <v>57</v>
      </c>
      <c r="AW48" s="52">
        <v>98.27586206896552</v>
      </c>
      <c r="AX48" s="51">
        <v>58</v>
      </c>
      <c r="AY48" s="51"/>
      <c r="AZ48" s="51"/>
      <c r="BA48" s="51"/>
      <c r="BB48" s="51"/>
      <c r="BC48" s="2"/>
      <c r="BD48" s="3"/>
      <c r="BE48" s="3"/>
      <c r="BF48" s="3"/>
      <c r="BG48" s="3"/>
    </row>
    <row r="49" spans="1:59" ht="15">
      <c r="A49" s="14" t="s">
        <v>247</v>
      </c>
      <c r="B49" s="15"/>
      <c r="C49" s="15"/>
      <c r="D49" s="87">
        <v>110.00564031498917</v>
      </c>
      <c r="E49" s="81"/>
      <c r="F49" s="109" t="str">
        <f>HYPERLINK("https://i.ytimg.com/vi/5PDkVWn213g/default.jpg")</f>
        <v>https://i.ytimg.com/vi/5PDkVWn213g/default.jpg</v>
      </c>
      <c r="G49" s="15"/>
      <c r="H49" s="16" t="s">
        <v>350</v>
      </c>
      <c r="I49" s="66"/>
      <c r="J49" s="66" t="s">
        <v>159</v>
      </c>
      <c r="K49" s="106" t="s">
        <v>350</v>
      </c>
      <c r="L49" s="88">
        <v>2500.5</v>
      </c>
      <c r="M49" s="89">
        <v>7664.78125</v>
      </c>
      <c r="N49" s="89">
        <v>6464.87548828125</v>
      </c>
      <c r="O49" s="77"/>
      <c r="P49" s="90"/>
      <c r="Q49" s="90"/>
      <c r="R49" s="91"/>
      <c r="S49" s="51">
        <v>1</v>
      </c>
      <c r="T49" s="51">
        <v>0</v>
      </c>
      <c r="U49" s="52">
        <v>0</v>
      </c>
      <c r="V49" s="52">
        <v>0.003906</v>
      </c>
      <c r="W49" s="52">
        <v>0.016206</v>
      </c>
      <c r="X49" s="52">
        <v>0.515898</v>
      </c>
      <c r="Y49" s="52">
        <v>0</v>
      </c>
      <c r="Z49" s="52">
        <v>0</v>
      </c>
      <c r="AA49" s="82">
        <v>49</v>
      </c>
      <c r="AB49" s="82"/>
      <c r="AC49" s="92"/>
      <c r="AD49" s="85" t="s">
        <v>350</v>
      </c>
      <c r="AE49" s="85" t="s">
        <v>446</v>
      </c>
      <c r="AF49" s="85" t="s">
        <v>532</v>
      </c>
      <c r="AG49" s="85" t="s">
        <v>608</v>
      </c>
      <c r="AH49" s="85" t="s">
        <v>679</v>
      </c>
      <c r="AI49" s="85">
        <v>573347</v>
      </c>
      <c r="AJ49" s="85">
        <v>1109</v>
      </c>
      <c r="AK49" s="85">
        <v>3549</v>
      </c>
      <c r="AL49" s="85">
        <v>150</v>
      </c>
      <c r="AM49" s="85" t="s">
        <v>730</v>
      </c>
      <c r="AN49" s="108" t="str">
        <f>HYPERLINK("https://www.youtube.com/watch?v=5PDkVWn213g")</f>
        <v>https://www.youtube.com/watch?v=5PDkVWn213g</v>
      </c>
      <c r="AO49" s="85" t="str">
        <f>REPLACE(INDEX(GroupVertices[Group],MATCH(Vertices[[#This Row],[Vertex]],GroupVertices[Vertex],0)),1,1,"")</f>
        <v>7</v>
      </c>
      <c r="AP49" s="51">
        <v>0</v>
      </c>
      <c r="AQ49" s="52">
        <v>0</v>
      </c>
      <c r="AR49" s="51">
        <v>0</v>
      </c>
      <c r="AS49" s="52">
        <v>0</v>
      </c>
      <c r="AT49" s="51">
        <v>0</v>
      </c>
      <c r="AU49" s="52">
        <v>0</v>
      </c>
      <c r="AV49" s="51">
        <v>32</v>
      </c>
      <c r="AW49" s="52">
        <v>100</v>
      </c>
      <c r="AX49" s="51">
        <v>32</v>
      </c>
      <c r="AY49" s="51"/>
      <c r="AZ49" s="51"/>
      <c r="BA49" s="51"/>
      <c r="BB49" s="51"/>
      <c r="BC49" s="2"/>
      <c r="BD49" s="3"/>
      <c r="BE49" s="3"/>
      <c r="BF49" s="3"/>
      <c r="BG49" s="3"/>
    </row>
    <row r="50" spans="1:59" ht="15">
      <c r="A50" s="14" t="s">
        <v>248</v>
      </c>
      <c r="B50" s="15"/>
      <c r="C50" s="15"/>
      <c r="D50" s="87">
        <v>81.30248324897246</v>
      </c>
      <c r="E50" s="81"/>
      <c r="F50" s="109" t="str">
        <f>HYPERLINK("https://i.ytimg.com/vi/3MNNX3IxTxM/default.jpg")</f>
        <v>https://i.ytimg.com/vi/3MNNX3IxTxM/default.jpg</v>
      </c>
      <c r="G50" s="15"/>
      <c r="H50" s="16" t="s">
        <v>351</v>
      </c>
      <c r="I50" s="66"/>
      <c r="J50" s="66" t="s">
        <v>75</v>
      </c>
      <c r="K50" s="106" t="s">
        <v>351</v>
      </c>
      <c r="L50" s="88">
        <v>5000</v>
      </c>
      <c r="M50" s="89">
        <v>6220.1845703125</v>
      </c>
      <c r="N50" s="89">
        <v>3951.84814453125</v>
      </c>
      <c r="O50" s="77"/>
      <c r="P50" s="90"/>
      <c r="Q50" s="90"/>
      <c r="R50" s="91"/>
      <c r="S50" s="51">
        <v>2</v>
      </c>
      <c r="T50" s="51">
        <v>0</v>
      </c>
      <c r="U50" s="52">
        <v>165.133333</v>
      </c>
      <c r="V50" s="52">
        <v>0.005051</v>
      </c>
      <c r="W50" s="52">
        <v>0.039937</v>
      </c>
      <c r="X50" s="52">
        <v>0.868451</v>
      </c>
      <c r="Y50" s="52">
        <v>0</v>
      </c>
      <c r="Z50" s="52">
        <v>0</v>
      </c>
      <c r="AA50" s="82">
        <v>50</v>
      </c>
      <c r="AB50" s="82"/>
      <c r="AC50" s="92"/>
      <c r="AD50" s="85" t="s">
        <v>351</v>
      </c>
      <c r="AE50" s="85" t="s">
        <v>447</v>
      </c>
      <c r="AF50" s="85" t="s">
        <v>538</v>
      </c>
      <c r="AG50" s="85" t="s">
        <v>609</v>
      </c>
      <c r="AH50" s="85" t="s">
        <v>680</v>
      </c>
      <c r="AI50" s="85">
        <v>44541</v>
      </c>
      <c r="AJ50" s="85">
        <v>290</v>
      </c>
      <c r="AK50" s="85">
        <v>536</v>
      </c>
      <c r="AL50" s="85">
        <v>133</v>
      </c>
      <c r="AM50" s="85" t="s">
        <v>730</v>
      </c>
      <c r="AN50" s="108" t="str">
        <f>HYPERLINK("https://www.youtube.com/watch?v=3MNNX3IxTxM")</f>
        <v>https://www.youtube.com/watch?v=3MNNX3IxTxM</v>
      </c>
      <c r="AO50" s="85" t="str">
        <f>REPLACE(INDEX(GroupVertices[Group],MATCH(Vertices[[#This Row],[Vertex]],GroupVertices[Vertex],0)),1,1,"")</f>
        <v>7</v>
      </c>
      <c r="AP50" s="51">
        <v>0</v>
      </c>
      <c r="AQ50" s="52">
        <v>0</v>
      </c>
      <c r="AR50" s="51">
        <v>2</v>
      </c>
      <c r="AS50" s="52">
        <v>3.508771929824561</v>
      </c>
      <c r="AT50" s="51">
        <v>0</v>
      </c>
      <c r="AU50" s="52">
        <v>0</v>
      </c>
      <c r="AV50" s="51">
        <v>55</v>
      </c>
      <c r="AW50" s="52">
        <v>96.49122807017544</v>
      </c>
      <c r="AX50" s="51">
        <v>57</v>
      </c>
      <c r="AY50" s="51"/>
      <c r="AZ50" s="51"/>
      <c r="BA50" s="51"/>
      <c r="BB50" s="51"/>
      <c r="BC50" s="2"/>
      <c r="BD50" s="3"/>
      <c r="BE50" s="3"/>
      <c r="BF50" s="3"/>
      <c r="BG50" s="3"/>
    </row>
    <row r="51" spans="1:59" ht="15">
      <c r="A51" s="14" t="s">
        <v>202</v>
      </c>
      <c r="B51" s="15"/>
      <c r="C51" s="15"/>
      <c r="D51" s="87">
        <v>157.1107427468853</v>
      </c>
      <c r="E51" s="81"/>
      <c r="F51" s="109" t="str">
        <f>HYPERLINK("https://i.ytimg.com/vi/TOmGg72_Vds/default.jpg")</f>
        <v>https://i.ytimg.com/vi/TOmGg72_Vds/default.jpg</v>
      </c>
      <c r="G51" s="15"/>
      <c r="H51" s="16" t="s">
        <v>352</v>
      </c>
      <c r="I51" s="66"/>
      <c r="J51" s="66" t="s">
        <v>159</v>
      </c>
      <c r="K51" s="106" t="s">
        <v>352</v>
      </c>
      <c r="L51" s="88">
        <v>2500.5</v>
      </c>
      <c r="M51" s="89">
        <v>1950.8729248046875</v>
      </c>
      <c r="N51" s="89">
        <v>5859.0908203125</v>
      </c>
      <c r="O51" s="77"/>
      <c r="P51" s="90"/>
      <c r="Q51" s="90"/>
      <c r="R51" s="91"/>
      <c r="S51" s="51">
        <v>1</v>
      </c>
      <c r="T51" s="51">
        <v>10</v>
      </c>
      <c r="U51" s="52">
        <v>216</v>
      </c>
      <c r="V51" s="52">
        <v>0.038462</v>
      </c>
      <c r="W51" s="52">
        <v>0.000382</v>
      </c>
      <c r="X51" s="52">
        <v>4.660031</v>
      </c>
      <c r="Y51" s="52">
        <v>0.011111111111111112</v>
      </c>
      <c r="Z51" s="52">
        <v>0.1</v>
      </c>
      <c r="AA51" s="82">
        <v>51</v>
      </c>
      <c r="AB51" s="82"/>
      <c r="AC51" s="92"/>
      <c r="AD51" s="85" t="s">
        <v>352</v>
      </c>
      <c r="AE51" s="85" t="s">
        <v>448</v>
      </c>
      <c r="AF51" s="85" t="s">
        <v>539</v>
      </c>
      <c r="AG51" s="85" t="s">
        <v>610</v>
      </c>
      <c r="AH51" s="85" t="s">
        <v>681</v>
      </c>
      <c r="AI51" s="85">
        <v>1441177</v>
      </c>
      <c r="AJ51" s="85">
        <v>2608</v>
      </c>
      <c r="AK51" s="85">
        <v>26293</v>
      </c>
      <c r="AL51" s="85">
        <v>960</v>
      </c>
      <c r="AM51" s="85" t="s">
        <v>730</v>
      </c>
      <c r="AN51" s="108" t="str">
        <f>HYPERLINK("https://www.youtube.com/watch?v=TOmGg72_Vds")</f>
        <v>https://www.youtube.com/watch?v=TOmGg72_Vds</v>
      </c>
      <c r="AO51" s="85" t="str">
        <f>REPLACE(INDEX(GroupVertices[Group],MATCH(Vertices[[#This Row],[Vertex]],GroupVertices[Vertex],0)),1,1,"")</f>
        <v>1</v>
      </c>
      <c r="AP51" s="51">
        <v>0</v>
      </c>
      <c r="AQ51" s="52">
        <v>0</v>
      </c>
      <c r="AR51" s="51">
        <v>0</v>
      </c>
      <c r="AS51" s="52">
        <v>0</v>
      </c>
      <c r="AT51" s="51">
        <v>0</v>
      </c>
      <c r="AU51" s="52">
        <v>0</v>
      </c>
      <c r="AV51" s="51">
        <v>45</v>
      </c>
      <c r="AW51" s="52">
        <v>100</v>
      </c>
      <c r="AX51" s="51">
        <v>45</v>
      </c>
      <c r="AY51" s="130" t="s">
        <v>1354</v>
      </c>
      <c r="AZ51" s="130" t="s">
        <v>1354</v>
      </c>
      <c r="BA51" s="130" t="s">
        <v>1354</v>
      </c>
      <c r="BB51" s="130" t="s">
        <v>1354</v>
      </c>
      <c r="BC51" s="2"/>
      <c r="BD51" s="3"/>
      <c r="BE51" s="3"/>
      <c r="BF51" s="3"/>
      <c r="BG51" s="3"/>
    </row>
    <row r="52" spans="1:59" ht="15">
      <c r="A52" s="14" t="s">
        <v>249</v>
      </c>
      <c r="B52" s="15"/>
      <c r="C52" s="15"/>
      <c r="D52" s="87">
        <v>168.84231944856128</v>
      </c>
      <c r="E52" s="81"/>
      <c r="F52" s="109" t="str">
        <f>HYPERLINK("https://i.ytimg.com/vi/_EzfGrTEgDU/default.jpg")</f>
        <v>https://i.ytimg.com/vi/_EzfGrTEgDU/default.jpg</v>
      </c>
      <c r="G52" s="15"/>
      <c r="H52" s="16" t="s">
        <v>353</v>
      </c>
      <c r="I52" s="66"/>
      <c r="J52" s="66" t="s">
        <v>159</v>
      </c>
      <c r="K52" s="106" t="s">
        <v>353</v>
      </c>
      <c r="L52" s="88">
        <v>2500.5</v>
      </c>
      <c r="M52" s="89">
        <v>2848.419677734375</v>
      </c>
      <c r="N52" s="89">
        <v>7285.25634765625</v>
      </c>
      <c r="O52" s="77"/>
      <c r="P52" s="90"/>
      <c r="Q52" s="90"/>
      <c r="R52" s="91"/>
      <c r="S52" s="51">
        <v>1</v>
      </c>
      <c r="T52" s="51">
        <v>0</v>
      </c>
      <c r="U52" s="52">
        <v>0</v>
      </c>
      <c r="V52" s="52">
        <v>0.023256</v>
      </c>
      <c r="W52" s="52">
        <v>0.000103</v>
      </c>
      <c r="X52" s="52">
        <v>0.546102</v>
      </c>
      <c r="Y52" s="52">
        <v>0</v>
      </c>
      <c r="Z52" s="52">
        <v>0</v>
      </c>
      <c r="AA52" s="82">
        <v>52</v>
      </c>
      <c r="AB52" s="82"/>
      <c r="AC52" s="92"/>
      <c r="AD52" s="85" t="s">
        <v>353</v>
      </c>
      <c r="AE52" s="85" t="s">
        <v>449</v>
      </c>
      <c r="AF52" s="85" t="s">
        <v>540</v>
      </c>
      <c r="AG52" s="85" t="s">
        <v>611</v>
      </c>
      <c r="AH52" s="85" t="s">
        <v>682</v>
      </c>
      <c r="AI52" s="85">
        <v>1657311</v>
      </c>
      <c r="AJ52" s="85">
        <v>4446</v>
      </c>
      <c r="AK52" s="85">
        <v>24718</v>
      </c>
      <c r="AL52" s="85">
        <v>2276</v>
      </c>
      <c r="AM52" s="85" t="s">
        <v>730</v>
      </c>
      <c r="AN52" s="108" t="str">
        <f>HYPERLINK("https://www.youtube.com/watch?v=_EzfGrTEgDU")</f>
        <v>https://www.youtube.com/watch?v=_EzfGrTEgDU</v>
      </c>
      <c r="AO52" s="85" t="str">
        <f>REPLACE(INDEX(GroupVertices[Group],MATCH(Vertices[[#This Row],[Vertex]],GroupVertices[Vertex],0)),1,1,"")</f>
        <v>1</v>
      </c>
      <c r="AP52" s="51">
        <v>0</v>
      </c>
      <c r="AQ52" s="52">
        <v>0</v>
      </c>
      <c r="AR52" s="51">
        <v>0</v>
      </c>
      <c r="AS52" s="52">
        <v>0</v>
      </c>
      <c r="AT52" s="51">
        <v>0</v>
      </c>
      <c r="AU52" s="52">
        <v>0</v>
      </c>
      <c r="AV52" s="51">
        <v>24</v>
      </c>
      <c r="AW52" s="52">
        <v>100</v>
      </c>
      <c r="AX52" s="51">
        <v>24</v>
      </c>
      <c r="AY52" s="51"/>
      <c r="AZ52" s="51"/>
      <c r="BA52" s="51"/>
      <c r="BB52" s="51"/>
      <c r="BC52" s="2"/>
      <c r="BD52" s="3"/>
      <c r="BE52" s="3"/>
      <c r="BF52" s="3"/>
      <c r="BG52" s="3"/>
    </row>
    <row r="53" spans="1:59" ht="15">
      <c r="A53" s="14" t="s">
        <v>250</v>
      </c>
      <c r="B53" s="15"/>
      <c r="C53" s="15"/>
      <c r="D53" s="87">
        <v>114.10247012757023</v>
      </c>
      <c r="E53" s="81"/>
      <c r="F53" s="109" t="str">
        <f>HYPERLINK("https://i.ytimg.com/vi/2cMGdYehvF4/default.jpg")</f>
        <v>https://i.ytimg.com/vi/2cMGdYehvF4/default.jpg</v>
      </c>
      <c r="G53" s="15"/>
      <c r="H53" s="16" t="s">
        <v>354</v>
      </c>
      <c r="I53" s="66"/>
      <c r="J53" s="66" t="s">
        <v>75</v>
      </c>
      <c r="K53" s="106" t="s">
        <v>354</v>
      </c>
      <c r="L53" s="88">
        <v>5000</v>
      </c>
      <c r="M53" s="89">
        <v>1585.5760498046875</v>
      </c>
      <c r="N53" s="89">
        <v>6696.2939453125</v>
      </c>
      <c r="O53" s="77"/>
      <c r="P53" s="90"/>
      <c r="Q53" s="90"/>
      <c r="R53" s="91"/>
      <c r="S53" s="51">
        <v>2</v>
      </c>
      <c r="T53" s="51">
        <v>0</v>
      </c>
      <c r="U53" s="52">
        <v>0</v>
      </c>
      <c r="V53" s="52">
        <v>0.029412</v>
      </c>
      <c r="W53" s="52">
        <v>0.000207</v>
      </c>
      <c r="X53" s="52">
        <v>0.942205</v>
      </c>
      <c r="Y53" s="52">
        <v>1</v>
      </c>
      <c r="Z53" s="52">
        <v>0</v>
      </c>
      <c r="AA53" s="82">
        <v>53</v>
      </c>
      <c r="AB53" s="82"/>
      <c r="AC53" s="92"/>
      <c r="AD53" s="85" t="s">
        <v>354</v>
      </c>
      <c r="AE53" s="108" t="str">
        <f>HYPERLINK("https://videos.telesurtv.net/video/676464/el-punto-en-la-i-676464/")</f>
        <v>https://videos.telesurtv.net/video/676464/el-punto-en-la-i-676464/</v>
      </c>
      <c r="AF53" s="85" t="s">
        <v>541</v>
      </c>
      <c r="AG53" s="85" t="s">
        <v>612</v>
      </c>
      <c r="AH53" s="85" t="s">
        <v>683</v>
      </c>
      <c r="AI53" s="85">
        <v>648824</v>
      </c>
      <c r="AJ53" s="85">
        <v>2822</v>
      </c>
      <c r="AK53" s="85">
        <v>15123</v>
      </c>
      <c r="AL53" s="85">
        <v>731</v>
      </c>
      <c r="AM53" s="85" t="s">
        <v>730</v>
      </c>
      <c r="AN53" s="108" t="str">
        <f>HYPERLINK("https://www.youtube.com/watch?v=2cMGdYehvF4")</f>
        <v>https://www.youtube.com/watch?v=2cMGdYehvF4</v>
      </c>
      <c r="AO53" s="85" t="str">
        <f>REPLACE(INDEX(GroupVertices[Group],MATCH(Vertices[[#This Row],[Vertex]],GroupVertices[Vertex],0)),1,1,"")</f>
        <v>1</v>
      </c>
      <c r="AP53" s="51">
        <v>0</v>
      </c>
      <c r="AQ53" s="52">
        <v>0</v>
      </c>
      <c r="AR53" s="51">
        <v>0</v>
      </c>
      <c r="AS53" s="52">
        <v>0</v>
      </c>
      <c r="AT53" s="51">
        <v>0</v>
      </c>
      <c r="AU53" s="52">
        <v>0</v>
      </c>
      <c r="AV53" s="51">
        <v>5</v>
      </c>
      <c r="AW53" s="52">
        <v>100</v>
      </c>
      <c r="AX53" s="51">
        <v>5</v>
      </c>
      <c r="AY53" s="51"/>
      <c r="AZ53" s="51"/>
      <c r="BA53" s="51"/>
      <c r="BB53" s="51"/>
      <c r="BC53" s="2"/>
      <c r="BD53" s="3"/>
      <c r="BE53" s="3"/>
      <c r="BF53" s="3"/>
      <c r="BG53" s="3"/>
    </row>
    <row r="54" spans="1:59" ht="15">
      <c r="A54" s="14" t="s">
        <v>251</v>
      </c>
      <c r="B54" s="15"/>
      <c r="C54" s="15"/>
      <c r="D54" s="87">
        <v>103.29825324872704</v>
      </c>
      <c r="E54" s="81"/>
      <c r="F54" s="109" t="str">
        <f>HYPERLINK("https://i.ytimg.com/vi/MmHsKnjgGC4/default.jpg")</f>
        <v>https://i.ytimg.com/vi/MmHsKnjgGC4/default.jpg</v>
      </c>
      <c r="G54" s="15"/>
      <c r="H54" s="16" t="s">
        <v>355</v>
      </c>
      <c r="I54" s="66"/>
      <c r="J54" s="66" t="s">
        <v>159</v>
      </c>
      <c r="K54" s="106" t="s">
        <v>355</v>
      </c>
      <c r="L54" s="88">
        <v>2500.5</v>
      </c>
      <c r="M54" s="89">
        <v>2869.532958984375</v>
      </c>
      <c r="N54" s="89">
        <v>4795.517578125</v>
      </c>
      <c r="O54" s="77"/>
      <c r="P54" s="90"/>
      <c r="Q54" s="90"/>
      <c r="R54" s="91"/>
      <c r="S54" s="51">
        <v>1</v>
      </c>
      <c r="T54" s="51">
        <v>0</v>
      </c>
      <c r="U54" s="52">
        <v>0</v>
      </c>
      <c r="V54" s="52">
        <v>0.023256</v>
      </c>
      <c r="W54" s="52">
        <v>0.000103</v>
      </c>
      <c r="X54" s="52">
        <v>0.546102</v>
      </c>
      <c r="Y54" s="52">
        <v>0</v>
      </c>
      <c r="Z54" s="52">
        <v>0</v>
      </c>
      <c r="AA54" s="82">
        <v>54</v>
      </c>
      <c r="AB54" s="82"/>
      <c r="AC54" s="92"/>
      <c r="AD54" s="85" t="s">
        <v>355</v>
      </c>
      <c r="AE54" s="85" t="s">
        <v>450</v>
      </c>
      <c r="AF54" s="85" t="s">
        <v>542</v>
      </c>
      <c r="AG54" s="85" t="s">
        <v>610</v>
      </c>
      <c r="AH54" s="85" t="s">
        <v>684</v>
      </c>
      <c r="AI54" s="85">
        <v>449775</v>
      </c>
      <c r="AJ54" s="85">
        <v>540</v>
      </c>
      <c r="AK54" s="85">
        <v>7498</v>
      </c>
      <c r="AL54" s="85">
        <v>246</v>
      </c>
      <c r="AM54" s="85" t="s">
        <v>730</v>
      </c>
      <c r="AN54" s="108" t="str">
        <f>HYPERLINK("https://www.youtube.com/watch?v=MmHsKnjgGC4")</f>
        <v>https://www.youtube.com/watch?v=MmHsKnjgGC4</v>
      </c>
      <c r="AO54" s="85" t="str">
        <f>REPLACE(INDEX(GroupVertices[Group],MATCH(Vertices[[#This Row],[Vertex]],GroupVertices[Vertex],0)),1,1,"")</f>
        <v>1</v>
      </c>
      <c r="AP54" s="51">
        <v>0</v>
      </c>
      <c r="AQ54" s="52">
        <v>0</v>
      </c>
      <c r="AR54" s="51">
        <v>0</v>
      </c>
      <c r="AS54" s="52">
        <v>0</v>
      </c>
      <c r="AT54" s="51">
        <v>0</v>
      </c>
      <c r="AU54" s="52">
        <v>0</v>
      </c>
      <c r="AV54" s="51">
        <v>54</v>
      </c>
      <c r="AW54" s="52">
        <v>100</v>
      </c>
      <c r="AX54" s="51">
        <v>54</v>
      </c>
      <c r="AY54" s="51"/>
      <c r="AZ54" s="51"/>
      <c r="BA54" s="51"/>
      <c r="BB54" s="51"/>
      <c r="BC54" s="2"/>
      <c r="BD54" s="3"/>
      <c r="BE54" s="3"/>
      <c r="BF54" s="3"/>
      <c r="BG54" s="3"/>
    </row>
    <row r="55" spans="1:59" ht="15">
      <c r="A55" s="14" t="s">
        <v>252</v>
      </c>
      <c r="B55" s="15"/>
      <c r="C55" s="15"/>
      <c r="D55" s="87">
        <v>107.59694733880971</v>
      </c>
      <c r="E55" s="81"/>
      <c r="F55" s="109" t="str">
        <f>HYPERLINK("https://i.ytimg.com/vi/ZF1Z4qw2Mms/default.jpg")</f>
        <v>https://i.ytimg.com/vi/ZF1Z4qw2Mms/default.jpg</v>
      </c>
      <c r="G55" s="15"/>
      <c r="H55" s="16" t="s">
        <v>356</v>
      </c>
      <c r="I55" s="66"/>
      <c r="J55" s="66" t="s">
        <v>159</v>
      </c>
      <c r="K55" s="106" t="s">
        <v>356</v>
      </c>
      <c r="L55" s="88">
        <v>2500.5</v>
      </c>
      <c r="M55" s="89">
        <v>2429.171875</v>
      </c>
      <c r="N55" s="89">
        <v>4151.41845703125</v>
      </c>
      <c r="O55" s="77"/>
      <c r="P55" s="90"/>
      <c r="Q55" s="90"/>
      <c r="R55" s="91"/>
      <c r="S55" s="51">
        <v>1</v>
      </c>
      <c r="T55" s="51">
        <v>0</v>
      </c>
      <c r="U55" s="52">
        <v>0</v>
      </c>
      <c r="V55" s="52">
        <v>0.023256</v>
      </c>
      <c r="W55" s="52">
        <v>0.000103</v>
      </c>
      <c r="X55" s="52">
        <v>0.546102</v>
      </c>
      <c r="Y55" s="52">
        <v>0</v>
      </c>
      <c r="Z55" s="52">
        <v>0</v>
      </c>
      <c r="AA55" s="82">
        <v>55</v>
      </c>
      <c r="AB55" s="82"/>
      <c r="AC55" s="92"/>
      <c r="AD55" s="85" t="s">
        <v>356</v>
      </c>
      <c r="AE55" s="85" t="s">
        <v>451</v>
      </c>
      <c r="AF55" s="85" t="s">
        <v>543</v>
      </c>
      <c r="AG55" s="85" t="s">
        <v>613</v>
      </c>
      <c r="AH55" s="85" t="s">
        <v>685</v>
      </c>
      <c r="AI55" s="85">
        <v>528971</v>
      </c>
      <c r="AJ55" s="85">
        <v>0</v>
      </c>
      <c r="AK55" s="85">
        <v>8123</v>
      </c>
      <c r="AL55" s="85">
        <v>1252</v>
      </c>
      <c r="AM55" s="85" t="s">
        <v>730</v>
      </c>
      <c r="AN55" s="108" t="str">
        <f>HYPERLINK("https://www.youtube.com/watch?v=ZF1Z4qw2Mms")</f>
        <v>https://www.youtube.com/watch?v=ZF1Z4qw2Mms</v>
      </c>
      <c r="AO55" s="85" t="str">
        <f>REPLACE(INDEX(GroupVertices[Group],MATCH(Vertices[[#This Row],[Vertex]],GroupVertices[Vertex],0)),1,1,"")</f>
        <v>1</v>
      </c>
      <c r="AP55" s="51">
        <v>0</v>
      </c>
      <c r="AQ55" s="52">
        <v>0</v>
      </c>
      <c r="AR55" s="51">
        <v>0</v>
      </c>
      <c r="AS55" s="52">
        <v>0</v>
      </c>
      <c r="AT55" s="51">
        <v>0</v>
      </c>
      <c r="AU55" s="52">
        <v>0</v>
      </c>
      <c r="AV55" s="51">
        <v>16</v>
      </c>
      <c r="AW55" s="52">
        <v>100</v>
      </c>
      <c r="AX55" s="51">
        <v>16</v>
      </c>
      <c r="AY55" s="51"/>
      <c r="AZ55" s="51"/>
      <c r="BA55" s="51"/>
      <c r="BB55" s="51"/>
      <c r="BC55" s="2"/>
      <c r="BD55" s="3"/>
      <c r="BE55" s="3"/>
      <c r="BF55" s="3"/>
      <c r="BG55" s="3"/>
    </row>
    <row r="56" spans="1:59" ht="15">
      <c r="A56" s="14" t="s">
        <v>253</v>
      </c>
      <c r="B56" s="15"/>
      <c r="C56" s="15"/>
      <c r="D56" s="87">
        <v>84.44454225185918</v>
      </c>
      <c r="E56" s="81"/>
      <c r="F56" s="109" t="str">
        <f>HYPERLINK("https://i.ytimg.com/vi/hPkru_Nllno/default.jpg")</f>
        <v>https://i.ytimg.com/vi/hPkru_Nllno/default.jpg</v>
      </c>
      <c r="G56" s="15"/>
      <c r="H56" s="16" t="s">
        <v>357</v>
      </c>
      <c r="I56" s="66"/>
      <c r="J56" s="66" t="s">
        <v>159</v>
      </c>
      <c r="K56" s="106" t="s">
        <v>357</v>
      </c>
      <c r="L56" s="88">
        <v>2500.5</v>
      </c>
      <c r="M56" s="89">
        <v>1993.2213134765625</v>
      </c>
      <c r="N56" s="89">
        <v>3824.304443359375</v>
      </c>
      <c r="O56" s="77"/>
      <c r="P56" s="90"/>
      <c r="Q56" s="90"/>
      <c r="R56" s="91"/>
      <c r="S56" s="51">
        <v>1</v>
      </c>
      <c r="T56" s="51">
        <v>0</v>
      </c>
      <c r="U56" s="52">
        <v>0</v>
      </c>
      <c r="V56" s="52">
        <v>0.023256</v>
      </c>
      <c r="W56" s="52">
        <v>0.000103</v>
      </c>
      <c r="X56" s="52">
        <v>0.546102</v>
      </c>
      <c r="Y56" s="52">
        <v>0</v>
      </c>
      <c r="Z56" s="52">
        <v>0</v>
      </c>
      <c r="AA56" s="82">
        <v>56</v>
      </c>
      <c r="AB56" s="82"/>
      <c r="AC56" s="92"/>
      <c r="AD56" s="85" t="s">
        <v>357</v>
      </c>
      <c r="AE56" s="85"/>
      <c r="AF56" s="85"/>
      <c r="AG56" s="85" t="s">
        <v>614</v>
      </c>
      <c r="AH56" s="85" t="s">
        <v>686</v>
      </c>
      <c r="AI56" s="85">
        <v>102428</v>
      </c>
      <c r="AJ56" s="85">
        <v>59</v>
      </c>
      <c r="AK56" s="85">
        <v>1048</v>
      </c>
      <c r="AL56" s="85">
        <v>29</v>
      </c>
      <c r="AM56" s="85" t="s">
        <v>730</v>
      </c>
      <c r="AN56" s="108" t="str">
        <f>HYPERLINK("https://www.youtube.com/watch?v=hPkru_Nllno")</f>
        <v>https://www.youtube.com/watch?v=hPkru_Nllno</v>
      </c>
      <c r="AO56" s="85" t="str">
        <f>REPLACE(INDEX(GroupVertices[Group],MATCH(Vertices[[#This Row],[Vertex]],GroupVertices[Vertex],0)),1,1,"")</f>
        <v>1</v>
      </c>
      <c r="AP56" s="51"/>
      <c r="AQ56" s="52"/>
      <c r="AR56" s="51"/>
      <c r="AS56" s="52"/>
      <c r="AT56" s="51"/>
      <c r="AU56" s="52"/>
      <c r="AV56" s="51"/>
      <c r="AW56" s="52"/>
      <c r="AX56" s="51"/>
      <c r="AY56" s="51"/>
      <c r="AZ56" s="51"/>
      <c r="BA56" s="51"/>
      <c r="BB56" s="51"/>
      <c r="BC56" s="2"/>
      <c r="BD56" s="3"/>
      <c r="BE56" s="3"/>
      <c r="BF56" s="3"/>
      <c r="BG56" s="3"/>
    </row>
    <row r="57" spans="1:59" ht="15">
      <c r="A57" s="14" t="s">
        <v>254</v>
      </c>
      <c r="B57" s="15"/>
      <c r="C57" s="15"/>
      <c r="D57" s="87">
        <v>326.4243376523829</v>
      </c>
      <c r="E57" s="81"/>
      <c r="F57" s="109" t="str">
        <f>HYPERLINK("https://i.ytimg.com/vi/B97uTZBw_ZU/default.jpg")</f>
        <v>https://i.ytimg.com/vi/B97uTZBw_ZU/default.jpg</v>
      </c>
      <c r="G57" s="15"/>
      <c r="H57" s="16" t="s">
        <v>358</v>
      </c>
      <c r="I57" s="66"/>
      <c r="J57" s="66" t="s">
        <v>159</v>
      </c>
      <c r="K57" s="106" t="s">
        <v>358</v>
      </c>
      <c r="L57" s="88">
        <v>2500.5</v>
      </c>
      <c r="M57" s="89">
        <v>1184.287109375</v>
      </c>
      <c r="N57" s="89">
        <v>4253.5888671875</v>
      </c>
      <c r="O57" s="77"/>
      <c r="P57" s="90"/>
      <c r="Q57" s="90"/>
      <c r="R57" s="91"/>
      <c r="S57" s="51">
        <v>1</v>
      </c>
      <c r="T57" s="51">
        <v>0</v>
      </c>
      <c r="U57" s="52">
        <v>0</v>
      </c>
      <c r="V57" s="52">
        <v>0.023256</v>
      </c>
      <c r="W57" s="52">
        <v>0.000103</v>
      </c>
      <c r="X57" s="52">
        <v>0.546102</v>
      </c>
      <c r="Y57" s="52">
        <v>0</v>
      </c>
      <c r="Z57" s="52">
        <v>0</v>
      </c>
      <c r="AA57" s="82">
        <v>57</v>
      </c>
      <c r="AB57" s="82"/>
      <c r="AC57" s="92"/>
      <c r="AD57" s="85" t="s">
        <v>358</v>
      </c>
      <c r="AE57" s="85" t="s">
        <v>452</v>
      </c>
      <c r="AF57" s="85" t="s">
        <v>544</v>
      </c>
      <c r="AG57" s="85" t="s">
        <v>615</v>
      </c>
      <c r="AH57" s="85" t="s">
        <v>687</v>
      </c>
      <c r="AI57" s="85">
        <v>4560487</v>
      </c>
      <c r="AJ57" s="85">
        <v>2773</v>
      </c>
      <c r="AK57" s="85">
        <v>28072</v>
      </c>
      <c r="AL57" s="85">
        <v>3891</v>
      </c>
      <c r="AM57" s="85" t="s">
        <v>730</v>
      </c>
      <c r="AN57" s="108" t="str">
        <f>HYPERLINK("https://www.youtube.com/watch?v=B97uTZBw_ZU")</f>
        <v>https://www.youtube.com/watch?v=B97uTZBw_ZU</v>
      </c>
      <c r="AO57" s="85" t="str">
        <f>REPLACE(INDEX(GroupVertices[Group],MATCH(Vertices[[#This Row],[Vertex]],GroupVertices[Vertex],0)),1,1,"")</f>
        <v>1</v>
      </c>
      <c r="AP57" s="51">
        <v>0</v>
      </c>
      <c r="AQ57" s="52">
        <v>0</v>
      </c>
      <c r="AR57" s="51">
        <v>0</v>
      </c>
      <c r="AS57" s="52">
        <v>0</v>
      </c>
      <c r="AT57" s="51">
        <v>0</v>
      </c>
      <c r="AU57" s="52">
        <v>0</v>
      </c>
      <c r="AV57" s="51">
        <v>6</v>
      </c>
      <c r="AW57" s="52">
        <v>100</v>
      </c>
      <c r="AX57" s="51">
        <v>6</v>
      </c>
      <c r="AY57" s="51"/>
      <c r="AZ57" s="51"/>
      <c r="BA57" s="51"/>
      <c r="BB57" s="51"/>
      <c r="BC57" s="2"/>
      <c r="BD57" s="3"/>
      <c r="BE57" s="3"/>
      <c r="BF57" s="3"/>
      <c r="BG57" s="3"/>
    </row>
    <row r="58" spans="1:59" ht="15">
      <c r="A58" s="14" t="s">
        <v>255</v>
      </c>
      <c r="B58" s="15"/>
      <c r="C58" s="15"/>
      <c r="D58" s="87">
        <v>119.26670005229681</v>
      </c>
      <c r="E58" s="81"/>
      <c r="F58" s="109" t="str">
        <f>HYPERLINK("https://i.ytimg.com/vi/dEeCd5wDGf0/default.jpg")</f>
        <v>https://i.ytimg.com/vi/dEeCd5wDGf0/default.jpg</v>
      </c>
      <c r="G58" s="15"/>
      <c r="H58" s="16" t="s">
        <v>359</v>
      </c>
      <c r="I58" s="66"/>
      <c r="J58" s="66" t="s">
        <v>159</v>
      </c>
      <c r="K58" s="106" t="s">
        <v>359</v>
      </c>
      <c r="L58" s="88">
        <v>2500.5</v>
      </c>
      <c r="M58" s="89">
        <v>2675.636474609375</v>
      </c>
      <c r="N58" s="89">
        <v>5780.36767578125</v>
      </c>
      <c r="O58" s="77"/>
      <c r="P58" s="90"/>
      <c r="Q58" s="90"/>
      <c r="R58" s="91"/>
      <c r="S58" s="51">
        <v>1</v>
      </c>
      <c r="T58" s="51">
        <v>0</v>
      </c>
      <c r="U58" s="52">
        <v>0</v>
      </c>
      <c r="V58" s="52">
        <v>0.023256</v>
      </c>
      <c r="W58" s="52">
        <v>0.000103</v>
      </c>
      <c r="X58" s="52">
        <v>0.546102</v>
      </c>
      <c r="Y58" s="52">
        <v>0</v>
      </c>
      <c r="Z58" s="52">
        <v>0</v>
      </c>
      <c r="AA58" s="82">
        <v>58</v>
      </c>
      <c r="AB58" s="82"/>
      <c r="AC58" s="92"/>
      <c r="AD58" s="85" t="s">
        <v>359</v>
      </c>
      <c r="AE58" s="85" t="s">
        <v>453</v>
      </c>
      <c r="AF58" s="85" t="s">
        <v>545</v>
      </c>
      <c r="AG58" s="85" t="s">
        <v>616</v>
      </c>
      <c r="AH58" s="85" t="s">
        <v>688</v>
      </c>
      <c r="AI58" s="85">
        <v>743966</v>
      </c>
      <c r="AJ58" s="85">
        <v>0</v>
      </c>
      <c r="AK58" s="85">
        <v>0</v>
      </c>
      <c r="AL58" s="85">
        <v>0</v>
      </c>
      <c r="AM58" s="85" t="s">
        <v>730</v>
      </c>
      <c r="AN58" s="108" t="str">
        <f>HYPERLINK("https://www.youtube.com/watch?v=dEeCd5wDGf0")</f>
        <v>https://www.youtube.com/watch?v=dEeCd5wDGf0</v>
      </c>
      <c r="AO58" s="85" t="str">
        <f>REPLACE(INDEX(GroupVertices[Group],MATCH(Vertices[[#This Row],[Vertex]],GroupVertices[Vertex],0)),1,1,"")</f>
        <v>1</v>
      </c>
      <c r="AP58" s="51">
        <v>0</v>
      </c>
      <c r="AQ58" s="52">
        <v>0</v>
      </c>
      <c r="AR58" s="51">
        <v>0</v>
      </c>
      <c r="AS58" s="52">
        <v>0</v>
      </c>
      <c r="AT58" s="51">
        <v>0</v>
      </c>
      <c r="AU58" s="52">
        <v>0</v>
      </c>
      <c r="AV58" s="51">
        <v>57</v>
      </c>
      <c r="AW58" s="52">
        <v>100</v>
      </c>
      <c r="AX58" s="51">
        <v>57</v>
      </c>
      <c r="AY58" s="51"/>
      <c r="AZ58" s="51"/>
      <c r="BA58" s="51"/>
      <c r="BB58" s="51"/>
      <c r="BC58" s="2"/>
      <c r="BD58" s="3"/>
      <c r="BE58" s="3"/>
      <c r="BF58" s="3"/>
      <c r="BG58" s="3"/>
    </row>
    <row r="59" spans="1:59" ht="15">
      <c r="A59" s="14" t="s">
        <v>256</v>
      </c>
      <c r="B59" s="15"/>
      <c r="C59" s="15"/>
      <c r="D59" s="87">
        <v>87.48683611840602</v>
      </c>
      <c r="E59" s="81"/>
      <c r="F59" s="109" t="str">
        <f>HYPERLINK("https://i.ytimg.com/vi/kJ7mH81ryeg/default.jpg")</f>
        <v>https://i.ytimg.com/vi/kJ7mH81ryeg/default.jpg</v>
      </c>
      <c r="G59" s="15"/>
      <c r="H59" s="16" t="s">
        <v>360</v>
      </c>
      <c r="I59" s="66"/>
      <c r="J59" s="66" t="s">
        <v>159</v>
      </c>
      <c r="K59" s="106" t="s">
        <v>360</v>
      </c>
      <c r="L59" s="88">
        <v>2500.5</v>
      </c>
      <c r="M59" s="89">
        <v>1539.967041015625</v>
      </c>
      <c r="N59" s="89">
        <v>3756.849609375</v>
      </c>
      <c r="O59" s="77"/>
      <c r="P59" s="90"/>
      <c r="Q59" s="90"/>
      <c r="R59" s="91"/>
      <c r="S59" s="51">
        <v>1</v>
      </c>
      <c r="T59" s="51">
        <v>0</v>
      </c>
      <c r="U59" s="52">
        <v>0</v>
      </c>
      <c r="V59" s="52">
        <v>0.023256</v>
      </c>
      <c r="W59" s="52">
        <v>0.000103</v>
      </c>
      <c r="X59" s="52">
        <v>0.546102</v>
      </c>
      <c r="Y59" s="52">
        <v>0</v>
      </c>
      <c r="Z59" s="52">
        <v>0</v>
      </c>
      <c r="AA59" s="82">
        <v>59</v>
      </c>
      <c r="AB59" s="82"/>
      <c r="AC59" s="92"/>
      <c r="AD59" s="85" t="s">
        <v>360</v>
      </c>
      <c r="AE59" s="85" t="s">
        <v>454</v>
      </c>
      <c r="AF59" s="85" t="s">
        <v>546</v>
      </c>
      <c r="AG59" s="85" t="s">
        <v>617</v>
      </c>
      <c r="AH59" s="85" t="s">
        <v>689</v>
      </c>
      <c r="AI59" s="85">
        <v>158477</v>
      </c>
      <c r="AJ59" s="85">
        <v>201</v>
      </c>
      <c r="AK59" s="85">
        <v>1414</v>
      </c>
      <c r="AL59" s="85">
        <v>46</v>
      </c>
      <c r="AM59" s="85" t="s">
        <v>730</v>
      </c>
      <c r="AN59" s="108" t="str">
        <f>HYPERLINK("https://www.youtube.com/watch?v=kJ7mH81ryeg")</f>
        <v>https://www.youtube.com/watch?v=kJ7mH81ryeg</v>
      </c>
      <c r="AO59" s="85" t="str">
        <f>REPLACE(INDEX(GroupVertices[Group],MATCH(Vertices[[#This Row],[Vertex]],GroupVertices[Vertex],0)),1,1,"")</f>
        <v>1</v>
      </c>
      <c r="AP59" s="51">
        <v>0</v>
      </c>
      <c r="AQ59" s="52">
        <v>0</v>
      </c>
      <c r="AR59" s="51">
        <v>1</v>
      </c>
      <c r="AS59" s="52">
        <v>3.5714285714285716</v>
      </c>
      <c r="AT59" s="51">
        <v>0</v>
      </c>
      <c r="AU59" s="52">
        <v>0</v>
      </c>
      <c r="AV59" s="51">
        <v>27</v>
      </c>
      <c r="AW59" s="52">
        <v>96.42857142857143</v>
      </c>
      <c r="AX59" s="51">
        <v>28</v>
      </c>
      <c r="AY59" s="51"/>
      <c r="AZ59" s="51"/>
      <c r="BA59" s="51"/>
      <c r="BB59" s="51"/>
      <c r="BC59" s="2"/>
      <c r="BD59" s="3"/>
      <c r="BE59" s="3"/>
      <c r="BF59" s="3"/>
      <c r="BG59" s="3"/>
    </row>
    <row r="60" spans="1:59" ht="15">
      <c r="A60" s="14" t="s">
        <v>257</v>
      </c>
      <c r="B60" s="15"/>
      <c r="C60" s="15"/>
      <c r="D60" s="87">
        <v>104.41141071121777</v>
      </c>
      <c r="E60" s="81"/>
      <c r="F60" s="109" t="str">
        <f>HYPERLINK("https://i.ytimg.com/vi/m5l_P8SM5Ak/default.jpg")</f>
        <v>https://i.ytimg.com/vi/m5l_P8SM5Ak/default.jpg</v>
      </c>
      <c r="G60" s="15"/>
      <c r="H60" s="16" t="s">
        <v>361</v>
      </c>
      <c r="I60" s="66"/>
      <c r="J60" s="66" t="s">
        <v>159</v>
      </c>
      <c r="K60" s="106" t="s">
        <v>361</v>
      </c>
      <c r="L60" s="88">
        <v>2500.5</v>
      </c>
      <c r="M60" s="89">
        <v>3088.863037109375</v>
      </c>
      <c r="N60" s="89">
        <v>6360.9052734375</v>
      </c>
      <c r="O60" s="77"/>
      <c r="P60" s="90"/>
      <c r="Q60" s="90"/>
      <c r="R60" s="91"/>
      <c r="S60" s="51">
        <v>1</v>
      </c>
      <c r="T60" s="51">
        <v>0</v>
      </c>
      <c r="U60" s="52">
        <v>0</v>
      </c>
      <c r="V60" s="52">
        <v>0.023256</v>
      </c>
      <c r="W60" s="52">
        <v>0.000103</v>
      </c>
      <c r="X60" s="52">
        <v>0.546102</v>
      </c>
      <c r="Y60" s="52">
        <v>0</v>
      </c>
      <c r="Z60" s="52">
        <v>0</v>
      </c>
      <c r="AA60" s="82">
        <v>60</v>
      </c>
      <c r="AB60" s="82"/>
      <c r="AC60" s="92"/>
      <c r="AD60" s="85" t="s">
        <v>361</v>
      </c>
      <c r="AE60" s="85" t="s">
        <v>448</v>
      </c>
      <c r="AF60" s="85" t="s">
        <v>539</v>
      </c>
      <c r="AG60" s="85" t="s">
        <v>610</v>
      </c>
      <c r="AH60" s="85" t="s">
        <v>690</v>
      </c>
      <c r="AI60" s="85">
        <v>470283</v>
      </c>
      <c r="AJ60" s="85">
        <v>1027</v>
      </c>
      <c r="AK60" s="85">
        <v>10934</v>
      </c>
      <c r="AL60" s="85">
        <v>261</v>
      </c>
      <c r="AM60" s="85" t="s">
        <v>730</v>
      </c>
      <c r="AN60" s="108" t="str">
        <f>HYPERLINK("https://www.youtube.com/watch?v=m5l_P8SM5Ak")</f>
        <v>https://www.youtube.com/watch?v=m5l_P8SM5Ak</v>
      </c>
      <c r="AO60" s="85" t="str">
        <f>REPLACE(INDEX(GroupVertices[Group],MATCH(Vertices[[#This Row],[Vertex]],GroupVertices[Vertex],0)),1,1,"")</f>
        <v>1</v>
      </c>
      <c r="AP60" s="51">
        <v>0</v>
      </c>
      <c r="AQ60" s="52">
        <v>0</v>
      </c>
      <c r="AR60" s="51">
        <v>0</v>
      </c>
      <c r="AS60" s="52">
        <v>0</v>
      </c>
      <c r="AT60" s="51">
        <v>0</v>
      </c>
      <c r="AU60" s="52">
        <v>0</v>
      </c>
      <c r="AV60" s="51">
        <v>45</v>
      </c>
      <c r="AW60" s="52">
        <v>100</v>
      </c>
      <c r="AX60" s="51">
        <v>45</v>
      </c>
      <c r="AY60" s="51"/>
      <c r="AZ60" s="51"/>
      <c r="BA60" s="51"/>
      <c r="BB60" s="51"/>
      <c r="BC60" s="2"/>
      <c r="BD60" s="3"/>
      <c r="BE60" s="3"/>
      <c r="BF60" s="3"/>
      <c r="BG60" s="3"/>
    </row>
    <row r="61" spans="1:59" ht="15">
      <c r="A61" s="14" t="s">
        <v>203</v>
      </c>
      <c r="B61" s="15"/>
      <c r="C61" s="15"/>
      <c r="D61" s="87">
        <v>157.86761165935707</v>
      </c>
      <c r="E61" s="81"/>
      <c r="F61" s="109" t="str">
        <f>HYPERLINK("https://i.ytimg.com/vi/zKpiRliQePY/default.jpg")</f>
        <v>https://i.ytimg.com/vi/zKpiRliQePY/default.jpg</v>
      </c>
      <c r="G61" s="15"/>
      <c r="H61" s="16" t="s">
        <v>362</v>
      </c>
      <c r="I61" s="66"/>
      <c r="J61" s="66" t="s">
        <v>159</v>
      </c>
      <c r="K61" s="106" t="s">
        <v>362</v>
      </c>
      <c r="L61" s="88">
        <v>1</v>
      </c>
      <c r="M61" s="89">
        <v>1597.3828125</v>
      </c>
      <c r="N61" s="89">
        <v>1878.251953125</v>
      </c>
      <c r="O61" s="77"/>
      <c r="P61" s="90"/>
      <c r="Q61" s="90"/>
      <c r="R61" s="91"/>
      <c r="S61" s="51">
        <v>0</v>
      </c>
      <c r="T61" s="51">
        <v>10</v>
      </c>
      <c r="U61" s="52">
        <v>900</v>
      </c>
      <c r="V61" s="52">
        <v>0.004098</v>
      </c>
      <c r="W61" s="52">
        <v>0.002759</v>
      </c>
      <c r="X61" s="52">
        <v>4.86716</v>
      </c>
      <c r="Y61" s="52">
        <v>0</v>
      </c>
      <c r="Z61" s="52">
        <v>0</v>
      </c>
      <c r="AA61" s="82">
        <v>61</v>
      </c>
      <c r="AB61" s="82"/>
      <c r="AC61" s="92"/>
      <c r="AD61" s="85" t="s">
        <v>362</v>
      </c>
      <c r="AE61" s="85" t="s">
        <v>455</v>
      </c>
      <c r="AF61" s="85" t="s">
        <v>547</v>
      </c>
      <c r="AG61" s="85" t="s">
        <v>607</v>
      </c>
      <c r="AH61" s="85" t="s">
        <v>691</v>
      </c>
      <c r="AI61" s="85">
        <v>1455121</v>
      </c>
      <c r="AJ61" s="85">
        <v>1225</v>
      </c>
      <c r="AK61" s="85">
        <v>14429</v>
      </c>
      <c r="AL61" s="85">
        <v>1080</v>
      </c>
      <c r="AM61" s="85" t="s">
        <v>730</v>
      </c>
      <c r="AN61" s="108" t="str">
        <f>HYPERLINK("https://www.youtube.com/watch?v=zKpiRliQePY")</f>
        <v>https://www.youtube.com/watch?v=zKpiRliQePY</v>
      </c>
      <c r="AO61" s="85" t="str">
        <f>REPLACE(INDEX(GroupVertices[Group],MATCH(Vertices[[#This Row],[Vertex]],GroupVertices[Vertex],0)),1,1,"")</f>
        <v>3</v>
      </c>
      <c r="AP61" s="51">
        <v>4</v>
      </c>
      <c r="AQ61" s="52">
        <v>5.47945205479452</v>
      </c>
      <c r="AR61" s="51">
        <v>5</v>
      </c>
      <c r="AS61" s="52">
        <v>6.8493150684931505</v>
      </c>
      <c r="AT61" s="51">
        <v>0</v>
      </c>
      <c r="AU61" s="52">
        <v>0</v>
      </c>
      <c r="AV61" s="51">
        <v>64</v>
      </c>
      <c r="AW61" s="52">
        <v>87.67123287671232</v>
      </c>
      <c r="AX61" s="51">
        <v>73</v>
      </c>
      <c r="AY61" s="130" t="s">
        <v>1354</v>
      </c>
      <c r="AZ61" s="130" t="s">
        <v>1354</v>
      </c>
      <c r="BA61" s="130" t="s">
        <v>1354</v>
      </c>
      <c r="BB61" s="130" t="s">
        <v>1354</v>
      </c>
      <c r="BC61" s="2"/>
      <c r="BD61" s="3"/>
      <c r="BE61" s="3"/>
      <c r="BF61" s="3"/>
      <c r="BG61" s="3"/>
    </row>
    <row r="62" spans="1:59" ht="15">
      <c r="A62" s="14" t="s">
        <v>258</v>
      </c>
      <c r="B62" s="15"/>
      <c r="C62" s="15"/>
      <c r="D62" s="87">
        <v>223.62342094779947</v>
      </c>
      <c r="E62" s="81"/>
      <c r="F62" s="109" t="str">
        <f>HYPERLINK("https://i.ytimg.com/vi/j7OQpRLDM9I/default.jpg")</f>
        <v>https://i.ytimg.com/vi/j7OQpRLDM9I/default.jpg</v>
      </c>
      <c r="G62" s="15"/>
      <c r="H62" s="16" t="s">
        <v>363</v>
      </c>
      <c r="I62" s="66"/>
      <c r="J62" s="66" t="s">
        <v>159</v>
      </c>
      <c r="K62" s="106" t="s">
        <v>363</v>
      </c>
      <c r="L62" s="88">
        <v>2500.5</v>
      </c>
      <c r="M62" s="89">
        <v>2815.208984375</v>
      </c>
      <c r="N62" s="89">
        <v>830.0894775390625</v>
      </c>
      <c r="O62" s="77"/>
      <c r="P62" s="90"/>
      <c r="Q62" s="90"/>
      <c r="R62" s="91"/>
      <c r="S62" s="51">
        <v>1</v>
      </c>
      <c r="T62" s="51">
        <v>0</v>
      </c>
      <c r="U62" s="52">
        <v>0</v>
      </c>
      <c r="V62" s="52">
        <v>0.003356</v>
      </c>
      <c r="W62" s="52">
        <v>0.001789</v>
      </c>
      <c r="X62" s="52">
        <v>0.563708</v>
      </c>
      <c r="Y62" s="52">
        <v>0</v>
      </c>
      <c r="Z62" s="52">
        <v>0</v>
      </c>
      <c r="AA62" s="82">
        <v>62</v>
      </c>
      <c r="AB62" s="82"/>
      <c r="AC62" s="92"/>
      <c r="AD62" s="85" t="s">
        <v>363</v>
      </c>
      <c r="AE62" s="85" t="s">
        <v>456</v>
      </c>
      <c r="AF62" s="85" t="s">
        <v>548</v>
      </c>
      <c r="AG62" s="85" t="s">
        <v>607</v>
      </c>
      <c r="AH62" s="85" t="s">
        <v>692</v>
      </c>
      <c r="AI62" s="85">
        <v>2666558</v>
      </c>
      <c r="AJ62" s="85">
        <v>3258</v>
      </c>
      <c r="AK62" s="85">
        <v>33498</v>
      </c>
      <c r="AL62" s="85">
        <v>4289</v>
      </c>
      <c r="AM62" s="85" t="s">
        <v>730</v>
      </c>
      <c r="AN62" s="108" t="str">
        <f>HYPERLINK("https://www.youtube.com/watch?v=j7OQpRLDM9I")</f>
        <v>https://www.youtube.com/watch?v=j7OQpRLDM9I</v>
      </c>
      <c r="AO62" s="85" t="str">
        <f>REPLACE(INDEX(GroupVertices[Group],MATCH(Vertices[[#This Row],[Vertex]],GroupVertices[Vertex],0)),1,1,"")</f>
        <v>3</v>
      </c>
      <c r="AP62" s="51">
        <v>4</v>
      </c>
      <c r="AQ62" s="52">
        <v>6.557377049180328</v>
      </c>
      <c r="AR62" s="51">
        <v>3</v>
      </c>
      <c r="AS62" s="52">
        <v>4.918032786885246</v>
      </c>
      <c r="AT62" s="51">
        <v>0</v>
      </c>
      <c r="AU62" s="52">
        <v>0</v>
      </c>
      <c r="AV62" s="51">
        <v>54</v>
      </c>
      <c r="AW62" s="52">
        <v>88.52459016393442</v>
      </c>
      <c r="AX62" s="51">
        <v>61</v>
      </c>
      <c r="AY62" s="51"/>
      <c r="AZ62" s="51"/>
      <c r="BA62" s="51"/>
      <c r="BB62" s="51"/>
      <c r="BC62" s="2"/>
      <c r="BD62" s="3"/>
      <c r="BE62" s="3"/>
      <c r="BF62" s="3"/>
      <c r="BG62" s="3"/>
    </row>
    <row r="63" spans="1:59" ht="15">
      <c r="A63" s="14" t="s">
        <v>259</v>
      </c>
      <c r="B63" s="15"/>
      <c r="C63" s="15"/>
      <c r="D63" s="87">
        <v>374.1973454176099</v>
      </c>
      <c r="E63" s="81"/>
      <c r="F63" s="109" t="str">
        <f>HYPERLINK("https://i.ytimg.com/vi/7MursWMNONo/default.jpg")</f>
        <v>https://i.ytimg.com/vi/7MursWMNONo/default.jpg</v>
      </c>
      <c r="G63" s="15"/>
      <c r="H63" s="16" t="s">
        <v>364</v>
      </c>
      <c r="I63" s="66"/>
      <c r="J63" s="66" t="s">
        <v>159</v>
      </c>
      <c r="K63" s="106" t="s">
        <v>364</v>
      </c>
      <c r="L63" s="88">
        <v>2500.5</v>
      </c>
      <c r="M63" s="89">
        <v>1118.32470703125</v>
      </c>
      <c r="N63" s="89">
        <v>3597.50439453125</v>
      </c>
      <c r="O63" s="77"/>
      <c r="P63" s="90"/>
      <c r="Q63" s="90"/>
      <c r="R63" s="91"/>
      <c r="S63" s="51">
        <v>1</v>
      </c>
      <c r="T63" s="51">
        <v>0</v>
      </c>
      <c r="U63" s="52">
        <v>0</v>
      </c>
      <c r="V63" s="52">
        <v>0.003356</v>
      </c>
      <c r="W63" s="52">
        <v>0.001789</v>
      </c>
      <c r="X63" s="52">
        <v>0.563708</v>
      </c>
      <c r="Y63" s="52">
        <v>0</v>
      </c>
      <c r="Z63" s="52">
        <v>0</v>
      </c>
      <c r="AA63" s="82">
        <v>63</v>
      </c>
      <c r="AB63" s="82"/>
      <c r="AC63" s="92"/>
      <c r="AD63" s="85" t="s">
        <v>364</v>
      </c>
      <c r="AE63" s="85" t="s">
        <v>457</v>
      </c>
      <c r="AF63" s="85" t="s">
        <v>549</v>
      </c>
      <c r="AG63" s="85" t="s">
        <v>618</v>
      </c>
      <c r="AH63" s="85" t="s">
        <v>693</v>
      </c>
      <c r="AI63" s="85">
        <v>5440622</v>
      </c>
      <c r="AJ63" s="85">
        <v>7766</v>
      </c>
      <c r="AK63" s="85">
        <v>52215</v>
      </c>
      <c r="AL63" s="85">
        <v>3660</v>
      </c>
      <c r="AM63" s="85" t="s">
        <v>730</v>
      </c>
      <c r="AN63" s="108" t="str">
        <f>HYPERLINK("https://www.youtube.com/watch?v=7MursWMNONo")</f>
        <v>https://www.youtube.com/watch?v=7MursWMNONo</v>
      </c>
      <c r="AO63" s="85" t="str">
        <f>REPLACE(INDEX(GroupVertices[Group],MATCH(Vertices[[#This Row],[Vertex]],GroupVertices[Vertex],0)),1,1,"")</f>
        <v>3</v>
      </c>
      <c r="AP63" s="51">
        <v>2</v>
      </c>
      <c r="AQ63" s="52">
        <v>6.666666666666667</v>
      </c>
      <c r="AR63" s="51">
        <v>4</v>
      </c>
      <c r="AS63" s="52">
        <v>13.333333333333334</v>
      </c>
      <c r="AT63" s="51">
        <v>0</v>
      </c>
      <c r="AU63" s="52">
        <v>0</v>
      </c>
      <c r="AV63" s="51">
        <v>24</v>
      </c>
      <c r="AW63" s="52">
        <v>80</v>
      </c>
      <c r="AX63" s="51">
        <v>30</v>
      </c>
      <c r="AY63" s="51"/>
      <c r="AZ63" s="51"/>
      <c r="BA63" s="51"/>
      <c r="BB63" s="51"/>
      <c r="BC63" s="2"/>
      <c r="BD63" s="3"/>
      <c r="BE63" s="3"/>
      <c r="BF63" s="3"/>
      <c r="BG63" s="3"/>
    </row>
    <row r="64" spans="1:59" ht="15">
      <c r="A64" s="14" t="s">
        <v>260</v>
      </c>
      <c r="B64" s="15"/>
      <c r="C64" s="15"/>
      <c r="D64" s="87">
        <v>278.3661470654314</v>
      </c>
      <c r="E64" s="81"/>
      <c r="F64" s="109" t="str">
        <f>HYPERLINK("https://i.ytimg.com/vi/u0o6alqvTDY/default.jpg")</f>
        <v>https://i.ytimg.com/vi/u0o6alqvTDY/default.jpg</v>
      </c>
      <c r="G64" s="15"/>
      <c r="H64" s="16" t="s">
        <v>365</v>
      </c>
      <c r="I64" s="66"/>
      <c r="J64" s="66" t="s">
        <v>159</v>
      </c>
      <c r="K64" s="106" t="s">
        <v>365</v>
      </c>
      <c r="L64" s="88">
        <v>2500.5</v>
      </c>
      <c r="M64" s="89">
        <v>401.96392822265625</v>
      </c>
      <c r="N64" s="89">
        <v>792.0971069335938</v>
      </c>
      <c r="O64" s="77"/>
      <c r="P64" s="90"/>
      <c r="Q64" s="90"/>
      <c r="R64" s="91"/>
      <c r="S64" s="51">
        <v>1</v>
      </c>
      <c r="T64" s="51">
        <v>0</v>
      </c>
      <c r="U64" s="52">
        <v>0</v>
      </c>
      <c r="V64" s="52">
        <v>0.003356</v>
      </c>
      <c r="W64" s="52">
        <v>0.001789</v>
      </c>
      <c r="X64" s="52">
        <v>0.563708</v>
      </c>
      <c r="Y64" s="52">
        <v>0</v>
      </c>
      <c r="Z64" s="52">
        <v>0</v>
      </c>
      <c r="AA64" s="82">
        <v>64</v>
      </c>
      <c r="AB64" s="82"/>
      <c r="AC64" s="92"/>
      <c r="AD64" s="85" t="s">
        <v>365</v>
      </c>
      <c r="AE64" s="85" t="s">
        <v>458</v>
      </c>
      <c r="AF64" s="85" t="s">
        <v>550</v>
      </c>
      <c r="AG64" s="85" t="s">
        <v>607</v>
      </c>
      <c r="AH64" s="85" t="s">
        <v>694</v>
      </c>
      <c r="AI64" s="85">
        <v>3675098</v>
      </c>
      <c r="AJ64" s="85">
        <v>1673</v>
      </c>
      <c r="AK64" s="85">
        <v>43046</v>
      </c>
      <c r="AL64" s="85">
        <v>1962</v>
      </c>
      <c r="AM64" s="85" t="s">
        <v>730</v>
      </c>
      <c r="AN64" s="108" t="str">
        <f>HYPERLINK("https://www.youtube.com/watch?v=u0o6alqvTDY")</f>
        <v>https://www.youtube.com/watch?v=u0o6alqvTDY</v>
      </c>
      <c r="AO64" s="85" t="str">
        <f>REPLACE(INDEX(GroupVertices[Group],MATCH(Vertices[[#This Row],[Vertex]],GroupVertices[Vertex],0)),1,1,"")</f>
        <v>3</v>
      </c>
      <c r="AP64" s="51">
        <v>2</v>
      </c>
      <c r="AQ64" s="52">
        <v>3.7735849056603774</v>
      </c>
      <c r="AR64" s="51">
        <v>1</v>
      </c>
      <c r="AS64" s="52">
        <v>1.8867924528301887</v>
      </c>
      <c r="AT64" s="51">
        <v>0</v>
      </c>
      <c r="AU64" s="52">
        <v>0</v>
      </c>
      <c r="AV64" s="51">
        <v>50</v>
      </c>
      <c r="AW64" s="52">
        <v>94.33962264150944</v>
      </c>
      <c r="AX64" s="51">
        <v>53</v>
      </c>
      <c r="AY64" s="51"/>
      <c r="AZ64" s="51"/>
      <c r="BA64" s="51"/>
      <c r="BB64" s="51"/>
      <c r="BC64" s="2"/>
      <c r="BD64" s="3"/>
      <c r="BE64" s="3"/>
      <c r="BF64" s="3"/>
      <c r="BG64" s="3"/>
    </row>
    <row r="65" spans="1:59" ht="15">
      <c r="A65" s="14" t="s">
        <v>261</v>
      </c>
      <c r="B65" s="15"/>
      <c r="C65" s="15"/>
      <c r="D65" s="87">
        <v>185.82182457346005</v>
      </c>
      <c r="E65" s="81"/>
      <c r="F65" s="109" t="str">
        <f>HYPERLINK("https://i.ytimg.com/vi/Fc0Nq1TzfPw/default.jpg")</f>
        <v>https://i.ytimg.com/vi/Fc0Nq1TzfPw/default.jpg</v>
      </c>
      <c r="G65" s="15"/>
      <c r="H65" s="16" t="s">
        <v>366</v>
      </c>
      <c r="I65" s="66"/>
      <c r="J65" s="66" t="s">
        <v>159</v>
      </c>
      <c r="K65" s="106" t="s">
        <v>366</v>
      </c>
      <c r="L65" s="88">
        <v>2500.5</v>
      </c>
      <c r="M65" s="89">
        <v>2076.581787109375</v>
      </c>
      <c r="N65" s="89">
        <v>208.57737731933594</v>
      </c>
      <c r="O65" s="77"/>
      <c r="P65" s="90"/>
      <c r="Q65" s="90"/>
      <c r="R65" s="91"/>
      <c r="S65" s="51">
        <v>1</v>
      </c>
      <c r="T65" s="51">
        <v>0</v>
      </c>
      <c r="U65" s="52">
        <v>0</v>
      </c>
      <c r="V65" s="52">
        <v>0.003356</v>
      </c>
      <c r="W65" s="52">
        <v>0.001789</v>
      </c>
      <c r="X65" s="52">
        <v>0.563708</v>
      </c>
      <c r="Y65" s="52">
        <v>0</v>
      </c>
      <c r="Z65" s="52">
        <v>0</v>
      </c>
      <c r="AA65" s="82">
        <v>65</v>
      </c>
      <c r="AB65" s="82"/>
      <c r="AC65" s="92"/>
      <c r="AD65" s="85" t="s">
        <v>366</v>
      </c>
      <c r="AE65" s="85" t="s">
        <v>459</v>
      </c>
      <c r="AF65" s="85" t="s">
        <v>551</v>
      </c>
      <c r="AG65" s="85" t="s">
        <v>619</v>
      </c>
      <c r="AH65" s="85" t="s">
        <v>695</v>
      </c>
      <c r="AI65" s="85">
        <v>1970129</v>
      </c>
      <c r="AJ65" s="85">
        <v>7703</v>
      </c>
      <c r="AK65" s="85">
        <v>44471</v>
      </c>
      <c r="AL65" s="85">
        <v>1680</v>
      </c>
      <c r="AM65" s="85" t="s">
        <v>730</v>
      </c>
      <c r="AN65" s="108" t="str">
        <f>HYPERLINK("https://www.youtube.com/watch?v=Fc0Nq1TzfPw")</f>
        <v>https://www.youtube.com/watch?v=Fc0Nq1TzfPw</v>
      </c>
      <c r="AO65" s="85" t="str">
        <f>REPLACE(INDEX(GroupVertices[Group],MATCH(Vertices[[#This Row],[Vertex]],GroupVertices[Vertex],0)),1,1,"")</f>
        <v>3</v>
      </c>
      <c r="AP65" s="51">
        <v>1</v>
      </c>
      <c r="AQ65" s="52">
        <v>1.3333333333333333</v>
      </c>
      <c r="AR65" s="51">
        <v>5</v>
      </c>
      <c r="AS65" s="52">
        <v>6.666666666666667</v>
      </c>
      <c r="AT65" s="51">
        <v>0</v>
      </c>
      <c r="AU65" s="52">
        <v>0</v>
      </c>
      <c r="AV65" s="51">
        <v>69</v>
      </c>
      <c r="AW65" s="52">
        <v>92</v>
      </c>
      <c r="AX65" s="51">
        <v>75</v>
      </c>
      <c r="AY65" s="51"/>
      <c r="AZ65" s="51"/>
      <c r="BA65" s="51"/>
      <c r="BB65" s="51"/>
      <c r="BC65" s="2"/>
      <c r="BD65" s="3"/>
      <c r="BE65" s="3"/>
      <c r="BF65" s="3"/>
      <c r="BG65" s="3"/>
    </row>
    <row r="66" spans="1:59" ht="15">
      <c r="A66" s="14" t="s">
        <v>262</v>
      </c>
      <c r="B66" s="15"/>
      <c r="C66" s="15"/>
      <c r="D66" s="87">
        <v>173.27399753430916</v>
      </c>
      <c r="E66" s="81"/>
      <c r="F66" s="109" t="str">
        <f>HYPERLINK("https://i.ytimg.com/vi/gLko3Xq0DhE/default.jpg")</f>
        <v>https://i.ytimg.com/vi/gLko3Xq0DhE/default.jpg</v>
      </c>
      <c r="G66" s="15"/>
      <c r="H66" s="16" t="s">
        <v>367</v>
      </c>
      <c r="I66" s="66"/>
      <c r="J66" s="66" t="s">
        <v>159</v>
      </c>
      <c r="K66" s="106" t="s">
        <v>367</v>
      </c>
      <c r="L66" s="88">
        <v>2500.5</v>
      </c>
      <c r="M66" s="89">
        <v>1154.8267822265625</v>
      </c>
      <c r="N66" s="89">
        <v>200.55804443359375</v>
      </c>
      <c r="O66" s="77"/>
      <c r="P66" s="90"/>
      <c r="Q66" s="90"/>
      <c r="R66" s="91"/>
      <c r="S66" s="51">
        <v>1</v>
      </c>
      <c r="T66" s="51">
        <v>0</v>
      </c>
      <c r="U66" s="52">
        <v>0</v>
      </c>
      <c r="V66" s="52">
        <v>0.003356</v>
      </c>
      <c r="W66" s="52">
        <v>0.001789</v>
      </c>
      <c r="X66" s="52">
        <v>0.563708</v>
      </c>
      <c r="Y66" s="52">
        <v>0</v>
      </c>
      <c r="Z66" s="52">
        <v>0</v>
      </c>
      <c r="AA66" s="82">
        <v>66</v>
      </c>
      <c r="AB66" s="82"/>
      <c r="AC66" s="92"/>
      <c r="AD66" s="85" t="s">
        <v>367</v>
      </c>
      <c r="AE66" s="85" t="s">
        <v>460</v>
      </c>
      <c r="AF66" s="85" t="s">
        <v>552</v>
      </c>
      <c r="AG66" s="85" t="s">
        <v>607</v>
      </c>
      <c r="AH66" s="85" t="s">
        <v>696</v>
      </c>
      <c r="AI66" s="85">
        <v>1738957</v>
      </c>
      <c r="AJ66" s="85">
        <v>342</v>
      </c>
      <c r="AK66" s="85">
        <v>12351</v>
      </c>
      <c r="AL66" s="85">
        <v>493</v>
      </c>
      <c r="AM66" s="85" t="s">
        <v>730</v>
      </c>
      <c r="AN66" s="108" t="str">
        <f>HYPERLINK("https://www.youtube.com/watch?v=gLko3Xq0DhE")</f>
        <v>https://www.youtube.com/watch?v=gLko3Xq0DhE</v>
      </c>
      <c r="AO66" s="85" t="str">
        <f>REPLACE(INDEX(GroupVertices[Group],MATCH(Vertices[[#This Row],[Vertex]],GroupVertices[Vertex],0)),1,1,"")</f>
        <v>3</v>
      </c>
      <c r="AP66" s="51">
        <v>4</v>
      </c>
      <c r="AQ66" s="52">
        <v>5.633802816901408</v>
      </c>
      <c r="AR66" s="51">
        <v>3</v>
      </c>
      <c r="AS66" s="52">
        <v>4.225352112676056</v>
      </c>
      <c r="AT66" s="51">
        <v>0</v>
      </c>
      <c r="AU66" s="52">
        <v>0</v>
      </c>
      <c r="AV66" s="51">
        <v>64</v>
      </c>
      <c r="AW66" s="52">
        <v>90.14084507042253</v>
      </c>
      <c r="AX66" s="51">
        <v>71</v>
      </c>
      <c r="AY66" s="51"/>
      <c r="AZ66" s="51"/>
      <c r="BA66" s="51"/>
      <c r="BB66" s="51"/>
      <c r="BC66" s="2"/>
      <c r="BD66" s="3"/>
      <c r="BE66" s="3"/>
      <c r="BF66" s="3"/>
      <c r="BG66" s="3"/>
    </row>
    <row r="67" spans="1:59" ht="15">
      <c r="A67" s="14" t="s">
        <v>263</v>
      </c>
      <c r="B67" s="15"/>
      <c r="C67" s="15"/>
      <c r="D67" s="87">
        <v>272.475118895008</v>
      </c>
      <c r="E67" s="81"/>
      <c r="F67" s="109" t="str">
        <f>HYPERLINK("https://i.ytimg.com/vi/AcrYY-5PdgE/default.jpg")</f>
        <v>https://i.ytimg.com/vi/AcrYY-5PdgE/default.jpg</v>
      </c>
      <c r="G67" s="15"/>
      <c r="H67" s="16" t="s">
        <v>368</v>
      </c>
      <c r="I67" s="66"/>
      <c r="J67" s="66" t="s">
        <v>159</v>
      </c>
      <c r="K67" s="106" t="s">
        <v>368</v>
      </c>
      <c r="L67" s="88">
        <v>2500.5</v>
      </c>
      <c r="M67" s="89">
        <v>2792.7177734375</v>
      </c>
      <c r="N67" s="89">
        <v>2964.343505859375</v>
      </c>
      <c r="O67" s="77"/>
      <c r="P67" s="90"/>
      <c r="Q67" s="90"/>
      <c r="R67" s="91"/>
      <c r="S67" s="51">
        <v>1</v>
      </c>
      <c r="T67" s="51">
        <v>0</v>
      </c>
      <c r="U67" s="52">
        <v>0</v>
      </c>
      <c r="V67" s="52">
        <v>0.003356</v>
      </c>
      <c r="W67" s="52">
        <v>0.001789</v>
      </c>
      <c r="X67" s="52">
        <v>0.563708</v>
      </c>
      <c r="Y67" s="52">
        <v>0</v>
      </c>
      <c r="Z67" s="52">
        <v>0</v>
      </c>
      <c r="AA67" s="82">
        <v>67</v>
      </c>
      <c r="AB67" s="82"/>
      <c r="AC67" s="92"/>
      <c r="AD67" s="85" t="s">
        <v>368</v>
      </c>
      <c r="AE67" s="85" t="s">
        <v>461</v>
      </c>
      <c r="AF67" s="85" t="s">
        <v>553</v>
      </c>
      <c r="AG67" s="85" t="s">
        <v>619</v>
      </c>
      <c r="AH67" s="85" t="s">
        <v>697</v>
      </c>
      <c r="AI67" s="85">
        <v>3566566</v>
      </c>
      <c r="AJ67" s="85">
        <v>4386</v>
      </c>
      <c r="AK67" s="85">
        <v>32022</v>
      </c>
      <c r="AL67" s="85">
        <v>1445</v>
      </c>
      <c r="AM67" s="85" t="s">
        <v>730</v>
      </c>
      <c r="AN67" s="108" t="str">
        <f>HYPERLINK("https://www.youtube.com/watch?v=AcrYY-5PdgE")</f>
        <v>https://www.youtube.com/watch?v=AcrYY-5PdgE</v>
      </c>
      <c r="AO67" s="85" t="str">
        <f>REPLACE(INDEX(GroupVertices[Group],MATCH(Vertices[[#This Row],[Vertex]],GroupVertices[Vertex],0)),1,1,"")</f>
        <v>3</v>
      </c>
      <c r="AP67" s="51">
        <v>1</v>
      </c>
      <c r="AQ67" s="52">
        <v>1.8867924528301887</v>
      </c>
      <c r="AR67" s="51">
        <v>3</v>
      </c>
      <c r="AS67" s="52">
        <v>5.660377358490566</v>
      </c>
      <c r="AT67" s="51">
        <v>0</v>
      </c>
      <c r="AU67" s="52">
        <v>0</v>
      </c>
      <c r="AV67" s="51">
        <v>49</v>
      </c>
      <c r="AW67" s="52">
        <v>92.45283018867924</v>
      </c>
      <c r="AX67" s="51">
        <v>53</v>
      </c>
      <c r="AY67" s="51"/>
      <c r="AZ67" s="51"/>
      <c r="BA67" s="51"/>
      <c r="BB67" s="51"/>
      <c r="BC67" s="2"/>
      <c r="BD67" s="3"/>
      <c r="BE67" s="3"/>
      <c r="BF67" s="3"/>
      <c r="BG67" s="3"/>
    </row>
    <row r="68" spans="1:59" ht="15">
      <c r="A68" s="14" t="s">
        <v>264</v>
      </c>
      <c r="B68" s="15"/>
      <c r="C68" s="15"/>
      <c r="D68" s="87">
        <v>255.8579815885015</v>
      </c>
      <c r="E68" s="81"/>
      <c r="F68" s="109" t="str">
        <f>HYPERLINK("https://i.ytimg.com/vi/_4Sk1R2RxvY/default.jpg")</f>
        <v>https://i.ytimg.com/vi/_4Sk1R2RxvY/default.jpg</v>
      </c>
      <c r="G68" s="15"/>
      <c r="H68" s="16" t="s">
        <v>369</v>
      </c>
      <c r="I68" s="66"/>
      <c r="J68" s="66" t="s">
        <v>159</v>
      </c>
      <c r="K68" s="106" t="s">
        <v>369</v>
      </c>
      <c r="L68" s="88">
        <v>2500.5</v>
      </c>
      <c r="M68" s="89">
        <v>2040.077392578125</v>
      </c>
      <c r="N68" s="89">
        <v>3612.35546875</v>
      </c>
      <c r="O68" s="77"/>
      <c r="P68" s="90"/>
      <c r="Q68" s="90"/>
      <c r="R68" s="91"/>
      <c r="S68" s="51">
        <v>1</v>
      </c>
      <c r="T68" s="51">
        <v>0</v>
      </c>
      <c r="U68" s="52">
        <v>0</v>
      </c>
      <c r="V68" s="52">
        <v>0.003356</v>
      </c>
      <c r="W68" s="52">
        <v>0.001789</v>
      </c>
      <c r="X68" s="52">
        <v>0.563708</v>
      </c>
      <c r="Y68" s="52">
        <v>0</v>
      </c>
      <c r="Z68" s="52">
        <v>0</v>
      </c>
      <c r="AA68" s="82">
        <v>68</v>
      </c>
      <c r="AB68" s="82"/>
      <c r="AC68" s="92"/>
      <c r="AD68" s="85" t="s">
        <v>369</v>
      </c>
      <c r="AE68" s="85" t="s">
        <v>462</v>
      </c>
      <c r="AF68" s="85" t="s">
        <v>554</v>
      </c>
      <c r="AG68" s="85" t="s">
        <v>607</v>
      </c>
      <c r="AH68" s="85" t="s">
        <v>698</v>
      </c>
      <c r="AI68" s="85">
        <v>3260424</v>
      </c>
      <c r="AJ68" s="85">
        <v>1763</v>
      </c>
      <c r="AK68" s="85">
        <v>29694</v>
      </c>
      <c r="AL68" s="85">
        <v>1900</v>
      </c>
      <c r="AM68" s="85" t="s">
        <v>730</v>
      </c>
      <c r="AN68" s="108" t="str">
        <f>HYPERLINK("https://www.youtube.com/watch?v=_4Sk1R2RxvY")</f>
        <v>https://www.youtube.com/watch?v=_4Sk1R2RxvY</v>
      </c>
      <c r="AO68" s="85" t="str">
        <f>REPLACE(INDEX(GroupVertices[Group],MATCH(Vertices[[#This Row],[Vertex]],GroupVertices[Vertex],0)),1,1,"")</f>
        <v>3</v>
      </c>
      <c r="AP68" s="51">
        <v>1</v>
      </c>
      <c r="AQ68" s="52">
        <v>1.8181818181818181</v>
      </c>
      <c r="AR68" s="51">
        <v>2</v>
      </c>
      <c r="AS68" s="52">
        <v>3.6363636363636362</v>
      </c>
      <c r="AT68" s="51">
        <v>0</v>
      </c>
      <c r="AU68" s="52">
        <v>0</v>
      </c>
      <c r="AV68" s="51">
        <v>52</v>
      </c>
      <c r="AW68" s="52">
        <v>94.54545454545455</v>
      </c>
      <c r="AX68" s="51">
        <v>55</v>
      </c>
      <c r="AY68" s="51"/>
      <c r="AZ68" s="51"/>
      <c r="BA68" s="51"/>
      <c r="BB68" s="51"/>
      <c r="BC68" s="2"/>
      <c r="BD68" s="3"/>
      <c r="BE68" s="3"/>
      <c r="BF68" s="3"/>
      <c r="BG68" s="3"/>
    </row>
    <row r="69" spans="1:59" ht="15">
      <c r="A69" s="14" t="s">
        <v>265</v>
      </c>
      <c r="B69" s="15"/>
      <c r="C69" s="15"/>
      <c r="D69" s="87">
        <v>267.46292495879504</v>
      </c>
      <c r="E69" s="81"/>
      <c r="F69" s="109" t="str">
        <f>HYPERLINK("https://i.ytimg.com/vi/8EQAwrDwE6Y/default.jpg")</f>
        <v>https://i.ytimg.com/vi/8EQAwrDwE6Y/default.jpg</v>
      </c>
      <c r="G69" s="15"/>
      <c r="H69" s="16" t="s">
        <v>370</v>
      </c>
      <c r="I69" s="66"/>
      <c r="J69" s="66" t="s">
        <v>159</v>
      </c>
      <c r="K69" s="106" t="s">
        <v>370</v>
      </c>
      <c r="L69" s="88">
        <v>2500.5</v>
      </c>
      <c r="M69" s="89">
        <v>3088.863037109375</v>
      </c>
      <c r="N69" s="89">
        <v>1901.527587890625</v>
      </c>
      <c r="O69" s="77"/>
      <c r="P69" s="90"/>
      <c r="Q69" s="90"/>
      <c r="R69" s="91"/>
      <c r="S69" s="51">
        <v>1</v>
      </c>
      <c r="T69" s="51">
        <v>0</v>
      </c>
      <c r="U69" s="52">
        <v>0</v>
      </c>
      <c r="V69" s="52">
        <v>0.003356</v>
      </c>
      <c r="W69" s="52">
        <v>0.001789</v>
      </c>
      <c r="X69" s="52">
        <v>0.563708</v>
      </c>
      <c r="Y69" s="52">
        <v>0</v>
      </c>
      <c r="Z69" s="52">
        <v>0</v>
      </c>
      <c r="AA69" s="82">
        <v>69</v>
      </c>
      <c r="AB69" s="82"/>
      <c r="AC69" s="92"/>
      <c r="AD69" s="85" t="s">
        <v>370</v>
      </c>
      <c r="AE69" s="85" t="s">
        <v>463</v>
      </c>
      <c r="AF69" s="85" t="s">
        <v>555</v>
      </c>
      <c r="AG69" s="85" t="s">
        <v>607</v>
      </c>
      <c r="AH69" s="85" t="s">
        <v>699</v>
      </c>
      <c r="AI69" s="85">
        <v>3474225</v>
      </c>
      <c r="AJ69" s="85">
        <v>1682</v>
      </c>
      <c r="AK69" s="85">
        <v>32885</v>
      </c>
      <c r="AL69" s="85">
        <v>1364</v>
      </c>
      <c r="AM69" s="85" t="s">
        <v>730</v>
      </c>
      <c r="AN69" s="108" t="str">
        <f>HYPERLINK("https://www.youtube.com/watch?v=8EQAwrDwE6Y")</f>
        <v>https://www.youtube.com/watch?v=8EQAwrDwE6Y</v>
      </c>
      <c r="AO69" s="85" t="str">
        <f>REPLACE(INDEX(GroupVertices[Group],MATCH(Vertices[[#This Row],[Vertex]],GroupVertices[Vertex],0)),1,1,"")</f>
        <v>3</v>
      </c>
      <c r="AP69" s="51">
        <v>3</v>
      </c>
      <c r="AQ69" s="52">
        <v>5</v>
      </c>
      <c r="AR69" s="51">
        <v>3</v>
      </c>
      <c r="AS69" s="52">
        <v>5</v>
      </c>
      <c r="AT69" s="51">
        <v>0</v>
      </c>
      <c r="AU69" s="52">
        <v>0</v>
      </c>
      <c r="AV69" s="51">
        <v>54</v>
      </c>
      <c r="AW69" s="52">
        <v>90</v>
      </c>
      <c r="AX69" s="51">
        <v>60</v>
      </c>
      <c r="AY69" s="51"/>
      <c r="AZ69" s="51"/>
      <c r="BA69" s="51"/>
      <c r="BB69" s="51"/>
      <c r="BC69" s="2"/>
      <c r="BD69" s="3"/>
      <c r="BE69" s="3"/>
      <c r="BF69" s="3"/>
      <c r="BG69" s="3"/>
    </row>
    <row r="70" spans="1:59" ht="15">
      <c r="A70" s="14" t="s">
        <v>266</v>
      </c>
      <c r="B70" s="15"/>
      <c r="C70" s="15"/>
      <c r="D70" s="87">
        <v>266.7046447875938</v>
      </c>
      <c r="E70" s="81"/>
      <c r="F70" s="109" t="str">
        <f>HYPERLINK("https://i.ytimg.com/vi/aQHI8p_uez8/default.jpg")</f>
        <v>https://i.ytimg.com/vi/aQHI8p_uez8/default.jpg</v>
      </c>
      <c r="G70" s="15"/>
      <c r="H70" s="16" t="s">
        <v>371</v>
      </c>
      <c r="I70" s="66"/>
      <c r="J70" s="66" t="s">
        <v>159</v>
      </c>
      <c r="K70" s="106" t="s">
        <v>371</v>
      </c>
      <c r="L70" s="88">
        <v>2500.5</v>
      </c>
      <c r="M70" s="89">
        <v>212.13377380371094</v>
      </c>
      <c r="N70" s="89">
        <v>1854.888916015625</v>
      </c>
      <c r="O70" s="77"/>
      <c r="P70" s="90"/>
      <c r="Q70" s="90"/>
      <c r="R70" s="91"/>
      <c r="S70" s="51">
        <v>1</v>
      </c>
      <c r="T70" s="51">
        <v>0</v>
      </c>
      <c r="U70" s="52">
        <v>0</v>
      </c>
      <c r="V70" s="52">
        <v>0.003356</v>
      </c>
      <c r="W70" s="52">
        <v>0.001789</v>
      </c>
      <c r="X70" s="52">
        <v>0.563708</v>
      </c>
      <c r="Y70" s="52">
        <v>0</v>
      </c>
      <c r="Z70" s="52">
        <v>0</v>
      </c>
      <c r="AA70" s="82">
        <v>70</v>
      </c>
      <c r="AB70" s="82"/>
      <c r="AC70" s="92"/>
      <c r="AD70" s="85" t="s">
        <v>371</v>
      </c>
      <c r="AE70" s="85" t="s">
        <v>464</v>
      </c>
      <c r="AF70" s="85" t="s">
        <v>556</v>
      </c>
      <c r="AG70" s="85" t="s">
        <v>607</v>
      </c>
      <c r="AH70" s="85" t="s">
        <v>700</v>
      </c>
      <c r="AI70" s="85">
        <v>3460255</v>
      </c>
      <c r="AJ70" s="85">
        <v>1281</v>
      </c>
      <c r="AK70" s="85">
        <v>22180</v>
      </c>
      <c r="AL70" s="85">
        <v>1549</v>
      </c>
      <c r="AM70" s="85" t="s">
        <v>730</v>
      </c>
      <c r="AN70" s="108" t="str">
        <f>HYPERLINK("https://www.youtube.com/watch?v=aQHI8p_uez8")</f>
        <v>https://www.youtube.com/watch?v=aQHI8p_uez8</v>
      </c>
      <c r="AO70" s="85" t="str">
        <f>REPLACE(INDEX(GroupVertices[Group],MATCH(Vertices[[#This Row],[Vertex]],GroupVertices[Vertex],0)),1,1,"")</f>
        <v>3</v>
      </c>
      <c r="AP70" s="51">
        <v>1</v>
      </c>
      <c r="AQ70" s="52">
        <v>1.7543859649122806</v>
      </c>
      <c r="AR70" s="51">
        <v>2</v>
      </c>
      <c r="AS70" s="52">
        <v>3.508771929824561</v>
      </c>
      <c r="AT70" s="51">
        <v>0</v>
      </c>
      <c r="AU70" s="52">
        <v>0</v>
      </c>
      <c r="AV70" s="51">
        <v>54</v>
      </c>
      <c r="AW70" s="52">
        <v>94.73684210526316</v>
      </c>
      <c r="AX70" s="51">
        <v>57</v>
      </c>
      <c r="AY70" s="51"/>
      <c r="AZ70" s="51"/>
      <c r="BA70" s="51"/>
      <c r="BB70" s="51"/>
      <c r="BC70" s="2"/>
      <c r="BD70" s="3"/>
      <c r="BE70" s="3"/>
      <c r="BF70" s="3"/>
      <c r="BG70" s="3"/>
    </row>
    <row r="71" spans="1:59" ht="15">
      <c r="A71" s="14" t="s">
        <v>204</v>
      </c>
      <c r="B71" s="15"/>
      <c r="C71" s="15"/>
      <c r="D71" s="87">
        <v>202.03403918296144</v>
      </c>
      <c r="E71" s="81"/>
      <c r="F71" s="109" t="str">
        <f>HYPERLINK("https://i.ytimg.com/vi/4YGyj_KHnOE/default.jpg")</f>
        <v>https://i.ytimg.com/vi/4YGyj_KHnOE/default.jpg</v>
      </c>
      <c r="G71" s="15"/>
      <c r="H71" s="16" t="s">
        <v>372</v>
      </c>
      <c r="I71" s="66"/>
      <c r="J71" s="66" t="s">
        <v>159</v>
      </c>
      <c r="K71" s="106" t="s">
        <v>372</v>
      </c>
      <c r="L71" s="88">
        <v>1</v>
      </c>
      <c r="M71" s="89">
        <v>4925.177734375</v>
      </c>
      <c r="N71" s="89">
        <v>8358.8115234375</v>
      </c>
      <c r="O71" s="77"/>
      <c r="P71" s="90"/>
      <c r="Q71" s="90"/>
      <c r="R71" s="91"/>
      <c r="S71" s="51">
        <v>0</v>
      </c>
      <c r="T71" s="51">
        <v>10</v>
      </c>
      <c r="U71" s="52">
        <v>90</v>
      </c>
      <c r="V71" s="52">
        <v>0.1</v>
      </c>
      <c r="W71" s="52">
        <v>0</v>
      </c>
      <c r="X71" s="52">
        <v>5.135106</v>
      </c>
      <c r="Y71" s="52">
        <v>0</v>
      </c>
      <c r="Z71" s="52">
        <v>0</v>
      </c>
      <c r="AA71" s="82">
        <v>71</v>
      </c>
      <c r="AB71" s="82"/>
      <c r="AC71" s="92"/>
      <c r="AD71" s="85" t="s">
        <v>372</v>
      </c>
      <c r="AE71" s="85" t="s">
        <v>465</v>
      </c>
      <c r="AF71" s="85" t="s">
        <v>557</v>
      </c>
      <c r="AG71" s="85" t="s">
        <v>620</v>
      </c>
      <c r="AH71" s="85" t="s">
        <v>701</v>
      </c>
      <c r="AI71" s="85">
        <v>2268811</v>
      </c>
      <c r="AJ71" s="85">
        <v>7161</v>
      </c>
      <c r="AK71" s="85">
        <v>23953</v>
      </c>
      <c r="AL71" s="85">
        <v>11183</v>
      </c>
      <c r="AM71" s="85" t="s">
        <v>730</v>
      </c>
      <c r="AN71" s="108" t="str">
        <f>HYPERLINK("https://www.youtube.com/watch?v=4YGyj_KHnOE")</f>
        <v>https://www.youtube.com/watch?v=4YGyj_KHnOE</v>
      </c>
      <c r="AO71" s="85" t="str">
        <f>REPLACE(INDEX(GroupVertices[Group],MATCH(Vertices[[#This Row],[Vertex]],GroupVertices[Vertex],0)),1,1,"")</f>
        <v>2</v>
      </c>
      <c r="AP71" s="51">
        <v>2</v>
      </c>
      <c r="AQ71" s="52">
        <v>3.0303030303030303</v>
      </c>
      <c r="AR71" s="51">
        <v>3</v>
      </c>
      <c r="AS71" s="52">
        <v>4.545454545454546</v>
      </c>
      <c r="AT71" s="51">
        <v>0</v>
      </c>
      <c r="AU71" s="52">
        <v>0</v>
      </c>
      <c r="AV71" s="51">
        <v>61</v>
      </c>
      <c r="AW71" s="52">
        <v>92.42424242424242</v>
      </c>
      <c r="AX71" s="51">
        <v>66</v>
      </c>
      <c r="AY71" s="130" t="s">
        <v>1354</v>
      </c>
      <c r="AZ71" s="130" t="s">
        <v>1354</v>
      </c>
      <c r="BA71" s="130" t="s">
        <v>1354</v>
      </c>
      <c r="BB71" s="130" t="s">
        <v>1354</v>
      </c>
      <c r="BC71" s="2"/>
      <c r="BD71" s="3"/>
      <c r="BE71" s="3"/>
      <c r="BF71" s="3"/>
      <c r="BG71" s="3"/>
    </row>
    <row r="72" spans="1:59" ht="15">
      <c r="A72" s="14" t="s">
        <v>267</v>
      </c>
      <c r="B72" s="15"/>
      <c r="C72" s="15"/>
      <c r="D72" s="87">
        <v>255.01377747234594</v>
      </c>
      <c r="E72" s="81"/>
      <c r="F72" s="109" t="str">
        <f>HYPERLINK("https://i.ytimg.com/vi/YK8gYBo54uA/default.jpg")</f>
        <v>https://i.ytimg.com/vi/YK8gYBo54uA/default.jpg</v>
      </c>
      <c r="G72" s="15"/>
      <c r="H72" s="16" t="s">
        <v>373</v>
      </c>
      <c r="I72" s="66"/>
      <c r="J72" s="66" t="s">
        <v>159</v>
      </c>
      <c r="K72" s="106" t="s">
        <v>373</v>
      </c>
      <c r="L72" s="88">
        <v>2500.5</v>
      </c>
      <c r="M72" s="89">
        <v>5778.146484375</v>
      </c>
      <c r="N72" s="89">
        <v>7039.97998046875</v>
      </c>
      <c r="O72" s="77"/>
      <c r="P72" s="90"/>
      <c r="Q72" s="90"/>
      <c r="R72" s="91"/>
      <c r="S72" s="51">
        <v>1</v>
      </c>
      <c r="T72" s="51">
        <v>0</v>
      </c>
      <c r="U72" s="52">
        <v>0</v>
      </c>
      <c r="V72" s="52">
        <v>0.052632</v>
      </c>
      <c r="W72" s="52">
        <v>0</v>
      </c>
      <c r="X72" s="52">
        <v>0.586484</v>
      </c>
      <c r="Y72" s="52">
        <v>0</v>
      </c>
      <c r="Z72" s="52">
        <v>0</v>
      </c>
      <c r="AA72" s="82">
        <v>72</v>
      </c>
      <c r="AB72" s="82"/>
      <c r="AC72" s="92"/>
      <c r="AD72" s="85" t="s">
        <v>373</v>
      </c>
      <c r="AE72" s="85" t="s">
        <v>466</v>
      </c>
      <c r="AF72" s="85" t="s">
        <v>558</v>
      </c>
      <c r="AG72" s="85" t="s">
        <v>620</v>
      </c>
      <c r="AH72" s="85" t="s">
        <v>702</v>
      </c>
      <c r="AI72" s="85">
        <v>3244871</v>
      </c>
      <c r="AJ72" s="85">
        <v>4409</v>
      </c>
      <c r="AK72" s="85">
        <v>45196</v>
      </c>
      <c r="AL72" s="85">
        <v>1172</v>
      </c>
      <c r="AM72" s="85" t="s">
        <v>730</v>
      </c>
      <c r="AN72" s="108" t="str">
        <f>HYPERLINK("https://www.youtube.com/watch?v=YK8gYBo54uA")</f>
        <v>https://www.youtube.com/watch?v=YK8gYBo54uA</v>
      </c>
      <c r="AO72" s="85" t="str">
        <f>REPLACE(INDEX(GroupVertices[Group],MATCH(Vertices[[#This Row],[Vertex]],GroupVertices[Vertex],0)),1,1,"")</f>
        <v>2</v>
      </c>
      <c r="AP72" s="51">
        <v>0</v>
      </c>
      <c r="AQ72" s="52">
        <v>0</v>
      </c>
      <c r="AR72" s="51">
        <v>5</v>
      </c>
      <c r="AS72" s="52">
        <v>8.064516129032258</v>
      </c>
      <c r="AT72" s="51">
        <v>0</v>
      </c>
      <c r="AU72" s="52">
        <v>0</v>
      </c>
      <c r="AV72" s="51">
        <v>57</v>
      </c>
      <c r="AW72" s="52">
        <v>91.93548387096774</v>
      </c>
      <c r="AX72" s="51">
        <v>62</v>
      </c>
      <c r="AY72" s="51"/>
      <c r="AZ72" s="51"/>
      <c r="BA72" s="51"/>
      <c r="BB72" s="51"/>
      <c r="BC72" s="2"/>
      <c r="BD72" s="3"/>
      <c r="BE72" s="3"/>
      <c r="BF72" s="3"/>
      <c r="BG72" s="3"/>
    </row>
    <row r="73" spans="1:59" ht="15">
      <c r="A73" s="14" t="s">
        <v>268</v>
      </c>
      <c r="B73" s="15"/>
      <c r="C73" s="15"/>
      <c r="D73" s="87">
        <v>319.9832442525426</v>
      </c>
      <c r="E73" s="81"/>
      <c r="F73" s="109" t="str">
        <f>HYPERLINK("https://i.ytimg.com/vi/AYep3LwjjW4/default.jpg")</f>
        <v>https://i.ytimg.com/vi/AYep3LwjjW4/default.jpg</v>
      </c>
      <c r="G73" s="15"/>
      <c r="H73" s="16" t="s">
        <v>374</v>
      </c>
      <c r="I73" s="66"/>
      <c r="J73" s="66" t="s">
        <v>159</v>
      </c>
      <c r="K73" s="106" t="s">
        <v>374</v>
      </c>
      <c r="L73" s="88">
        <v>2500.5</v>
      </c>
      <c r="M73" s="89">
        <v>4708.81884765625</v>
      </c>
      <c r="N73" s="89">
        <v>6863.4755859375</v>
      </c>
      <c r="O73" s="77"/>
      <c r="P73" s="90"/>
      <c r="Q73" s="90"/>
      <c r="R73" s="91"/>
      <c r="S73" s="51">
        <v>1</v>
      </c>
      <c r="T73" s="51">
        <v>0</v>
      </c>
      <c r="U73" s="52">
        <v>0</v>
      </c>
      <c r="V73" s="52">
        <v>0.052632</v>
      </c>
      <c r="W73" s="52">
        <v>0</v>
      </c>
      <c r="X73" s="52">
        <v>0.586484</v>
      </c>
      <c r="Y73" s="52">
        <v>0</v>
      </c>
      <c r="Z73" s="52">
        <v>0</v>
      </c>
      <c r="AA73" s="82">
        <v>73</v>
      </c>
      <c r="AB73" s="82"/>
      <c r="AC73" s="92"/>
      <c r="AD73" s="85" t="s">
        <v>374</v>
      </c>
      <c r="AE73" s="85" t="s">
        <v>467</v>
      </c>
      <c r="AF73" s="85" t="s">
        <v>559</v>
      </c>
      <c r="AG73" s="85" t="s">
        <v>620</v>
      </c>
      <c r="AH73" s="85" t="s">
        <v>703</v>
      </c>
      <c r="AI73" s="85">
        <v>4441821</v>
      </c>
      <c r="AJ73" s="85">
        <v>12303</v>
      </c>
      <c r="AK73" s="85">
        <v>90994</v>
      </c>
      <c r="AL73" s="85">
        <v>2718</v>
      </c>
      <c r="AM73" s="85" t="s">
        <v>730</v>
      </c>
      <c r="AN73" s="108" t="str">
        <f>HYPERLINK("https://www.youtube.com/watch?v=AYep3LwjjW4")</f>
        <v>https://www.youtube.com/watch?v=AYep3LwjjW4</v>
      </c>
      <c r="AO73" s="85" t="str">
        <f>REPLACE(INDEX(GroupVertices[Group],MATCH(Vertices[[#This Row],[Vertex]],GroupVertices[Vertex],0)),1,1,"")</f>
        <v>2</v>
      </c>
      <c r="AP73" s="51">
        <v>1</v>
      </c>
      <c r="AQ73" s="52">
        <v>1.5384615384615385</v>
      </c>
      <c r="AR73" s="51">
        <v>4</v>
      </c>
      <c r="AS73" s="52">
        <v>6.153846153846154</v>
      </c>
      <c r="AT73" s="51">
        <v>0</v>
      </c>
      <c r="AU73" s="52">
        <v>0</v>
      </c>
      <c r="AV73" s="51">
        <v>60</v>
      </c>
      <c r="AW73" s="52">
        <v>92.3076923076923</v>
      </c>
      <c r="AX73" s="51">
        <v>65</v>
      </c>
      <c r="AY73" s="51"/>
      <c r="AZ73" s="51"/>
      <c r="BA73" s="51"/>
      <c r="BB73" s="51"/>
      <c r="BC73" s="2"/>
      <c r="BD73" s="3"/>
      <c r="BE73" s="3"/>
      <c r="BF73" s="3"/>
      <c r="BG73" s="3"/>
    </row>
    <row r="74" spans="1:59" ht="15">
      <c r="A74" s="14" t="s">
        <v>269</v>
      </c>
      <c r="B74" s="15"/>
      <c r="C74" s="15"/>
      <c r="D74" s="87">
        <v>265.17017231516286</v>
      </c>
      <c r="E74" s="81"/>
      <c r="F74" s="109" t="str">
        <f>HYPERLINK("https://i.ytimg.com/vi/anDy97Q8qwI/default.jpg")</f>
        <v>https://i.ytimg.com/vi/anDy97Q8qwI/default.jpg</v>
      </c>
      <c r="G74" s="15"/>
      <c r="H74" s="16" t="s">
        <v>375</v>
      </c>
      <c r="I74" s="66"/>
      <c r="J74" s="66" t="s">
        <v>159</v>
      </c>
      <c r="K74" s="106" t="s">
        <v>375</v>
      </c>
      <c r="L74" s="88">
        <v>2500.5</v>
      </c>
      <c r="M74" s="89">
        <v>3195.009521484375</v>
      </c>
      <c r="N74" s="89">
        <v>8072.7080078125</v>
      </c>
      <c r="O74" s="77"/>
      <c r="P74" s="90"/>
      <c r="Q74" s="90"/>
      <c r="R74" s="91"/>
      <c r="S74" s="51">
        <v>1</v>
      </c>
      <c r="T74" s="51">
        <v>0</v>
      </c>
      <c r="U74" s="52">
        <v>0</v>
      </c>
      <c r="V74" s="52">
        <v>0.052632</v>
      </c>
      <c r="W74" s="52">
        <v>0</v>
      </c>
      <c r="X74" s="52">
        <v>0.586484</v>
      </c>
      <c r="Y74" s="52">
        <v>0</v>
      </c>
      <c r="Z74" s="52">
        <v>0</v>
      </c>
      <c r="AA74" s="82">
        <v>74</v>
      </c>
      <c r="AB74" s="82"/>
      <c r="AC74" s="92"/>
      <c r="AD74" s="85" t="s">
        <v>375</v>
      </c>
      <c r="AE74" s="85" t="s">
        <v>468</v>
      </c>
      <c r="AF74" s="85" t="s">
        <v>560</v>
      </c>
      <c r="AG74" s="85" t="s">
        <v>620</v>
      </c>
      <c r="AH74" s="85" t="s">
        <v>704</v>
      </c>
      <c r="AI74" s="85">
        <v>3431985</v>
      </c>
      <c r="AJ74" s="85">
        <v>9918</v>
      </c>
      <c r="AK74" s="85">
        <v>62129</v>
      </c>
      <c r="AL74" s="85">
        <v>4954</v>
      </c>
      <c r="AM74" s="85" t="s">
        <v>730</v>
      </c>
      <c r="AN74" s="108" t="str">
        <f>HYPERLINK("https://www.youtube.com/watch?v=anDy97Q8qwI")</f>
        <v>https://www.youtube.com/watch?v=anDy97Q8qwI</v>
      </c>
      <c r="AO74" s="85" t="str">
        <f>REPLACE(INDEX(GroupVertices[Group],MATCH(Vertices[[#This Row],[Vertex]],GroupVertices[Vertex],0)),1,1,"")</f>
        <v>2</v>
      </c>
      <c r="AP74" s="51">
        <v>0</v>
      </c>
      <c r="AQ74" s="52">
        <v>0</v>
      </c>
      <c r="AR74" s="51">
        <v>2</v>
      </c>
      <c r="AS74" s="52">
        <v>2.985074626865672</v>
      </c>
      <c r="AT74" s="51">
        <v>0</v>
      </c>
      <c r="AU74" s="52">
        <v>0</v>
      </c>
      <c r="AV74" s="51">
        <v>65</v>
      </c>
      <c r="AW74" s="52">
        <v>97.01492537313433</v>
      </c>
      <c r="AX74" s="51">
        <v>67</v>
      </c>
      <c r="AY74" s="51"/>
      <c r="AZ74" s="51"/>
      <c r="BA74" s="51"/>
      <c r="BB74" s="51"/>
      <c r="BC74" s="2"/>
      <c r="BD74" s="3"/>
      <c r="BE74" s="3"/>
      <c r="BF74" s="3"/>
      <c r="BG74" s="3"/>
    </row>
    <row r="75" spans="1:59" ht="15">
      <c r="A75" s="14" t="s">
        <v>270</v>
      </c>
      <c r="B75" s="15"/>
      <c r="C75" s="15"/>
      <c r="D75" s="87">
        <v>427.2295716758957</v>
      </c>
      <c r="E75" s="81"/>
      <c r="F75" s="109" t="str">
        <f>HYPERLINK("https://i.ytimg.com/vi/0xK1DJ691sE/default.jpg")</f>
        <v>https://i.ytimg.com/vi/0xK1DJ691sE/default.jpg</v>
      </c>
      <c r="G75" s="15"/>
      <c r="H75" s="16" t="s">
        <v>376</v>
      </c>
      <c r="I75" s="66"/>
      <c r="J75" s="66" t="s">
        <v>159</v>
      </c>
      <c r="K75" s="106" t="s">
        <v>376</v>
      </c>
      <c r="L75" s="88">
        <v>2500.5</v>
      </c>
      <c r="M75" s="89">
        <v>6655.38525390625</v>
      </c>
      <c r="N75" s="89">
        <v>8645.0029296875</v>
      </c>
      <c r="O75" s="77"/>
      <c r="P75" s="90"/>
      <c r="Q75" s="90"/>
      <c r="R75" s="91"/>
      <c r="S75" s="51">
        <v>1</v>
      </c>
      <c r="T75" s="51">
        <v>0</v>
      </c>
      <c r="U75" s="52">
        <v>0</v>
      </c>
      <c r="V75" s="52">
        <v>0.052632</v>
      </c>
      <c r="W75" s="52">
        <v>0</v>
      </c>
      <c r="X75" s="52">
        <v>0.586484</v>
      </c>
      <c r="Y75" s="52">
        <v>0</v>
      </c>
      <c r="Z75" s="52">
        <v>0</v>
      </c>
      <c r="AA75" s="82">
        <v>75</v>
      </c>
      <c r="AB75" s="82"/>
      <c r="AC75" s="92"/>
      <c r="AD75" s="85" t="s">
        <v>376</v>
      </c>
      <c r="AE75" s="85" t="s">
        <v>469</v>
      </c>
      <c r="AF75" s="85" t="s">
        <v>561</v>
      </c>
      <c r="AG75" s="85" t="s">
        <v>620</v>
      </c>
      <c r="AH75" s="85" t="s">
        <v>705</v>
      </c>
      <c r="AI75" s="85">
        <v>6417649</v>
      </c>
      <c r="AJ75" s="85">
        <v>6016</v>
      </c>
      <c r="AK75" s="85">
        <v>92069</v>
      </c>
      <c r="AL75" s="85">
        <v>3449</v>
      </c>
      <c r="AM75" s="85" t="s">
        <v>730</v>
      </c>
      <c r="AN75" s="108" t="str">
        <f>HYPERLINK("https://www.youtube.com/watch?v=0xK1DJ691sE")</f>
        <v>https://www.youtube.com/watch?v=0xK1DJ691sE</v>
      </c>
      <c r="AO75" s="85" t="str">
        <f>REPLACE(INDEX(GroupVertices[Group],MATCH(Vertices[[#This Row],[Vertex]],GroupVertices[Vertex],0)),1,1,"")</f>
        <v>2</v>
      </c>
      <c r="AP75" s="51">
        <v>0</v>
      </c>
      <c r="AQ75" s="52">
        <v>0</v>
      </c>
      <c r="AR75" s="51">
        <v>3</v>
      </c>
      <c r="AS75" s="52">
        <v>4.411764705882353</v>
      </c>
      <c r="AT75" s="51">
        <v>0</v>
      </c>
      <c r="AU75" s="52">
        <v>0</v>
      </c>
      <c r="AV75" s="51">
        <v>65</v>
      </c>
      <c r="AW75" s="52">
        <v>95.58823529411765</v>
      </c>
      <c r="AX75" s="51">
        <v>68</v>
      </c>
      <c r="AY75" s="51"/>
      <c r="AZ75" s="51"/>
      <c r="BA75" s="51"/>
      <c r="BB75" s="51"/>
      <c r="BC75" s="2"/>
      <c r="BD75" s="3"/>
      <c r="BE75" s="3"/>
      <c r="BF75" s="3"/>
      <c r="BG75" s="3"/>
    </row>
    <row r="76" spans="1:59" ht="15">
      <c r="A76" s="14" t="s">
        <v>271</v>
      </c>
      <c r="B76" s="15"/>
      <c r="C76" s="15"/>
      <c r="D76" s="87">
        <v>517.8366158865254</v>
      </c>
      <c r="E76" s="81"/>
      <c r="F76" s="109" t="str">
        <f>HYPERLINK("https://i.ytimg.com/vi/jCC8fPQOaxU/default.jpg")</f>
        <v>https://i.ytimg.com/vi/jCC8fPQOaxU/default.jpg</v>
      </c>
      <c r="G76" s="15"/>
      <c r="H76" s="16" t="s">
        <v>377</v>
      </c>
      <c r="I76" s="66"/>
      <c r="J76" s="66" t="s">
        <v>159</v>
      </c>
      <c r="K76" s="106" t="s">
        <v>377</v>
      </c>
      <c r="L76" s="88">
        <v>2500.5</v>
      </c>
      <c r="M76" s="89">
        <v>4072.35400390625</v>
      </c>
      <c r="N76" s="89">
        <v>9677.3984375</v>
      </c>
      <c r="O76" s="77"/>
      <c r="P76" s="90"/>
      <c r="Q76" s="90"/>
      <c r="R76" s="91"/>
      <c r="S76" s="51">
        <v>1</v>
      </c>
      <c r="T76" s="51">
        <v>0</v>
      </c>
      <c r="U76" s="52">
        <v>0</v>
      </c>
      <c r="V76" s="52">
        <v>0.052632</v>
      </c>
      <c r="W76" s="52">
        <v>0</v>
      </c>
      <c r="X76" s="52">
        <v>0.586484</v>
      </c>
      <c r="Y76" s="52">
        <v>0</v>
      </c>
      <c r="Z76" s="52">
        <v>0</v>
      </c>
      <c r="AA76" s="82">
        <v>76</v>
      </c>
      <c r="AB76" s="82"/>
      <c r="AC76" s="92"/>
      <c r="AD76" s="85" t="s">
        <v>377</v>
      </c>
      <c r="AE76" s="85" t="s">
        <v>470</v>
      </c>
      <c r="AF76" s="85"/>
      <c r="AG76" s="85" t="s">
        <v>621</v>
      </c>
      <c r="AH76" s="85" t="s">
        <v>706</v>
      </c>
      <c r="AI76" s="85">
        <v>8086927</v>
      </c>
      <c r="AJ76" s="85">
        <v>13935</v>
      </c>
      <c r="AK76" s="85">
        <v>137805</v>
      </c>
      <c r="AL76" s="85">
        <v>4392</v>
      </c>
      <c r="AM76" s="85" t="s">
        <v>730</v>
      </c>
      <c r="AN76" s="108" t="str">
        <f>HYPERLINK("https://www.youtube.com/watch?v=jCC8fPQOaxU")</f>
        <v>https://www.youtube.com/watch?v=jCC8fPQOaxU</v>
      </c>
      <c r="AO76" s="85" t="str">
        <f>REPLACE(INDEX(GroupVertices[Group],MATCH(Vertices[[#This Row],[Vertex]],GroupVertices[Vertex],0)),1,1,"")</f>
        <v>2</v>
      </c>
      <c r="AP76" s="51"/>
      <c r="AQ76" s="52"/>
      <c r="AR76" s="51"/>
      <c r="AS76" s="52"/>
      <c r="AT76" s="51"/>
      <c r="AU76" s="52"/>
      <c r="AV76" s="51"/>
      <c r="AW76" s="52"/>
      <c r="AX76" s="51"/>
      <c r="AY76" s="51"/>
      <c r="AZ76" s="51"/>
      <c r="BA76" s="51"/>
      <c r="BB76" s="51"/>
      <c r="BC76" s="2"/>
      <c r="BD76" s="3"/>
      <c r="BE76" s="3"/>
      <c r="BF76" s="3"/>
      <c r="BG76" s="3"/>
    </row>
    <row r="77" spans="1:59" ht="15">
      <c r="A77" s="14" t="s">
        <v>272</v>
      </c>
      <c r="B77" s="15"/>
      <c r="C77" s="15"/>
      <c r="D77" s="87">
        <v>490.79646439568864</v>
      </c>
      <c r="E77" s="81"/>
      <c r="F77" s="109" t="str">
        <f>HYPERLINK("https://i.ytimg.com/vi/4DMEekDsN2M/default.jpg")</f>
        <v>https://i.ytimg.com/vi/4DMEekDsN2M/default.jpg</v>
      </c>
      <c r="G77" s="15"/>
      <c r="H77" s="16" t="s">
        <v>378</v>
      </c>
      <c r="I77" s="66"/>
      <c r="J77" s="66" t="s">
        <v>159</v>
      </c>
      <c r="K77" s="106" t="s">
        <v>378</v>
      </c>
      <c r="L77" s="88">
        <v>2500.5</v>
      </c>
      <c r="M77" s="89">
        <v>6521.3251953125</v>
      </c>
      <c r="N77" s="89">
        <v>7720.79638671875</v>
      </c>
      <c r="O77" s="77"/>
      <c r="P77" s="90"/>
      <c r="Q77" s="90"/>
      <c r="R77" s="91"/>
      <c r="S77" s="51">
        <v>1</v>
      </c>
      <c r="T77" s="51">
        <v>0</v>
      </c>
      <c r="U77" s="52">
        <v>0</v>
      </c>
      <c r="V77" s="52">
        <v>0.052632</v>
      </c>
      <c r="W77" s="52">
        <v>0</v>
      </c>
      <c r="X77" s="52">
        <v>0.586484</v>
      </c>
      <c r="Y77" s="52">
        <v>0</v>
      </c>
      <c r="Z77" s="52">
        <v>0</v>
      </c>
      <c r="AA77" s="82">
        <v>77</v>
      </c>
      <c r="AB77" s="82"/>
      <c r="AC77" s="92"/>
      <c r="AD77" s="85" t="s">
        <v>378</v>
      </c>
      <c r="AE77" s="85" t="s">
        <v>471</v>
      </c>
      <c r="AF77" s="85" t="s">
        <v>562</v>
      </c>
      <c r="AG77" s="85" t="s">
        <v>620</v>
      </c>
      <c r="AH77" s="85" t="s">
        <v>707</v>
      </c>
      <c r="AI77" s="85">
        <v>7588759</v>
      </c>
      <c r="AJ77" s="85">
        <v>11374</v>
      </c>
      <c r="AK77" s="85">
        <v>87104</v>
      </c>
      <c r="AL77" s="85">
        <v>5927</v>
      </c>
      <c r="AM77" s="85" t="s">
        <v>730</v>
      </c>
      <c r="AN77" s="108" t="str">
        <f>HYPERLINK("https://www.youtube.com/watch?v=4DMEekDsN2M")</f>
        <v>https://www.youtube.com/watch?v=4DMEekDsN2M</v>
      </c>
      <c r="AO77" s="85" t="str">
        <f>REPLACE(INDEX(GroupVertices[Group],MATCH(Vertices[[#This Row],[Vertex]],GroupVertices[Vertex],0)),1,1,"")</f>
        <v>2</v>
      </c>
      <c r="AP77" s="51">
        <v>0</v>
      </c>
      <c r="AQ77" s="52">
        <v>0</v>
      </c>
      <c r="AR77" s="51">
        <v>4</v>
      </c>
      <c r="AS77" s="52">
        <v>7.8431372549019605</v>
      </c>
      <c r="AT77" s="51">
        <v>0</v>
      </c>
      <c r="AU77" s="52">
        <v>0</v>
      </c>
      <c r="AV77" s="51">
        <v>47</v>
      </c>
      <c r="AW77" s="52">
        <v>92.15686274509804</v>
      </c>
      <c r="AX77" s="51">
        <v>51</v>
      </c>
      <c r="AY77" s="51"/>
      <c r="AZ77" s="51"/>
      <c r="BA77" s="51"/>
      <c r="BB77" s="51"/>
      <c r="BC77" s="2"/>
      <c r="BD77" s="3"/>
      <c r="BE77" s="3"/>
      <c r="BF77" s="3"/>
      <c r="BG77" s="3"/>
    </row>
    <row r="78" spans="1:59" ht="15">
      <c r="A78" s="14" t="s">
        <v>273</v>
      </c>
      <c r="B78" s="15"/>
      <c r="C78" s="15"/>
      <c r="D78" s="87">
        <v>169.4802083942991</v>
      </c>
      <c r="E78" s="81"/>
      <c r="F78" s="109" t="str">
        <f>HYPERLINK("https://i.ytimg.com/vi/pal217dIhFc/default.jpg")</f>
        <v>https://i.ytimg.com/vi/pal217dIhFc/default.jpg</v>
      </c>
      <c r="G78" s="15"/>
      <c r="H78" s="16" t="s">
        <v>379</v>
      </c>
      <c r="I78" s="66"/>
      <c r="J78" s="66" t="s">
        <v>159</v>
      </c>
      <c r="K78" s="106" t="s">
        <v>379</v>
      </c>
      <c r="L78" s="88">
        <v>2500.5</v>
      </c>
      <c r="M78" s="89">
        <v>5141.58544921875</v>
      </c>
      <c r="N78" s="89">
        <v>9798.4423828125</v>
      </c>
      <c r="O78" s="77"/>
      <c r="P78" s="90"/>
      <c r="Q78" s="90"/>
      <c r="R78" s="91"/>
      <c r="S78" s="51">
        <v>1</v>
      </c>
      <c r="T78" s="51">
        <v>0</v>
      </c>
      <c r="U78" s="52">
        <v>0</v>
      </c>
      <c r="V78" s="52">
        <v>0.052632</v>
      </c>
      <c r="W78" s="52">
        <v>0</v>
      </c>
      <c r="X78" s="52">
        <v>0.586484</v>
      </c>
      <c r="Y78" s="52">
        <v>0</v>
      </c>
      <c r="Z78" s="52">
        <v>0</v>
      </c>
      <c r="AA78" s="82">
        <v>78</v>
      </c>
      <c r="AB78" s="82"/>
      <c r="AC78" s="92"/>
      <c r="AD78" s="85" t="s">
        <v>379</v>
      </c>
      <c r="AE78" s="85" t="s">
        <v>472</v>
      </c>
      <c r="AF78" s="85" t="s">
        <v>563</v>
      </c>
      <c r="AG78" s="85" t="s">
        <v>620</v>
      </c>
      <c r="AH78" s="85" t="s">
        <v>708</v>
      </c>
      <c r="AI78" s="85">
        <v>1669063</v>
      </c>
      <c r="AJ78" s="85">
        <v>2001</v>
      </c>
      <c r="AK78" s="85">
        <v>24281</v>
      </c>
      <c r="AL78" s="85">
        <v>933</v>
      </c>
      <c r="AM78" s="85" t="s">
        <v>730</v>
      </c>
      <c r="AN78" s="108" t="str">
        <f>HYPERLINK("https://www.youtube.com/watch?v=pal217dIhFc")</f>
        <v>https://www.youtube.com/watch?v=pal217dIhFc</v>
      </c>
      <c r="AO78" s="85" t="str">
        <f>REPLACE(INDEX(GroupVertices[Group],MATCH(Vertices[[#This Row],[Vertex]],GroupVertices[Vertex],0)),1,1,"")</f>
        <v>2</v>
      </c>
      <c r="AP78" s="51">
        <v>0</v>
      </c>
      <c r="AQ78" s="52">
        <v>0</v>
      </c>
      <c r="AR78" s="51">
        <v>4</v>
      </c>
      <c r="AS78" s="52">
        <v>6.451612903225806</v>
      </c>
      <c r="AT78" s="51">
        <v>0</v>
      </c>
      <c r="AU78" s="52">
        <v>0</v>
      </c>
      <c r="AV78" s="51">
        <v>58</v>
      </c>
      <c r="AW78" s="52">
        <v>93.54838709677419</v>
      </c>
      <c r="AX78" s="51">
        <v>62</v>
      </c>
      <c r="AY78" s="51"/>
      <c r="AZ78" s="51"/>
      <c r="BA78" s="51"/>
      <c r="BB78" s="51"/>
      <c r="BC78" s="2"/>
      <c r="BD78" s="3"/>
      <c r="BE78" s="3"/>
      <c r="BF78" s="3"/>
      <c r="BG78" s="3"/>
    </row>
    <row r="79" spans="1:59" ht="15">
      <c r="A79" s="14" t="s">
        <v>274</v>
      </c>
      <c r="B79" s="15"/>
      <c r="C79" s="15"/>
      <c r="D79" s="87">
        <v>418.13368348912246</v>
      </c>
      <c r="E79" s="81"/>
      <c r="F79" s="109" t="str">
        <f>HYPERLINK("https://i.ytimg.com/vi/Ym1NLvmcl0k/default.jpg")</f>
        <v>https://i.ytimg.com/vi/Ym1NLvmcl0k/default.jpg</v>
      </c>
      <c r="G79" s="15"/>
      <c r="H79" s="16" t="s">
        <v>380</v>
      </c>
      <c r="I79" s="66"/>
      <c r="J79" s="66" t="s">
        <v>159</v>
      </c>
      <c r="K79" s="106" t="s">
        <v>380</v>
      </c>
      <c r="L79" s="88">
        <v>2500.5</v>
      </c>
      <c r="M79" s="89">
        <v>6128.01708984375</v>
      </c>
      <c r="N79" s="89">
        <v>9459.8466796875</v>
      </c>
      <c r="O79" s="77"/>
      <c r="P79" s="90"/>
      <c r="Q79" s="90"/>
      <c r="R79" s="91"/>
      <c r="S79" s="51">
        <v>1</v>
      </c>
      <c r="T79" s="51">
        <v>0</v>
      </c>
      <c r="U79" s="52">
        <v>0</v>
      </c>
      <c r="V79" s="52">
        <v>0.052632</v>
      </c>
      <c r="W79" s="52">
        <v>0</v>
      </c>
      <c r="X79" s="52">
        <v>0.586484</v>
      </c>
      <c r="Y79" s="52">
        <v>0</v>
      </c>
      <c r="Z79" s="52">
        <v>0</v>
      </c>
      <c r="AA79" s="82">
        <v>79</v>
      </c>
      <c r="AB79" s="82"/>
      <c r="AC79" s="92"/>
      <c r="AD79" s="85" t="s">
        <v>380</v>
      </c>
      <c r="AE79" s="85" t="s">
        <v>473</v>
      </c>
      <c r="AF79" s="85" t="s">
        <v>564</v>
      </c>
      <c r="AG79" s="85" t="s">
        <v>620</v>
      </c>
      <c r="AH79" s="85" t="s">
        <v>709</v>
      </c>
      <c r="AI79" s="85">
        <v>6250073</v>
      </c>
      <c r="AJ79" s="85">
        <v>4369</v>
      </c>
      <c r="AK79" s="85">
        <v>57714</v>
      </c>
      <c r="AL79" s="85">
        <v>2749</v>
      </c>
      <c r="AM79" s="85" t="s">
        <v>730</v>
      </c>
      <c r="AN79" s="108" t="str">
        <f>HYPERLINK("https://www.youtube.com/watch?v=Ym1NLvmcl0k")</f>
        <v>https://www.youtube.com/watch?v=Ym1NLvmcl0k</v>
      </c>
      <c r="AO79" s="85" t="str">
        <f>REPLACE(INDEX(GroupVertices[Group],MATCH(Vertices[[#This Row],[Vertex]],GroupVertices[Vertex],0)),1,1,"")</f>
        <v>2</v>
      </c>
      <c r="AP79" s="51">
        <v>0</v>
      </c>
      <c r="AQ79" s="52">
        <v>0</v>
      </c>
      <c r="AR79" s="51">
        <v>3</v>
      </c>
      <c r="AS79" s="52">
        <v>4.918032786885246</v>
      </c>
      <c r="AT79" s="51">
        <v>0</v>
      </c>
      <c r="AU79" s="52">
        <v>0</v>
      </c>
      <c r="AV79" s="51">
        <v>58</v>
      </c>
      <c r="AW79" s="52">
        <v>95.08196721311475</v>
      </c>
      <c r="AX79" s="51">
        <v>61</v>
      </c>
      <c r="AY79" s="51"/>
      <c r="AZ79" s="51"/>
      <c r="BA79" s="51"/>
      <c r="BB79" s="51"/>
      <c r="BC79" s="2"/>
      <c r="BD79" s="3"/>
      <c r="BE79" s="3"/>
      <c r="BF79" s="3"/>
      <c r="BG79" s="3"/>
    </row>
    <row r="80" spans="1:59" ht="15">
      <c r="A80" s="14" t="s">
        <v>275</v>
      </c>
      <c r="B80" s="15"/>
      <c r="C80" s="15"/>
      <c r="D80" s="87">
        <v>348.2797959669152</v>
      </c>
      <c r="E80" s="81"/>
      <c r="F80" s="109" t="str">
        <f>HYPERLINK("https://i.ytimg.com/vi/5tKOV0KqPlg/default.jpg")</f>
        <v>https://i.ytimg.com/vi/5tKOV0KqPlg/default.jpg</v>
      </c>
      <c r="G80" s="15"/>
      <c r="H80" s="16" t="s">
        <v>381</v>
      </c>
      <c r="I80" s="66"/>
      <c r="J80" s="66" t="s">
        <v>159</v>
      </c>
      <c r="K80" s="106" t="s">
        <v>381</v>
      </c>
      <c r="L80" s="88">
        <v>2500.5</v>
      </c>
      <c r="M80" s="89">
        <v>3328.858642578125</v>
      </c>
      <c r="N80" s="89">
        <v>8996.95703125</v>
      </c>
      <c r="O80" s="77"/>
      <c r="P80" s="90"/>
      <c r="Q80" s="90"/>
      <c r="R80" s="91"/>
      <c r="S80" s="51">
        <v>1</v>
      </c>
      <c r="T80" s="51">
        <v>0</v>
      </c>
      <c r="U80" s="52">
        <v>0</v>
      </c>
      <c r="V80" s="52">
        <v>0.052632</v>
      </c>
      <c r="W80" s="52">
        <v>0</v>
      </c>
      <c r="X80" s="52">
        <v>0.586484</v>
      </c>
      <c r="Y80" s="52">
        <v>0</v>
      </c>
      <c r="Z80" s="52">
        <v>0</v>
      </c>
      <c r="AA80" s="82">
        <v>80</v>
      </c>
      <c r="AB80" s="82"/>
      <c r="AC80" s="92"/>
      <c r="AD80" s="85" t="s">
        <v>381</v>
      </c>
      <c r="AE80" s="85" t="s">
        <v>474</v>
      </c>
      <c r="AF80" s="85" t="s">
        <v>565</v>
      </c>
      <c r="AG80" s="85" t="s">
        <v>620</v>
      </c>
      <c r="AH80" s="85" t="s">
        <v>710</v>
      </c>
      <c r="AI80" s="85">
        <v>4963136</v>
      </c>
      <c r="AJ80" s="85">
        <v>3799</v>
      </c>
      <c r="AK80" s="85">
        <v>60368</v>
      </c>
      <c r="AL80" s="85">
        <v>2679</v>
      </c>
      <c r="AM80" s="85" t="s">
        <v>730</v>
      </c>
      <c r="AN80" s="108" t="str">
        <f>HYPERLINK("https://www.youtube.com/watch?v=5tKOV0KqPlg")</f>
        <v>https://www.youtube.com/watch?v=5tKOV0KqPlg</v>
      </c>
      <c r="AO80" s="85" t="str">
        <f>REPLACE(INDEX(GroupVertices[Group],MATCH(Vertices[[#This Row],[Vertex]],GroupVertices[Vertex],0)),1,1,"")</f>
        <v>2</v>
      </c>
      <c r="AP80" s="51">
        <v>1</v>
      </c>
      <c r="AQ80" s="52">
        <v>1.5625</v>
      </c>
      <c r="AR80" s="51">
        <v>5</v>
      </c>
      <c r="AS80" s="52">
        <v>7.8125</v>
      </c>
      <c r="AT80" s="51">
        <v>0</v>
      </c>
      <c r="AU80" s="52">
        <v>0</v>
      </c>
      <c r="AV80" s="51">
        <v>58</v>
      </c>
      <c r="AW80" s="52">
        <v>90.625</v>
      </c>
      <c r="AX80" s="51">
        <v>64</v>
      </c>
      <c r="AY80" s="51"/>
      <c r="AZ80" s="51"/>
      <c r="BA80" s="51"/>
      <c r="BB80" s="51"/>
      <c r="BC80" s="2"/>
      <c r="BD80" s="3"/>
      <c r="BE80" s="3"/>
      <c r="BF80" s="3"/>
      <c r="BG80" s="3"/>
    </row>
    <row r="81" spans="1:59" ht="15">
      <c r="A81" s="14" t="s">
        <v>276</v>
      </c>
      <c r="B81" s="15"/>
      <c r="C81" s="15"/>
      <c r="D81" s="87">
        <v>282.8132404388401</v>
      </c>
      <c r="E81" s="81"/>
      <c r="F81" s="109" t="str">
        <f>HYPERLINK("https://i.ytimg.com/vi/PArFP7ZJrtg/default.jpg")</f>
        <v>https://i.ytimg.com/vi/PArFP7ZJrtg/default.jpg</v>
      </c>
      <c r="G81" s="15"/>
      <c r="H81" s="16" t="s">
        <v>382</v>
      </c>
      <c r="I81" s="66"/>
      <c r="J81" s="66" t="s">
        <v>159</v>
      </c>
      <c r="K81" s="106" t="s">
        <v>382</v>
      </c>
      <c r="L81" s="88">
        <v>2500.5</v>
      </c>
      <c r="M81" s="89">
        <v>3722.16162109375</v>
      </c>
      <c r="N81" s="89">
        <v>7257.59814453125</v>
      </c>
      <c r="O81" s="77"/>
      <c r="P81" s="90"/>
      <c r="Q81" s="90"/>
      <c r="R81" s="91"/>
      <c r="S81" s="51">
        <v>1</v>
      </c>
      <c r="T81" s="51">
        <v>0</v>
      </c>
      <c r="U81" s="52">
        <v>0</v>
      </c>
      <c r="V81" s="52">
        <v>0.052632</v>
      </c>
      <c r="W81" s="52">
        <v>0</v>
      </c>
      <c r="X81" s="52">
        <v>0.586484</v>
      </c>
      <c r="Y81" s="52">
        <v>0</v>
      </c>
      <c r="Z81" s="52">
        <v>0</v>
      </c>
      <c r="AA81" s="82">
        <v>81</v>
      </c>
      <c r="AB81" s="82"/>
      <c r="AC81" s="92"/>
      <c r="AD81" s="85" t="s">
        <v>382</v>
      </c>
      <c r="AE81" s="85" t="s">
        <v>475</v>
      </c>
      <c r="AF81" s="85" t="s">
        <v>566</v>
      </c>
      <c r="AG81" s="85" t="s">
        <v>620</v>
      </c>
      <c r="AH81" s="85" t="s">
        <v>711</v>
      </c>
      <c r="AI81" s="85">
        <v>3757028</v>
      </c>
      <c r="AJ81" s="85">
        <v>10337</v>
      </c>
      <c r="AK81" s="85">
        <v>102672</v>
      </c>
      <c r="AL81" s="85">
        <v>1880</v>
      </c>
      <c r="AM81" s="85" t="s">
        <v>730</v>
      </c>
      <c r="AN81" s="108" t="str">
        <f>HYPERLINK("https://www.youtube.com/watch?v=PArFP7ZJrtg")</f>
        <v>https://www.youtube.com/watch?v=PArFP7ZJrtg</v>
      </c>
      <c r="AO81" s="85" t="str">
        <f>REPLACE(INDEX(GroupVertices[Group],MATCH(Vertices[[#This Row],[Vertex]],GroupVertices[Vertex],0)),1,1,"")</f>
        <v>2</v>
      </c>
      <c r="AP81" s="51">
        <v>0</v>
      </c>
      <c r="AQ81" s="52">
        <v>0</v>
      </c>
      <c r="AR81" s="51">
        <v>2</v>
      </c>
      <c r="AS81" s="52">
        <v>3.508771929824561</v>
      </c>
      <c r="AT81" s="51">
        <v>0</v>
      </c>
      <c r="AU81" s="52">
        <v>0</v>
      </c>
      <c r="AV81" s="51">
        <v>55</v>
      </c>
      <c r="AW81" s="52">
        <v>96.49122807017544</v>
      </c>
      <c r="AX81" s="51">
        <v>57</v>
      </c>
      <c r="AY81" s="51"/>
      <c r="AZ81" s="51"/>
      <c r="BA81" s="51"/>
      <c r="BB81" s="51"/>
      <c r="BC81" s="2"/>
      <c r="BD81" s="3"/>
      <c r="BE81" s="3"/>
      <c r="BF81" s="3"/>
      <c r="BG81" s="3"/>
    </row>
    <row r="82" spans="1:59" ht="15">
      <c r="A82" s="14" t="s">
        <v>205</v>
      </c>
      <c r="B82" s="15"/>
      <c r="C82" s="15"/>
      <c r="D82" s="87">
        <v>207.22502874436677</v>
      </c>
      <c r="E82" s="81"/>
      <c r="F82" s="109" t="str">
        <f>HYPERLINK("https://i.ytimg.com/vi/_sbT3_9dJY4/default.jpg")</f>
        <v>https://i.ytimg.com/vi/_sbT3_9dJY4/default.jpg</v>
      </c>
      <c r="G82" s="15"/>
      <c r="H82" s="16" t="s">
        <v>383</v>
      </c>
      <c r="I82" s="66"/>
      <c r="J82" s="66" t="s">
        <v>159</v>
      </c>
      <c r="K82" s="106" t="s">
        <v>383</v>
      </c>
      <c r="L82" s="88">
        <v>1</v>
      </c>
      <c r="M82" s="89">
        <v>8100.1591796875</v>
      </c>
      <c r="N82" s="89">
        <v>1176.5184326171875</v>
      </c>
      <c r="O82" s="77"/>
      <c r="P82" s="90"/>
      <c r="Q82" s="90"/>
      <c r="R82" s="91"/>
      <c r="S82" s="51">
        <v>0</v>
      </c>
      <c r="T82" s="51">
        <v>10</v>
      </c>
      <c r="U82" s="52">
        <v>1153.733333</v>
      </c>
      <c r="V82" s="52">
        <v>0.00625</v>
      </c>
      <c r="W82" s="52">
        <v>0.036605</v>
      </c>
      <c r="X82" s="52">
        <v>4.147681</v>
      </c>
      <c r="Y82" s="52">
        <v>0</v>
      </c>
      <c r="Z82" s="52">
        <v>0</v>
      </c>
      <c r="AA82" s="82">
        <v>82</v>
      </c>
      <c r="AB82" s="82"/>
      <c r="AC82" s="92"/>
      <c r="AD82" s="85" t="s">
        <v>383</v>
      </c>
      <c r="AE82" s="85" t="s">
        <v>476</v>
      </c>
      <c r="AF82" s="85" t="s">
        <v>567</v>
      </c>
      <c r="AG82" s="85" t="s">
        <v>622</v>
      </c>
      <c r="AH82" s="85" t="s">
        <v>712</v>
      </c>
      <c r="AI82" s="85">
        <v>2364446</v>
      </c>
      <c r="AJ82" s="85">
        <v>7937</v>
      </c>
      <c r="AK82" s="85">
        <v>38665</v>
      </c>
      <c r="AL82" s="85">
        <v>1160</v>
      </c>
      <c r="AM82" s="85" t="s">
        <v>730</v>
      </c>
      <c r="AN82" s="108" t="str">
        <f>HYPERLINK("https://www.youtube.com/watch?v=_sbT3_9dJY4")</f>
        <v>https://www.youtube.com/watch?v=_sbT3_9dJY4</v>
      </c>
      <c r="AO82" s="85" t="str">
        <f>REPLACE(INDEX(GroupVertices[Group],MATCH(Vertices[[#This Row],[Vertex]],GroupVertices[Vertex],0)),1,1,"")</f>
        <v>8</v>
      </c>
      <c r="AP82" s="51">
        <v>1</v>
      </c>
      <c r="AQ82" s="52">
        <v>1.492537313432836</v>
      </c>
      <c r="AR82" s="51">
        <v>6</v>
      </c>
      <c r="AS82" s="52">
        <v>8.955223880597014</v>
      </c>
      <c r="AT82" s="51">
        <v>0</v>
      </c>
      <c r="AU82" s="52">
        <v>0</v>
      </c>
      <c r="AV82" s="51">
        <v>60</v>
      </c>
      <c r="AW82" s="52">
        <v>89.55223880597015</v>
      </c>
      <c r="AX82" s="51">
        <v>67</v>
      </c>
      <c r="AY82" s="130" t="s">
        <v>1354</v>
      </c>
      <c r="AZ82" s="130" t="s">
        <v>1354</v>
      </c>
      <c r="BA82" s="130" t="s">
        <v>1354</v>
      </c>
      <c r="BB82" s="130" t="s">
        <v>1354</v>
      </c>
      <c r="BC82" s="2"/>
      <c r="BD82" s="3"/>
      <c r="BE82" s="3"/>
      <c r="BF82" s="3"/>
      <c r="BG82" s="3"/>
    </row>
    <row r="83" spans="1:59" ht="15">
      <c r="A83" s="14" t="s">
        <v>277</v>
      </c>
      <c r="B83" s="15"/>
      <c r="C83" s="15"/>
      <c r="D83" s="87">
        <v>100.854767316947</v>
      </c>
      <c r="E83" s="81"/>
      <c r="F83" s="109" t="str">
        <f>HYPERLINK("https://i.ytimg.com/vi/jFOhfwvkhLY/default.jpg")</f>
        <v>https://i.ytimg.com/vi/jFOhfwvkhLY/default.jpg</v>
      </c>
      <c r="G83" s="15"/>
      <c r="H83" s="16" t="s">
        <v>384</v>
      </c>
      <c r="I83" s="66"/>
      <c r="J83" s="66" t="s">
        <v>159</v>
      </c>
      <c r="K83" s="106" t="s">
        <v>384</v>
      </c>
      <c r="L83" s="88">
        <v>2500.5</v>
      </c>
      <c r="M83" s="89">
        <v>7106.22509765625</v>
      </c>
      <c r="N83" s="89">
        <v>2059.719970703125</v>
      </c>
      <c r="O83" s="77"/>
      <c r="P83" s="90"/>
      <c r="Q83" s="90"/>
      <c r="R83" s="91"/>
      <c r="S83" s="51">
        <v>1</v>
      </c>
      <c r="T83" s="51">
        <v>0</v>
      </c>
      <c r="U83" s="52">
        <v>0</v>
      </c>
      <c r="V83" s="52">
        <v>0.004673</v>
      </c>
      <c r="W83" s="52">
        <v>0.023731</v>
      </c>
      <c r="X83" s="52">
        <v>0.502553</v>
      </c>
      <c r="Y83" s="52">
        <v>0</v>
      </c>
      <c r="Z83" s="52">
        <v>0</v>
      </c>
      <c r="AA83" s="82">
        <v>83</v>
      </c>
      <c r="AB83" s="82"/>
      <c r="AC83" s="92"/>
      <c r="AD83" s="85" t="s">
        <v>384</v>
      </c>
      <c r="AE83" s="85" t="s">
        <v>477</v>
      </c>
      <c r="AF83" s="85" t="s">
        <v>568</v>
      </c>
      <c r="AG83" s="85" t="s">
        <v>623</v>
      </c>
      <c r="AH83" s="85" t="s">
        <v>713</v>
      </c>
      <c r="AI83" s="85">
        <v>404758</v>
      </c>
      <c r="AJ83" s="85">
        <v>3489</v>
      </c>
      <c r="AK83" s="85">
        <v>4554</v>
      </c>
      <c r="AL83" s="85">
        <v>1440</v>
      </c>
      <c r="AM83" s="85" t="s">
        <v>730</v>
      </c>
      <c r="AN83" s="108" t="str">
        <f>HYPERLINK("https://www.youtube.com/watch?v=jFOhfwvkhLY")</f>
        <v>https://www.youtube.com/watch?v=jFOhfwvkhLY</v>
      </c>
      <c r="AO83" s="85" t="str">
        <f>REPLACE(INDEX(GroupVertices[Group],MATCH(Vertices[[#This Row],[Vertex]],GroupVertices[Vertex],0)),1,1,"")</f>
        <v>8</v>
      </c>
      <c r="AP83" s="51">
        <v>0</v>
      </c>
      <c r="AQ83" s="52">
        <v>0</v>
      </c>
      <c r="AR83" s="51">
        <v>3</v>
      </c>
      <c r="AS83" s="52">
        <v>12.5</v>
      </c>
      <c r="AT83" s="51">
        <v>0</v>
      </c>
      <c r="AU83" s="52">
        <v>0</v>
      </c>
      <c r="AV83" s="51">
        <v>21</v>
      </c>
      <c r="AW83" s="52">
        <v>87.5</v>
      </c>
      <c r="AX83" s="51">
        <v>24</v>
      </c>
      <c r="AY83" s="51"/>
      <c r="AZ83" s="51"/>
      <c r="BA83" s="51"/>
      <c r="BB83" s="51"/>
      <c r="BC83" s="2"/>
      <c r="BD83" s="3"/>
      <c r="BE83" s="3"/>
      <c r="BF83" s="3"/>
      <c r="BG83" s="3"/>
    </row>
    <row r="84" spans="1:59" ht="15">
      <c r="A84" s="14" t="s">
        <v>278</v>
      </c>
      <c r="B84" s="15"/>
      <c r="C84" s="15"/>
      <c r="D84" s="87">
        <v>84.9145999671493</v>
      </c>
      <c r="E84" s="81"/>
      <c r="F84" s="109" t="str">
        <f>HYPERLINK("https://i.ytimg.com/vi/Kkx9_jf3FXw/default.jpg")</f>
        <v>https://i.ytimg.com/vi/Kkx9_jf3FXw/default.jpg</v>
      </c>
      <c r="G84" s="15"/>
      <c r="H84" s="16" t="s">
        <v>385</v>
      </c>
      <c r="I84" s="66"/>
      <c r="J84" s="66" t="s">
        <v>159</v>
      </c>
      <c r="K84" s="106" t="s">
        <v>385</v>
      </c>
      <c r="L84" s="88">
        <v>2500.5</v>
      </c>
      <c r="M84" s="89">
        <v>8296.2705078125</v>
      </c>
      <c r="N84" s="89">
        <v>163.13365173339844</v>
      </c>
      <c r="O84" s="77"/>
      <c r="P84" s="90"/>
      <c r="Q84" s="90"/>
      <c r="R84" s="91"/>
      <c r="S84" s="51">
        <v>1</v>
      </c>
      <c r="T84" s="51">
        <v>0</v>
      </c>
      <c r="U84" s="52">
        <v>0</v>
      </c>
      <c r="V84" s="52">
        <v>0.004673</v>
      </c>
      <c r="W84" s="52">
        <v>0.023731</v>
      </c>
      <c r="X84" s="52">
        <v>0.502553</v>
      </c>
      <c r="Y84" s="52">
        <v>0</v>
      </c>
      <c r="Z84" s="52">
        <v>0</v>
      </c>
      <c r="AA84" s="82">
        <v>84</v>
      </c>
      <c r="AB84" s="82"/>
      <c r="AC84" s="92"/>
      <c r="AD84" s="85" t="s">
        <v>385</v>
      </c>
      <c r="AE84" s="85" t="s">
        <v>478</v>
      </c>
      <c r="AF84" s="85" t="s">
        <v>569</v>
      </c>
      <c r="AG84" s="85" t="s">
        <v>624</v>
      </c>
      <c r="AH84" s="85" t="s">
        <v>714</v>
      </c>
      <c r="AI84" s="85">
        <v>111088</v>
      </c>
      <c r="AJ84" s="85">
        <v>569</v>
      </c>
      <c r="AK84" s="85">
        <v>2700</v>
      </c>
      <c r="AL84" s="85">
        <v>78</v>
      </c>
      <c r="AM84" s="85" t="s">
        <v>730</v>
      </c>
      <c r="AN84" s="108" t="str">
        <f>HYPERLINK("https://www.youtube.com/watch?v=Kkx9_jf3FXw")</f>
        <v>https://www.youtube.com/watch?v=Kkx9_jf3FXw</v>
      </c>
      <c r="AO84" s="85" t="str">
        <f>REPLACE(INDEX(GroupVertices[Group],MATCH(Vertices[[#This Row],[Vertex]],GroupVertices[Vertex],0)),1,1,"")</f>
        <v>8</v>
      </c>
      <c r="AP84" s="51">
        <v>0</v>
      </c>
      <c r="AQ84" s="52">
        <v>0</v>
      </c>
      <c r="AR84" s="51">
        <v>0</v>
      </c>
      <c r="AS84" s="52">
        <v>0</v>
      </c>
      <c r="AT84" s="51">
        <v>0</v>
      </c>
      <c r="AU84" s="52">
        <v>0</v>
      </c>
      <c r="AV84" s="51">
        <v>5</v>
      </c>
      <c r="AW84" s="52">
        <v>100</v>
      </c>
      <c r="AX84" s="51">
        <v>5</v>
      </c>
      <c r="AY84" s="51"/>
      <c r="AZ84" s="51"/>
      <c r="BA84" s="51"/>
      <c r="BB84" s="51"/>
      <c r="BC84" s="2"/>
      <c r="BD84" s="3"/>
      <c r="BE84" s="3"/>
      <c r="BF84" s="3"/>
      <c r="BG84" s="3"/>
    </row>
    <row r="85" spans="1:59" ht="15">
      <c r="A85" s="14" t="s">
        <v>279</v>
      </c>
      <c r="B85" s="15"/>
      <c r="C85" s="15"/>
      <c r="D85" s="87">
        <v>93.76503769335189</v>
      </c>
      <c r="E85" s="81"/>
      <c r="F85" s="109" t="str">
        <f>HYPERLINK("https://i.ytimg.com/vi/OTV_Vz-Ur2M/default.jpg")</f>
        <v>https://i.ytimg.com/vi/OTV_Vz-Ur2M/default.jpg</v>
      </c>
      <c r="G85" s="15"/>
      <c r="H85" s="16" t="s">
        <v>386</v>
      </c>
      <c r="I85" s="66"/>
      <c r="J85" s="66" t="s">
        <v>159</v>
      </c>
      <c r="K85" s="106" t="s">
        <v>386</v>
      </c>
      <c r="L85" s="88">
        <v>2500.5</v>
      </c>
      <c r="M85" s="89">
        <v>6749.8076171875</v>
      </c>
      <c r="N85" s="89">
        <v>449.0521240234375</v>
      </c>
      <c r="O85" s="77"/>
      <c r="P85" s="90"/>
      <c r="Q85" s="90"/>
      <c r="R85" s="91"/>
      <c r="S85" s="51">
        <v>1</v>
      </c>
      <c r="T85" s="51">
        <v>0</v>
      </c>
      <c r="U85" s="52">
        <v>0</v>
      </c>
      <c r="V85" s="52">
        <v>0.004673</v>
      </c>
      <c r="W85" s="52">
        <v>0.023731</v>
      </c>
      <c r="X85" s="52">
        <v>0.502553</v>
      </c>
      <c r="Y85" s="52">
        <v>0</v>
      </c>
      <c r="Z85" s="52">
        <v>0</v>
      </c>
      <c r="AA85" s="82">
        <v>85</v>
      </c>
      <c r="AB85" s="82"/>
      <c r="AC85" s="92"/>
      <c r="AD85" s="85" t="s">
        <v>386</v>
      </c>
      <c r="AE85" s="85" t="s">
        <v>479</v>
      </c>
      <c r="AF85" s="85" t="s">
        <v>570</v>
      </c>
      <c r="AG85" s="85" t="s">
        <v>625</v>
      </c>
      <c r="AH85" s="85" t="s">
        <v>715</v>
      </c>
      <c r="AI85" s="85">
        <v>274142</v>
      </c>
      <c r="AJ85" s="85">
        <v>695</v>
      </c>
      <c r="AK85" s="85">
        <v>3290</v>
      </c>
      <c r="AL85" s="85">
        <v>77</v>
      </c>
      <c r="AM85" s="85" t="s">
        <v>730</v>
      </c>
      <c r="AN85" s="108" t="str">
        <f>HYPERLINK("https://www.youtube.com/watch?v=OTV_Vz-Ur2M")</f>
        <v>https://www.youtube.com/watch?v=OTV_Vz-Ur2M</v>
      </c>
      <c r="AO85" s="85" t="str">
        <f>REPLACE(INDEX(GroupVertices[Group],MATCH(Vertices[[#This Row],[Vertex]],GroupVertices[Vertex],0)),1,1,"")</f>
        <v>8</v>
      </c>
      <c r="AP85" s="51">
        <v>0</v>
      </c>
      <c r="AQ85" s="52">
        <v>0</v>
      </c>
      <c r="AR85" s="51">
        <v>2</v>
      </c>
      <c r="AS85" s="52">
        <v>5.555555555555555</v>
      </c>
      <c r="AT85" s="51">
        <v>0</v>
      </c>
      <c r="AU85" s="52">
        <v>0</v>
      </c>
      <c r="AV85" s="51">
        <v>34</v>
      </c>
      <c r="AW85" s="52">
        <v>94.44444444444444</v>
      </c>
      <c r="AX85" s="51">
        <v>36</v>
      </c>
      <c r="AY85" s="51"/>
      <c r="AZ85" s="51"/>
      <c r="BA85" s="51"/>
      <c r="BB85" s="51"/>
      <c r="BC85" s="2"/>
      <c r="BD85" s="3"/>
      <c r="BE85" s="3"/>
      <c r="BF85" s="3"/>
      <c r="BG85" s="3"/>
    </row>
    <row r="86" spans="1:59" ht="15">
      <c r="A86" s="14" t="s">
        <v>280</v>
      </c>
      <c r="B86" s="15"/>
      <c r="C86" s="15"/>
      <c r="D86" s="87">
        <v>110.23144171171052</v>
      </c>
      <c r="E86" s="81"/>
      <c r="F86" s="109" t="str">
        <f>HYPERLINK("https://i.ytimg.com/vi/SpXbgx4hnlc/default.jpg")</f>
        <v>https://i.ytimg.com/vi/SpXbgx4hnlc/default.jpg</v>
      </c>
      <c r="G86" s="15"/>
      <c r="H86" s="16" t="s">
        <v>387</v>
      </c>
      <c r="I86" s="66"/>
      <c r="J86" s="66" t="s">
        <v>159</v>
      </c>
      <c r="K86" s="106" t="s">
        <v>387</v>
      </c>
      <c r="L86" s="88">
        <v>2500.5</v>
      </c>
      <c r="M86" s="89">
        <v>9695.0615234375</v>
      </c>
      <c r="N86" s="89">
        <v>617.0698852539062</v>
      </c>
      <c r="O86" s="77"/>
      <c r="P86" s="90"/>
      <c r="Q86" s="90"/>
      <c r="R86" s="91"/>
      <c r="S86" s="51">
        <v>1</v>
      </c>
      <c r="T86" s="51">
        <v>0</v>
      </c>
      <c r="U86" s="52">
        <v>0</v>
      </c>
      <c r="V86" s="52">
        <v>0.004673</v>
      </c>
      <c r="W86" s="52">
        <v>0.023731</v>
      </c>
      <c r="X86" s="52">
        <v>0.502553</v>
      </c>
      <c r="Y86" s="52">
        <v>0</v>
      </c>
      <c r="Z86" s="52">
        <v>0</v>
      </c>
      <c r="AA86" s="82">
        <v>86</v>
      </c>
      <c r="AB86" s="82"/>
      <c r="AC86" s="92"/>
      <c r="AD86" s="85" t="s">
        <v>387</v>
      </c>
      <c r="AE86" s="85" t="s">
        <v>480</v>
      </c>
      <c r="AF86" s="85" t="s">
        <v>571</v>
      </c>
      <c r="AG86" s="85" t="s">
        <v>626</v>
      </c>
      <c r="AH86" s="85" t="s">
        <v>716</v>
      </c>
      <c r="AI86" s="85">
        <v>577507</v>
      </c>
      <c r="AJ86" s="85">
        <v>2342</v>
      </c>
      <c r="AK86" s="85">
        <v>5876</v>
      </c>
      <c r="AL86" s="85">
        <v>452</v>
      </c>
      <c r="AM86" s="85" t="s">
        <v>730</v>
      </c>
      <c r="AN86" s="108" t="str">
        <f>HYPERLINK("https://www.youtube.com/watch?v=SpXbgx4hnlc")</f>
        <v>https://www.youtube.com/watch?v=SpXbgx4hnlc</v>
      </c>
      <c r="AO86" s="85" t="str">
        <f>REPLACE(INDEX(GroupVertices[Group],MATCH(Vertices[[#This Row],[Vertex]],GroupVertices[Vertex],0)),1,1,"")</f>
        <v>8</v>
      </c>
      <c r="AP86" s="51">
        <v>0</v>
      </c>
      <c r="AQ86" s="52">
        <v>0</v>
      </c>
      <c r="AR86" s="51">
        <v>2</v>
      </c>
      <c r="AS86" s="52">
        <v>3.6363636363636362</v>
      </c>
      <c r="AT86" s="51">
        <v>0</v>
      </c>
      <c r="AU86" s="52">
        <v>0</v>
      </c>
      <c r="AV86" s="51">
        <v>53</v>
      </c>
      <c r="AW86" s="52">
        <v>96.36363636363636</v>
      </c>
      <c r="AX86" s="51">
        <v>55</v>
      </c>
      <c r="AY86" s="51"/>
      <c r="AZ86" s="51"/>
      <c r="BA86" s="51"/>
      <c r="BB86" s="51"/>
      <c r="BC86" s="2"/>
      <c r="BD86" s="3"/>
      <c r="BE86" s="3"/>
      <c r="BF86" s="3"/>
      <c r="BG86" s="3"/>
    </row>
    <row r="87" spans="1:59" ht="15">
      <c r="A87" s="14" t="s">
        <v>281</v>
      </c>
      <c r="B87" s="15"/>
      <c r="C87" s="15"/>
      <c r="D87" s="87">
        <v>84.9706160828744</v>
      </c>
      <c r="E87" s="81"/>
      <c r="F87" s="109" t="str">
        <f>HYPERLINK("https://i.ytimg.com/vi/J98ed6oML2A/default.jpg")</f>
        <v>https://i.ytimg.com/vi/J98ed6oML2A/default.jpg</v>
      </c>
      <c r="G87" s="15"/>
      <c r="H87" s="16" t="s">
        <v>388</v>
      </c>
      <c r="I87" s="66"/>
      <c r="J87" s="66" t="s">
        <v>159</v>
      </c>
      <c r="K87" s="106" t="s">
        <v>388</v>
      </c>
      <c r="L87" s="88">
        <v>2500.5</v>
      </c>
      <c r="M87" s="89">
        <v>6220.1845703125</v>
      </c>
      <c r="N87" s="89">
        <v>1301.4091796875</v>
      </c>
      <c r="O87" s="77"/>
      <c r="P87" s="90"/>
      <c r="Q87" s="90"/>
      <c r="R87" s="91"/>
      <c r="S87" s="51">
        <v>1</v>
      </c>
      <c r="T87" s="51">
        <v>0</v>
      </c>
      <c r="U87" s="52">
        <v>0</v>
      </c>
      <c r="V87" s="52">
        <v>0.004673</v>
      </c>
      <c r="W87" s="52">
        <v>0.023731</v>
      </c>
      <c r="X87" s="52">
        <v>0.502553</v>
      </c>
      <c r="Y87" s="52">
        <v>0</v>
      </c>
      <c r="Z87" s="52">
        <v>0</v>
      </c>
      <c r="AA87" s="82">
        <v>87</v>
      </c>
      <c r="AB87" s="82"/>
      <c r="AC87" s="92"/>
      <c r="AD87" s="85" t="s">
        <v>388</v>
      </c>
      <c r="AE87" s="85" t="s">
        <v>481</v>
      </c>
      <c r="AF87" s="85" t="s">
        <v>572</v>
      </c>
      <c r="AG87" s="85" t="s">
        <v>601</v>
      </c>
      <c r="AH87" s="85" t="s">
        <v>717</v>
      </c>
      <c r="AI87" s="85">
        <v>112120</v>
      </c>
      <c r="AJ87" s="85">
        <v>0</v>
      </c>
      <c r="AK87" s="85">
        <v>0</v>
      </c>
      <c r="AL87" s="85">
        <v>0</v>
      </c>
      <c r="AM87" s="85" t="s">
        <v>730</v>
      </c>
      <c r="AN87" s="108" t="str">
        <f>HYPERLINK("https://www.youtube.com/watch?v=J98ed6oML2A")</f>
        <v>https://www.youtube.com/watch?v=J98ed6oML2A</v>
      </c>
      <c r="AO87" s="85" t="str">
        <f>REPLACE(INDEX(GroupVertices[Group],MATCH(Vertices[[#This Row],[Vertex]],GroupVertices[Vertex],0)),1,1,"")</f>
        <v>8</v>
      </c>
      <c r="AP87" s="51">
        <v>0</v>
      </c>
      <c r="AQ87" s="52">
        <v>0</v>
      </c>
      <c r="AR87" s="51">
        <v>0</v>
      </c>
      <c r="AS87" s="52">
        <v>0</v>
      </c>
      <c r="AT87" s="51">
        <v>0</v>
      </c>
      <c r="AU87" s="52">
        <v>0</v>
      </c>
      <c r="AV87" s="51">
        <v>2</v>
      </c>
      <c r="AW87" s="52">
        <v>100</v>
      </c>
      <c r="AX87" s="51">
        <v>2</v>
      </c>
      <c r="AY87" s="51"/>
      <c r="AZ87" s="51"/>
      <c r="BA87" s="51"/>
      <c r="BB87" s="51"/>
      <c r="BC87" s="2"/>
      <c r="BD87" s="3"/>
      <c r="BE87" s="3"/>
      <c r="BF87" s="3"/>
      <c r="BG87" s="3"/>
    </row>
    <row r="88" spans="1:59" ht="15">
      <c r="A88" s="14" t="s">
        <v>282</v>
      </c>
      <c r="B88" s="15"/>
      <c r="C88" s="15"/>
      <c r="D88" s="87">
        <v>412.73008237219847</v>
      </c>
      <c r="E88" s="81"/>
      <c r="F88" s="109" t="str">
        <f>HYPERLINK("https://i.ytimg.com/vi/NvCSr7qzAAM/default_live.jpg")</f>
        <v>https://i.ytimg.com/vi/NvCSr7qzAAM/default_live.jpg</v>
      </c>
      <c r="G88" s="15"/>
      <c r="H88" s="16" t="s">
        <v>389</v>
      </c>
      <c r="I88" s="66"/>
      <c r="J88" s="66" t="s">
        <v>159</v>
      </c>
      <c r="K88" s="106" t="s">
        <v>389</v>
      </c>
      <c r="L88" s="88">
        <v>2500.5</v>
      </c>
      <c r="M88" s="89">
        <v>8740.71484375</v>
      </c>
      <c r="N88" s="89">
        <v>2152.9638671875</v>
      </c>
      <c r="O88" s="77"/>
      <c r="P88" s="90"/>
      <c r="Q88" s="90"/>
      <c r="R88" s="91"/>
      <c r="S88" s="51">
        <v>1</v>
      </c>
      <c r="T88" s="51">
        <v>0</v>
      </c>
      <c r="U88" s="52">
        <v>0</v>
      </c>
      <c r="V88" s="52">
        <v>0.004673</v>
      </c>
      <c r="W88" s="52">
        <v>0.023731</v>
      </c>
      <c r="X88" s="52">
        <v>0.502553</v>
      </c>
      <c r="Y88" s="52">
        <v>0</v>
      </c>
      <c r="Z88" s="52">
        <v>0</v>
      </c>
      <c r="AA88" s="82">
        <v>88</v>
      </c>
      <c r="AB88" s="82"/>
      <c r="AC88" s="92"/>
      <c r="AD88" s="85" t="s">
        <v>389</v>
      </c>
      <c r="AE88" s="85" t="s">
        <v>482</v>
      </c>
      <c r="AF88" s="85" t="s">
        <v>573</v>
      </c>
      <c r="AG88" s="85" t="s">
        <v>622</v>
      </c>
      <c r="AH88" s="85" t="s">
        <v>718</v>
      </c>
      <c r="AI88" s="85">
        <v>6150521</v>
      </c>
      <c r="AJ88" s="85">
        <v>0</v>
      </c>
      <c r="AK88" s="85">
        <v>16072</v>
      </c>
      <c r="AL88" s="85">
        <v>2565</v>
      </c>
      <c r="AM88" s="85" t="s">
        <v>730</v>
      </c>
      <c r="AN88" s="108" t="str">
        <f>HYPERLINK("https://www.youtube.com/watch?v=NvCSr7qzAAM")</f>
        <v>https://www.youtube.com/watch?v=NvCSr7qzAAM</v>
      </c>
      <c r="AO88" s="85" t="str">
        <f>REPLACE(INDEX(GroupVertices[Group],MATCH(Vertices[[#This Row],[Vertex]],GroupVertices[Vertex],0)),1,1,"")</f>
        <v>8</v>
      </c>
      <c r="AP88" s="51">
        <v>0</v>
      </c>
      <c r="AQ88" s="52">
        <v>0</v>
      </c>
      <c r="AR88" s="51">
        <v>1</v>
      </c>
      <c r="AS88" s="52">
        <v>4</v>
      </c>
      <c r="AT88" s="51">
        <v>0</v>
      </c>
      <c r="AU88" s="52">
        <v>0</v>
      </c>
      <c r="AV88" s="51">
        <v>24</v>
      </c>
      <c r="AW88" s="52">
        <v>96</v>
      </c>
      <c r="AX88" s="51">
        <v>25</v>
      </c>
      <c r="AY88" s="51"/>
      <c r="AZ88" s="51"/>
      <c r="BA88" s="51"/>
      <c r="BB88" s="51"/>
      <c r="BC88" s="2"/>
      <c r="BD88" s="3"/>
      <c r="BE88" s="3"/>
      <c r="BF88" s="3"/>
      <c r="BG88" s="3"/>
    </row>
    <row r="89" spans="1:59" ht="15">
      <c r="A89" s="14" t="s">
        <v>206</v>
      </c>
      <c r="B89" s="15"/>
      <c r="C89" s="15"/>
      <c r="D89" s="87">
        <v>993.4802560655805</v>
      </c>
      <c r="E89" s="81"/>
      <c r="F89" s="109" t="str">
        <f>HYPERLINK("https://i.ytimg.com/vi/EjSCy1GC6Sc/default.jpg")</f>
        <v>https://i.ytimg.com/vi/EjSCy1GC6Sc/default.jpg</v>
      </c>
      <c r="G89" s="15"/>
      <c r="H89" s="16" t="s">
        <v>390</v>
      </c>
      <c r="I89" s="66"/>
      <c r="J89" s="66" t="s">
        <v>159</v>
      </c>
      <c r="K89" s="106" t="s">
        <v>390</v>
      </c>
      <c r="L89" s="88">
        <v>1</v>
      </c>
      <c r="M89" s="89">
        <v>4621.94287109375</v>
      </c>
      <c r="N89" s="89">
        <v>1734.528564453125</v>
      </c>
      <c r="O89" s="77"/>
      <c r="P89" s="90"/>
      <c r="Q89" s="90"/>
      <c r="R89" s="91"/>
      <c r="S89" s="51">
        <v>0</v>
      </c>
      <c r="T89" s="51">
        <v>9</v>
      </c>
      <c r="U89" s="52">
        <v>72</v>
      </c>
      <c r="V89" s="52">
        <v>0.111111</v>
      </c>
      <c r="W89" s="52">
        <v>0</v>
      </c>
      <c r="X89" s="52">
        <v>4.675649</v>
      </c>
      <c r="Y89" s="52">
        <v>0</v>
      </c>
      <c r="Z89" s="52">
        <v>0</v>
      </c>
      <c r="AA89" s="82">
        <v>89</v>
      </c>
      <c r="AB89" s="82"/>
      <c r="AC89" s="92"/>
      <c r="AD89" s="85" t="s">
        <v>390</v>
      </c>
      <c r="AE89" s="85" t="s">
        <v>483</v>
      </c>
      <c r="AF89" s="85" t="s">
        <v>574</v>
      </c>
      <c r="AG89" s="85" t="s">
        <v>627</v>
      </c>
      <c r="AH89" s="85" t="s">
        <v>719</v>
      </c>
      <c r="AI89" s="85">
        <v>16849838</v>
      </c>
      <c r="AJ89" s="85">
        <v>4480</v>
      </c>
      <c r="AK89" s="85">
        <v>107132</v>
      </c>
      <c r="AL89" s="85">
        <v>2879</v>
      </c>
      <c r="AM89" s="85" t="s">
        <v>730</v>
      </c>
      <c r="AN89" s="108" t="str">
        <f>HYPERLINK("https://www.youtube.com/watch?v=EjSCy1GC6Sc")</f>
        <v>https://www.youtube.com/watch?v=EjSCy1GC6Sc</v>
      </c>
      <c r="AO89" s="85" t="str">
        <f>REPLACE(INDEX(GroupVertices[Group],MATCH(Vertices[[#This Row],[Vertex]],GroupVertices[Vertex],0)),1,1,"")</f>
        <v>4</v>
      </c>
      <c r="AP89" s="51">
        <v>0</v>
      </c>
      <c r="AQ89" s="52">
        <v>0</v>
      </c>
      <c r="AR89" s="51">
        <v>1</v>
      </c>
      <c r="AS89" s="52">
        <v>2.5</v>
      </c>
      <c r="AT89" s="51">
        <v>0</v>
      </c>
      <c r="AU89" s="52">
        <v>0</v>
      </c>
      <c r="AV89" s="51">
        <v>39</v>
      </c>
      <c r="AW89" s="52">
        <v>97.5</v>
      </c>
      <c r="AX89" s="51">
        <v>40</v>
      </c>
      <c r="AY89" s="130" t="s">
        <v>1354</v>
      </c>
      <c r="AZ89" s="130" t="s">
        <v>1354</v>
      </c>
      <c r="BA89" s="130" t="s">
        <v>1354</v>
      </c>
      <c r="BB89" s="130" t="s">
        <v>1354</v>
      </c>
      <c r="BC89" s="2"/>
      <c r="BD89" s="3"/>
      <c r="BE89" s="3"/>
      <c r="BF89" s="3"/>
      <c r="BG89" s="3"/>
    </row>
    <row r="90" spans="1:59" ht="15">
      <c r="A90" s="14" t="s">
        <v>283</v>
      </c>
      <c r="B90" s="15"/>
      <c r="C90" s="15"/>
      <c r="D90" s="87">
        <v>1000</v>
      </c>
      <c r="E90" s="81"/>
      <c r="F90" s="109" t="str">
        <f>HYPERLINK("https://i.ytimg.com/vi/YWGVWGa5wuE/default.jpg")</f>
        <v>https://i.ytimg.com/vi/YWGVWGa5wuE/default.jpg</v>
      </c>
      <c r="G90" s="15"/>
      <c r="H90" s="16" t="s">
        <v>391</v>
      </c>
      <c r="I90" s="66"/>
      <c r="J90" s="66" t="s">
        <v>159</v>
      </c>
      <c r="K90" s="106" t="s">
        <v>391</v>
      </c>
      <c r="L90" s="88">
        <v>2500.5</v>
      </c>
      <c r="M90" s="89">
        <v>3195.009521484375</v>
      </c>
      <c r="N90" s="89">
        <v>2217.03564453125</v>
      </c>
      <c r="O90" s="77"/>
      <c r="P90" s="90"/>
      <c r="Q90" s="90"/>
      <c r="R90" s="91"/>
      <c r="S90" s="51">
        <v>1</v>
      </c>
      <c r="T90" s="51">
        <v>0</v>
      </c>
      <c r="U90" s="52">
        <v>0</v>
      </c>
      <c r="V90" s="52">
        <v>0.058824</v>
      </c>
      <c r="W90" s="52">
        <v>0</v>
      </c>
      <c r="X90" s="52">
        <v>0.591589</v>
      </c>
      <c r="Y90" s="52">
        <v>0</v>
      </c>
      <c r="Z90" s="52">
        <v>0</v>
      </c>
      <c r="AA90" s="82">
        <v>90</v>
      </c>
      <c r="AB90" s="82"/>
      <c r="AC90" s="92"/>
      <c r="AD90" s="85" t="s">
        <v>391</v>
      </c>
      <c r="AE90" s="85" t="s">
        <v>484</v>
      </c>
      <c r="AF90" s="85" t="s">
        <v>575</v>
      </c>
      <c r="AG90" s="85" t="s">
        <v>628</v>
      </c>
      <c r="AH90" s="85" t="s">
        <v>720</v>
      </c>
      <c r="AI90" s="85">
        <v>34127726</v>
      </c>
      <c r="AJ90" s="85">
        <v>4395</v>
      </c>
      <c r="AK90" s="85">
        <v>164790</v>
      </c>
      <c r="AL90" s="85">
        <v>5445</v>
      </c>
      <c r="AM90" s="85" t="s">
        <v>730</v>
      </c>
      <c r="AN90" s="108" t="str">
        <f>HYPERLINK("https://www.youtube.com/watch?v=YWGVWGa5wuE")</f>
        <v>https://www.youtube.com/watch?v=YWGVWGa5wuE</v>
      </c>
      <c r="AO90" s="85" t="str">
        <f>REPLACE(INDEX(GroupVertices[Group],MATCH(Vertices[[#This Row],[Vertex]],GroupVertices[Vertex],0)),1,1,"")</f>
        <v>4</v>
      </c>
      <c r="AP90" s="51">
        <v>0</v>
      </c>
      <c r="AQ90" s="52">
        <v>0</v>
      </c>
      <c r="AR90" s="51">
        <v>0</v>
      </c>
      <c r="AS90" s="52">
        <v>0</v>
      </c>
      <c r="AT90" s="51">
        <v>0</v>
      </c>
      <c r="AU90" s="52">
        <v>0</v>
      </c>
      <c r="AV90" s="51">
        <v>45</v>
      </c>
      <c r="AW90" s="52">
        <v>100</v>
      </c>
      <c r="AX90" s="51">
        <v>45</v>
      </c>
      <c r="AY90" s="51"/>
      <c r="AZ90" s="51"/>
      <c r="BA90" s="51"/>
      <c r="BB90" s="51"/>
      <c r="BC90" s="2"/>
      <c r="BD90" s="3"/>
      <c r="BE90" s="3"/>
      <c r="BF90" s="3"/>
      <c r="BG90" s="3"/>
    </row>
    <row r="91" spans="1:59" ht="15">
      <c r="A91" s="14" t="s">
        <v>284</v>
      </c>
      <c r="B91" s="15"/>
      <c r="C91" s="15"/>
      <c r="D91" s="87">
        <v>1000</v>
      </c>
      <c r="E91" s="81"/>
      <c r="F91" s="109" t="str">
        <f>HYPERLINK("https://i.ytimg.com/vi/DkFJE8ZdeG8/default.jpg")</f>
        <v>https://i.ytimg.com/vi/DkFJE8ZdeG8/default.jpg</v>
      </c>
      <c r="G91" s="15"/>
      <c r="H91" s="16" t="s">
        <v>392</v>
      </c>
      <c r="I91" s="66"/>
      <c r="J91" s="66" t="s">
        <v>159</v>
      </c>
      <c r="K91" s="106" t="s">
        <v>392</v>
      </c>
      <c r="L91" s="88">
        <v>2500.5</v>
      </c>
      <c r="M91" s="89">
        <v>3938.93212890625</v>
      </c>
      <c r="N91" s="89">
        <v>387.6782531738281</v>
      </c>
      <c r="O91" s="77"/>
      <c r="P91" s="90"/>
      <c r="Q91" s="90"/>
      <c r="R91" s="91"/>
      <c r="S91" s="51">
        <v>1</v>
      </c>
      <c r="T91" s="51">
        <v>0</v>
      </c>
      <c r="U91" s="52">
        <v>0</v>
      </c>
      <c r="V91" s="52">
        <v>0.058824</v>
      </c>
      <c r="W91" s="52">
        <v>0</v>
      </c>
      <c r="X91" s="52">
        <v>0.591589</v>
      </c>
      <c r="Y91" s="52">
        <v>0</v>
      </c>
      <c r="Z91" s="52">
        <v>0</v>
      </c>
      <c r="AA91" s="82">
        <v>91</v>
      </c>
      <c r="AB91" s="82"/>
      <c r="AC91" s="92"/>
      <c r="AD91" s="85" t="s">
        <v>392</v>
      </c>
      <c r="AE91" s="85" t="s">
        <v>485</v>
      </c>
      <c r="AF91" s="85" t="s">
        <v>576</v>
      </c>
      <c r="AG91" s="85" t="s">
        <v>629</v>
      </c>
      <c r="AH91" s="85" t="s">
        <v>721</v>
      </c>
      <c r="AI91" s="85">
        <v>157776994</v>
      </c>
      <c r="AJ91" s="85">
        <v>66823</v>
      </c>
      <c r="AK91" s="85">
        <v>814737</v>
      </c>
      <c r="AL91" s="85">
        <v>25420</v>
      </c>
      <c r="AM91" s="85" t="s">
        <v>730</v>
      </c>
      <c r="AN91" s="108" t="str">
        <f>HYPERLINK("https://www.youtube.com/watch?v=DkFJE8ZdeG8")</f>
        <v>https://www.youtube.com/watch?v=DkFJE8ZdeG8</v>
      </c>
      <c r="AO91" s="85" t="str">
        <f>REPLACE(INDEX(GroupVertices[Group],MATCH(Vertices[[#This Row],[Vertex]],GroupVertices[Vertex],0)),1,1,"")</f>
        <v>4</v>
      </c>
      <c r="AP91" s="51">
        <v>0</v>
      </c>
      <c r="AQ91" s="52">
        <v>0</v>
      </c>
      <c r="AR91" s="51">
        <v>0</v>
      </c>
      <c r="AS91" s="52">
        <v>0</v>
      </c>
      <c r="AT91" s="51">
        <v>0</v>
      </c>
      <c r="AU91" s="52">
        <v>0</v>
      </c>
      <c r="AV91" s="51">
        <v>2</v>
      </c>
      <c r="AW91" s="52">
        <v>100</v>
      </c>
      <c r="AX91" s="51">
        <v>2</v>
      </c>
      <c r="AY91" s="51"/>
      <c r="AZ91" s="51"/>
      <c r="BA91" s="51"/>
      <c r="BB91" s="51"/>
      <c r="BC91" s="2"/>
      <c r="BD91" s="3"/>
      <c r="BE91" s="3"/>
      <c r="BF91" s="3"/>
      <c r="BG91" s="3"/>
    </row>
    <row r="92" spans="1:59" ht="15">
      <c r="A92" s="14" t="s">
        <v>285</v>
      </c>
      <c r="B92" s="15"/>
      <c r="C92" s="15"/>
      <c r="D92" s="87">
        <v>146.23482306874672</v>
      </c>
      <c r="E92" s="81"/>
      <c r="F92" s="109" t="str">
        <f>HYPERLINK("https://i.ytimg.com/vi/UqOXqxAABxM/default.jpg")</f>
        <v>https://i.ytimg.com/vi/UqOXqxAABxM/default.jpg</v>
      </c>
      <c r="G92" s="15"/>
      <c r="H92" s="16" t="s">
        <v>393</v>
      </c>
      <c r="I92" s="66"/>
      <c r="J92" s="66" t="s">
        <v>159</v>
      </c>
      <c r="K92" s="106" t="s">
        <v>393</v>
      </c>
      <c r="L92" s="88">
        <v>2500.5</v>
      </c>
      <c r="M92" s="89">
        <v>5811.3623046875</v>
      </c>
      <c r="N92" s="89">
        <v>748.6121826171875</v>
      </c>
      <c r="O92" s="77"/>
      <c r="P92" s="90"/>
      <c r="Q92" s="90"/>
      <c r="R92" s="91"/>
      <c r="S92" s="51">
        <v>1</v>
      </c>
      <c r="T92" s="51">
        <v>0</v>
      </c>
      <c r="U92" s="52">
        <v>0</v>
      </c>
      <c r="V92" s="52">
        <v>0.058824</v>
      </c>
      <c r="W92" s="52">
        <v>0</v>
      </c>
      <c r="X92" s="52">
        <v>0.591589</v>
      </c>
      <c r="Y92" s="52">
        <v>0</v>
      </c>
      <c r="Z92" s="52">
        <v>0</v>
      </c>
      <c r="AA92" s="82">
        <v>92</v>
      </c>
      <c r="AB92" s="82"/>
      <c r="AC92" s="92"/>
      <c r="AD92" s="85" t="s">
        <v>393</v>
      </c>
      <c r="AE92" s="85" t="s">
        <v>486</v>
      </c>
      <c r="AF92" s="85"/>
      <c r="AG92" s="85" t="s">
        <v>630</v>
      </c>
      <c r="AH92" s="85" t="s">
        <v>722</v>
      </c>
      <c r="AI92" s="85">
        <v>1240807</v>
      </c>
      <c r="AJ92" s="85">
        <v>290</v>
      </c>
      <c r="AK92" s="85">
        <v>12516</v>
      </c>
      <c r="AL92" s="85">
        <v>324</v>
      </c>
      <c r="AM92" s="85" t="s">
        <v>730</v>
      </c>
      <c r="AN92" s="108" t="str">
        <f>HYPERLINK("https://www.youtube.com/watch?v=UqOXqxAABxM")</f>
        <v>https://www.youtube.com/watch?v=UqOXqxAABxM</v>
      </c>
      <c r="AO92" s="85" t="str">
        <f>REPLACE(INDEX(GroupVertices[Group],MATCH(Vertices[[#This Row],[Vertex]],GroupVertices[Vertex],0)),1,1,"")</f>
        <v>4</v>
      </c>
      <c r="AP92" s="51"/>
      <c r="AQ92" s="52"/>
      <c r="AR92" s="51"/>
      <c r="AS92" s="52"/>
      <c r="AT92" s="51"/>
      <c r="AU92" s="52"/>
      <c r="AV92" s="51"/>
      <c r="AW92" s="52"/>
      <c r="AX92" s="51"/>
      <c r="AY92" s="51"/>
      <c r="AZ92" s="51"/>
      <c r="BA92" s="51"/>
      <c r="BB92" s="51"/>
      <c r="BC92" s="2"/>
      <c r="BD92" s="3"/>
      <c r="BE92" s="3"/>
      <c r="BF92" s="3"/>
      <c r="BG92" s="3"/>
    </row>
    <row r="93" spans="1:59" ht="15">
      <c r="A93" s="14" t="s">
        <v>286</v>
      </c>
      <c r="B93" s="15"/>
      <c r="C93" s="15"/>
      <c r="D93" s="87">
        <v>469.0470676025971</v>
      </c>
      <c r="E93" s="81"/>
      <c r="F93" s="109" t="str">
        <f>HYPERLINK("https://i.ytimg.com/vi/6_35a7sn6ds/default.jpg")</f>
        <v>https://i.ytimg.com/vi/6_35a7sn6ds/default.jpg</v>
      </c>
      <c r="G93" s="15"/>
      <c r="H93" s="16" t="s">
        <v>394</v>
      </c>
      <c r="I93" s="66"/>
      <c r="J93" s="66" t="s">
        <v>159</v>
      </c>
      <c r="K93" s="106" t="s">
        <v>394</v>
      </c>
      <c r="L93" s="88">
        <v>2500.5</v>
      </c>
      <c r="M93" s="89">
        <v>3244.786865234375</v>
      </c>
      <c r="N93" s="89">
        <v>1102.993408203125</v>
      </c>
      <c r="O93" s="77"/>
      <c r="P93" s="90"/>
      <c r="Q93" s="90"/>
      <c r="R93" s="91"/>
      <c r="S93" s="51">
        <v>1</v>
      </c>
      <c r="T93" s="51">
        <v>0</v>
      </c>
      <c r="U93" s="52">
        <v>0</v>
      </c>
      <c r="V93" s="52">
        <v>0.058824</v>
      </c>
      <c r="W93" s="52">
        <v>0</v>
      </c>
      <c r="X93" s="52">
        <v>0.591589</v>
      </c>
      <c r="Y93" s="52">
        <v>0</v>
      </c>
      <c r="Z93" s="52">
        <v>0</v>
      </c>
      <c r="AA93" s="82">
        <v>93</v>
      </c>
      <c r="AB93" s="82"/>
      <c r="AC93" s="92"/>
      <c r="AD93" s="85" t="s">
        <v>394</v>
      </c>
      <c r="AE93" s="85" t="s">
        <v>487</v>
      </c>
      <c r="AF93" s="85" t="s">
        <v>577</v>
      </c>
      <c r="AG93" s="85" t="s">
        <v>631</v>
      </c>
      <c r="AH93" s="85" t="s">
        <v>723</v>
      </c>
      <c r="AI93" s="85">
        <v>7188064</v>
      </c>
      <c r="AJ93" s="85">
        <v>12996</v>
      </c>
      <c r="AK93" s="85">
        <v>224488</v>
      </c>
      <c r="AL93" s="85">
        <v>10345</v>
      </c>
      <c r="AM93" s="85" t="s">
        <v>730</v>
      </c>
      <c r="AN93" s="108" t="str">
        <f>HYPERLINK("https://www.youtube.com/watch?v=6_35a7sn6ds")</f>
        <v>https://www.youtube.com/watch?v=6_35a7sn6ds</v>
      </c>
      <c r="AO93" s="85" t="str">
        <f>REPLACE(INDEX(GroupVertices[Group],MATCH(Vertices[[#This Row],[Vertex]],GroupVertices[Vertex],0)),1,1,"")</f>
        <v>4</v>
      </c>
      <c r="AP93" s="51">
        <v>0</v>
      </c>
      <c r="AQ93" s="52">
        <v>0</v>
      </c>
      <c r="AR93" s="51">
        <v>0</v>
      </c>
      <c r="AS93" s="52">
        <v>0</v>
      </c>
      <c r="AT93" s="51">
        <v>0</v>
      </c>
      <c r="AU93" s="52">
        <v>0</v>
      </c>
      <c r="AV93" s="51">
        <v>21</v>
      </c>
      <c r="AW93" s="52">
        <v>100</v>
      </c>
      <c r="AX93" s="51">
        <v>21</v>
      </c>
      <c r="AY93" s="51"/>
      <c r="AZ93" s="51"/>
      <c r="BA93" s="51"/>
      <c r="BB93" s="51"/>
      <c r="BC93" s="2"/>
      <c r="BD93" s="3"/>
      <c r="BE93" s="3"/>
      <c r="BF93" s="3"/>
      <c r="BG93" s="3"/>
    </row>
    <row r="94" spans="1:59" ht="15">
      <c r="A94" s="14" t="s">
        <v>287</v>
      </c>
      <c r="B94" s="15"/>
      <c r="C94" s="15"/>
      <c r="D94" s="87">
        <v>1000</v>
      </c>
      <c r="E94" s="81"/>
      <c r="F94" s="109" t="str">
        <f>HYPERLINK("https://i.ytimg.com/vi/B0cVKmkYamU/default.jpg")</f>
        <v>https://i.ytimg.com/vi/B0cVKmkYamU/default.jpg</v>
      </c>
      <c r="G94" s="15"/>
      <c r="H94" s="16" t="s">
        <v>395</v>
      </c>
      <c r="I94" s="66"/>
      <c r="J94" s="66" t="s">
        <v>159</v>
      </c>
      <c r="K94" s="106" t="s">
        <v>395</v>
      </c>
      <c r="L94" s="88">
        <v>2500.5</v>
      </c>
      <c r="M94" s="89">
        <v>4952.5478515625</v>
      </c>
      <c r="N94" s="89">
        <v>387.6782531738281</v>
      </c>
      <c r="O94" s="77"/>
      <c r="P94" s="90"/>
      <c r="Q94" s="90"/>
      <c r="R94" s="91"/>
      <c r="S94" s="51">
        <v>1</v>
      </c>
      <c r="T94" s="51">
        <v>0</v>
      </c>
      <c r="U94" s="52">
        <v>0</v>
      </c>
      <c r="V94" s="52">
        <v>0.058824</v>
      </c>
      <c r="W94" s="52">
        <v>0</v>
      </c>
      <c r="X94" s="52">
        <v>0.591589</v>
      </c>
      <c r="Y94" s="52">
        <v>0</v>
      </c>
      <c r="Z94" s="52">
        <v>0</v>
      </c>
      <c r="AA94" s="82">
        <v>94</v>
      </c>
      <c r="AB94" s="82"/>
      <c r="AC94" s="92"/>
      <c r="AD94" s="85" t="s">
        <v>395</v>
      </c>
      <c r="AE94" s="85" t="s">
        <v>488</v>
      </c>
      <c r="AF94" s="85" t="s">
        <v>578</v>
      </c>
      <c r="AG94" s="85" t="s">
        <v>627</v>
      </c>
      <c r="AH94" s="85" t="s">
        <v>724</v>
      </c>
      <c r="AI94" s="85">
        <v>85127766</v>
      </c>
      <c r="AJ94" s="85">
        <v>7367</v>
      </c>
      <c r="AK94" s="85">
        <v>238891</v>
      </c>
      <c r="AL94" s="85">
        <v>14559</v>
      </c>
      <c r="AM94" s="85" t="s">
        <v>730</v>
      </c>
      <c r="AN94" s="108" t="str">
        <f>HYPERLINK("https://www.youtube.com/watch?v=B0cVKmkYamU")</f>
        <v>https://www.youtube.com/watch?v=B0cVKmkYamU</v>
      </c>
      <c r="AO94" s="85" t="str">
        <f>REPLACE(INDEX(GroupVertices[Group],MATCH(Vertices[[#This Row],[Vertex]],GroupVertices[Vertex],0)),1,1,"")</f>
        <v>4</v>
      </c>
      <c r="AP94" s="51">
        <v>1</v>
      </c>
      <c r="AQ94" s="52">
        <v>1.408450704225352</v>
      </c>
      <c r="AR94" s="51">
        <v>0</v>
      </c>
      <c r="AS94" s="52">
        <v>0</v>
      </c>
      <c r="AT94" s="51">
        <v>0</v>
      </c>
      <c r="AU94" s="52">
        <v>0</v>
      </c>
      <c r="AV94" s="51">
        <v>70</v>
      </c>
      <c r="AW94" s="52">
        <v>98.59154929577464</v>
      </c>
      <c r="AX94" s="51">
        <v>71</v>
      </c>
      <c r="AY94" s="51"/>
      <c r="AZ94" s="51"/>
      <c r="BA94" s="51"/>
      <c r="BB94" s="51"/>
      <c r="BC94" s="2"/>
      <c r="BD94" s="3"/>
      <c r="BE94" s="3"/>
      <c r="BF94" s="3"/>
      <c r="BG94" s="3"/>
    </row>
    <row r="95" spans="1:59" ht="15">
      <c r="A95" s="14" t="s">
        <v>288</v>
      </c>
      <c r="B95" s="15"/>
      <c r="C95" s="15"/>
      <c r="D95" s="87">
        <v>676.2868838840861</v>
      </c>
      <c r="E95" s="81"/>
      <c r="F95" s="109" t="str">
        <f>HYPERLINK("https://i.ytimg.com/vi/Z-YyVinb0NM/default.jpg")</f>
        <v>https://i.ytimg.com/vi/Z-YyVinb0NM/default.jpg</v>
      </c>
      <c r="G95" s="15"/>
      <c r="H95" s="16" t="s">
        <v>396</v>
      </c>
      <c r="I95" s="66"/>
      <c r="J95" s="66" t="s">
        <v>159</v>
      </c>
      <c r="K95" s="106" t="s">
        <v>396</v>
      </c>
      <c r="L95" s="88">
        <v>2500.5</v>
      </c>
      <c r="M95" s="89">
        <v>5718.00390625</v>
      </c>
      <c r="N95" s="89">
        <v>2841.703125</v>
      </c>
      <c r="O95" s="77"/>
      <c r="P95" s="90"/>
      <c r="Q95" s="90"/>
      <c r="R95" s="91"/>
      <c r="S95" s="51">
        <v>1</v>
      </c>
      <c r="T95" s="51">
        <v>0</v>
      </c>
      <c r="U95" s="52">
        <v>0</v>
      </c>
      <c r="V95" s="52">
        <v>0.058824</v>
      </c>
      <c r="W95" s="52">
        <v>0</v>
      </c>
      <c r="X95" s="52">
        <v>0.591589</v>
      </c>
      <c r="Y95" s="52">
        <v>0</v>
      </c>
      <c r="Z95" s="52">
        <v>0</v>
      </c>
      <c r="AA95" s="82">
        <v>95</v>
      </c>
      <c r="AB95" s="82"/>
      <c r="AC95" s="92"/>
      <c r="AD95" s="85" t="s">
        <v>396</v>
      </c>
      <c r="AE95" s="85" t="s">
        <v>489</v>
      </c>
      <c r="AF95" s="85" t="s">
        <v>579</v>
      </c>
      <c r="AG95" s="85" t="s">
        <v>632</v>
      </c>
      <c r="AH95" s="85" t="s">
        <v>725</v>
      </c>
      <c r="AI95" s="85">
        <v>11006099</v>
      </c>
      <c r="AJ95" s="85">
        <v>1021</v>
      </c>
      <c r="AK95" s="85">
        <v>75689</v>
      </c>
      <c r="AL95" s="85">
        <v>1774</v>
      </c>
      <c r="AM95" s="85" t="s">
        <v>730</v>
      </c>
      <c r="AN95" s="108" t="str">
        <f>HYPERLINK("https://www.youtube.com/watch?v=Z-YyVinb0NM")</f>
        <v>https://www.youtube.com/watch?v=Z-YyVinb0NM</v>
      </c>
      <c r="AO95" s="85" t="str">
        <f>REPLACE(INDEX(GroupVertices[Group],MATCH(Vertices[[#This Row],[Vertex]],GroupVertices[Vertex],0)),1,1,"")</f>
        <v>4</v>
      </c>
      <c r="AP95" s="51">
        <v>0</v>
      </c>
      <c r="AQ95" s="52">
        <v>0</v>
      </c>
      <c r="AR95" s="51">
        <v>0</v>
      </c>
      <c r="AS95" s="52">
        <v>0</v>
      </c>
      <c r="AT95" s="51">
        <v>0</v>
      </c>
      <c r="AU95" s="52">
        <v>0</v>
      </c>
      <c r="AV95" s="51">
        <v>12</v>
      </c>
      <c r="AW95" s="52">
        <v>100</v>
      </c>
      <c r="AX95" s="51">
        <v>12</v>
      </c>
      <c r="AY95" s="51"/>
      <c r="AZ95" s="51"/>
      <c r="BA95" s="51"/>
      <c r="BB95" s="51"/>
      <c r="BC95" s="2"/>
      <c r="BD95" s="3"/>
      <c r="BE95" s="3"/>
      <c r="BF95" s="3"/>
      <c r="BG95" s="3"/>
    </row>
    <row r="96" spans="1:59" ht="15">
      <c r="A96" s="14" t="s">
        <v>289</v>
      </c>
      <c r="B96" s="15"/>
      <c r="C96" s="15"/>
      <c r="D96" s="87">
        <v>1000</v>
      </c>
      <c r="E96" s="81"/>
      <c r="F96" s="109" t="str">
        <f>HYPERLINK("https://i.ytimg.com/vi/FK3HyJglFQ0/default.jpg")</f>
        <v>https://i.ytimg.com/vi/FK3HyJglFQ0/default.jpg</v>
      </c>
      <c r="G96" s="15"/>
      <c r="H96" s="16" t="s">
        <v>397</v>
      </c>
      <c r="I96" s="66"/>
      <c r="J96" s="66" t="s">
        <v>159</v>
      </c>
      <c r="K96" s="106" t="s">
        <v>397</v>
      </c>
      <c r="L96" s="88">
        <v>2500.5</v>
      </c>
      <c r="M96" s="89">
        <v>4809.56689453125</v>
      </c>
      <c r="N96" s="89">
        <v>3352.265869140625</v>
      </c>
      <c r="O96" s="77"/>
      <c r="P96" s="90"/>
      <c r="Q96" s="90"/>
      <c r="R96" s="91"/>
      <c r="S96" s="51">
        <v>1</v>
      </c>
      <c r="T96" s="51">
        <v>0</v>
      </c>
      <c r="U96" s="52">
        <v>0</v>
      </c>
      <c r="V96" s="52">
        <v>0.058824</v>
      </c>
      <c r="W96" s="52">
        <v>0</v>
      </c>
      <c r="X96" s="52">
        <v>0.591589</v>
      </c>
      <c r="Y96" s="52">
        <v>0</v>
      </c>
      <c r="Z96" s="52">
        <v>0</v>
      </c>
      <c r="AA96" s="82">
        <v>96</v>
      </c>
      <c r="AB96" s="82"/>
      <c r="AC96" s="92"/>
      <c r="AD96" s="85" t="s">
        <v>397</v>
      </c>
      <c r="AE96" s="85" t="s">
        <v>490</v>
      </c>
      <c r="AF96" s="85" t="s">
        <v>580</v>
      </c>
      <c r="AG96" s="85" t="s">
        <v>629</v>
      </c>
      <c r="AH96" s="85" t="s">
        <v>726</v>
      </c>
      <c r="AI96" s="85">
        <v>32831997</v>
      </c>
      <c r="AJ96" s="85">
        <v>3591</v>
      </c>
      <c r="AK96" s="85">
        <v>161079</v>
      </c>
      <c r="AL96" s="85">
        <v>5082</v>
      </c>
      <c r="AM96" s="85" t="s">
        <v>730</v>
      </c>
      <c r="AN96" s="108" t="str">
        <f>HYPERLINK("https://www.youtube.com/watch?v=FK3HyJglFQ0")</f>
        <v>https://www.youtube.com/watch?v=FK3HyJglFQ0</v>
      </c>
      <c r="AO96" s="85" t="str">
        <f>REPLACE(INDEX(GroupVertices[Group],MATCH(Vertices[[#This Row],[Vertex]],GroupVertices[Vertex],0)),1,1,"")</f>
        <v>4</v>
      </c>
      <c r="AP96" s="51">
        <v>0</v>
      </c>
      <c r="AQ96" s="52">
        <v>0</v>
      </c>
      <c r="AR96" s="51">
        <v>0</v>
      </c>
      <c r="AS96" s="52">
        <v>0</v>
      </c>
      <c r="AT96" s="51">
        <v>0</v>
      </c>
      <c r="AU96" s="52">
        <v>0</v>
      </c>
      <c r="AV96" s="51">
        <v>23</v>
      </c>
      <c r="AW96" s="52">
        <v>100</v>
      </c>
      <c r="AX96" s="51">
        <v>23</v>
      </c>
      <c r="AY96" s="51"/>
      <c r="AZ96" s="51"/>
      <c r="BA96" s="51"/>
      <c r="BB96" s="51"/>
      <c r="BC96" s="2"/>
      <c r="BD96" s="3"/>
      <c r="BE96" s="3"/>
      <c r="BF96" s="3"/>
      <c r="BG96" s="3"/>
    </row>
    <row r="97" spans="1:59" ht="15">
      <c r="A97" s="14" t="s">
        <v>290</v>
      </c>
      <c r="B97" s="15"/>
      <c r="C97" s="15"/>
      <c r="D97" s="87">
        <v>1000</v>
      </c>
      <c r="E97" s="81"/>
      <c r="F97" s="109" t="str">
        <f>HYPERLINK("https://i.ytimg.com/vi/LUk73pUe9i4/default.jpg")</f>
        <v>https://i.ytimg.com/vi/LUk73pUe9i4/default.jpg</v>
      </c>
      <c r="G97" s="15"/>
      <c r="H97" s="16" t="s">
        <v>398</v>
      </c>
      <c r="I97" s="66"/>
      <c r="J97" s="66" t="s">
        <v>159</v>
      </c>
      <c r="K97" s="106" t="s">
        <v>398</v>
      </c>
      <c r="L97" s="88">
        <v>2500.5</v>
      </c>
      <c r="M97" s="89">
        <v>3813.32958984375</v>
      </c>
      <c r="N97" s="89">
        <v>3104.874755859375</v>
      </c>
      <c r="O97" s="77"/>
      <c r="P97" s="90"/>
      <c r="Q97" s="90"/>
      <c r="R97" s="91"/>
      <c r="S97" s="51">
        <v>1</v>
      </c>
      <c r="T97" s="51">
        <v>0</v>
      </c>
      <c r="U97" s="52">
        <v>0</v>
      </c>
      <c r="V97" s="52">
        <v>0.058824</v>
      </c>
      <c r="W97" s="52">
        <v>0</v>
      </c>
      <c r="X97" s="52">
        <v>0.591589</v>
      </c>
      <c r="Y97" s="52">
        <v>0</v>
      </c>
      <c r="Z97" s="52">
        <v>0</v>
      </c>
      <c r="AA97" s="82">
        <v>97</v>
      </c>
      <c r="AB97" s="82"/>
      <c r="AC97" s="92"/>
      <c r="AD97" s="85" t="s">
        <v>398</v>
      </c>
      <c r="AE97" s="85" t="s">
        <v>491</v>
      </c>
      <c r="AF97" s="85" t="s">
        <v>581</v>
      </c>
      <c r="AG97" s="85" t="s">
        <v>627</v>
      </c>
      <c r="AH97" s="85" t="s">
        <v>727</v>
      </c>
      <c r="AI97" s="85">
        <v>106201512</v>
      </c>
      <c r="AJ97" s="85">
        <v>19198</v>
      </c>
      <c r="AK97" s="85">
        <v>562911</v>
      </c>
      <c r="AL97" s="85">
        <v>17682</v>
      </c>
      <c r="AM97" s="85" t="s">
        <v>730</v>
      </c>
      <c r="AN97" s="108" t="str">
        <f>HYPERLINK("https://www.youtube.com/watch?v=LUk73pUe9i4")</f>
        <v>https://www.youtube.com/watch?v=LUk73pUe9i4</v>
      </c>
      <c r="AO97" s="85" t="str">
        <f>REPLACE(INDEX(GroupVertices[Group],MATCH(Vertices[[#This Row],[Vertex]],GroupVertices[Vertex],0)),1,1,"")</f>
        <v>4</v>
      </c>
      <c r="AP97" s="51">
        <v>0</v>
      </c>
      <c r="AQ97" s="52">
        <v>0</v>
      </c>
      <c r="AR97" s="51">
        <v>0</v>
      </c>
      <c r="AS97" s="52">
        <v>0</v>
      </c>
      <c r="AT97" s="51">
        <v>0</v>
      </c>
      <c r="AU97" s="52">
        <v>0</v>
      </c>
      <c r="AV97" s="51">
        <v>20</v>
      </c>
      <c r="AW97" s="52">
        <v>100</v>
      </c>
      <c r="AX97" s="51">
        <v>20</v>
      </c>
      <c r="AY97" s="51"/>
      <c r="AZ97" s="51"/>
      <c r="BA97" s="51"/>
      <c r="BB97" s="51"/>
      <c r="BC97" s="2"/>
      <c r="BD97" s="3"/>
      <c r="BE97" s="3"/>
      <c r="BF97" s="3"/>
      <c r="BG97" s="3"/>
    </row>
    <row r="98" spans="1:59" ht="15">
      <c r="A98" s="93" t="s">
        <v>291</v>
      </c>
      <c r="B98" s="94"/>
      <c r="C98" s="94"/>
      <c r="D98" s="95">
        <v>1000</v>
      </c>
      <c r="E98" s="96"/>
      <c r="F98" s="110" t="str">
        <f>HYPERLINK("https://i.ytimg.com/vi/Zl_GlPquElI/default.jpg")</f>
        <v>https://i.ytimg.com/vi/Zl_GlPquElI/default.jpg</v>
      </c>
      <c r="G98" s="94"/>
      <c r="H98" s="97" t="s">
        <v>399</v>
      </c>
      <c r="I98" s="98"/>
      <c r="J98" s="98" t="s">
        <v>159</v>
      </c>
      <c r="K98" s="107" t="s">
        <v>399</v>
      </c>
      <c r="L98" s="99">
        <v>2500.5</v>
      </c>
      <c r="M98" s="100">
        <v>6114.0380859375</v>
      </c>
      <c r="N98" s="100">
        <v>1813.7252197265625</v>
      </c>
      <c r="O98" s="101"/>
      <c r="P98" s="102"/>
      <c r="Q98" s="102"/>
      <c r="R98" s="103"/>
      <c r="S98" s="51">
        <v>1</v>
      </c>
      <c r="T98" s="51">
        <v>0</v>
      </c>
      <c r="U98" s="52">
        <v>0</v>
      </c>
      <c r="V98" s="52">
        <v>0.058824</v>
      </c>
      <c r="W98" s="52">
        <v>0</v>
      </c>
      <c r="X98" s="52">
        <v>0.591589</v>
      </c>
      <c r="Y98" s="52">
        <v>0</v>
      </c>
      <c r="Z98" s="52">
        <v>0</v>
      </c>
      <c r="AA98" s="104">
        <v>98</v>
      </c>
      <c r="AB98" s="104"/>
      <c r="AC98" s="105"/>
      <c r="AD98" s="85" t="s">
        <v>399</v>
      </c>
      <c r="AE98" s="85" t="s">
        <v>492</v>
      </c>
      <c r="AF98" s="85" t="s">
        <v>582</v>
      </c>
      <c r="AG98" s="85" t="s">
        <v>633</v>
      </c>
      <c r="AH98" s="85" t="s">
        <v>728</v>
      </c>
      <c r="AI98" s="85">
        <v>28807487</v>
      </c>
      <c r="AJ98" s="85">
        <v>20702</v>
      </c>
      <c r="AK98" s="85">
        <v>477308</v>
      </c>
      <c r="AL98" s="85">
        <v>9817</v>
      </c>
      <c r="AM98" s="85" t="s">
        <v>730</v>
      </c>
      <c r="AN98" s="108" t="str">
        <f>HYPERLINK("https://www.youtube.com/watch?v=Zl_GlPquElI")</f>
        <v>https://www.youtube.com/watch?v=Zl_GlPquElI</v>
      </c>
      <c r="AO98" s="85" t="str">
        <f>REPLACE(INDEX(GroupVertices[Group],MATCH(Vertices[[#This Row],[Vertex]],GroupVertices[Vertex],0)),1,1,"")</f>
        <v>4</v>
      </c>
      <c r="AP98" s="51">
        <v>0</v>
      </c>
      <c r="AQ98" s="52">
        <v>0</v>
      </c>
      <c r="AR98" s="51">
        <v>1</v>
      </c>
      <c r="AS98" s="52">
        <v>1.694915254237288</v>
      </c>
      <c r="AT98" s="51">
        <v>0</v>
      </c>
      <c r="AU98" s="52">
        <v>0</v>
      </c>
      <c r="AV98" s="51">
        <v>58</v>
      </c>
      <c r="AW98" s="52">
        <v>98.30508474576271</v>
      </c>
      <c r="AX98" s="51">
        <v>59</v>
      </c>
      <c r="AY98" s="51"/>
      <c r="AZ98" s="51"/>
      <c r="BA98" s="51"/>
      <c r="BB98" s="51"/>
      <c r="BC98" s="2"/>
      <c r="BD98" s="3"/>
      <c r="BE98" s="3"/>
      <c r="BF98" s="3"/>
      <c r="BG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1185</v>
      </c>
      <c r="Z2" s="67" t="s">
        <v>1186</v>
      </c>
      <c r="AA2" s="67" t="s">
        <v>1187</v>
      </c>
      <c r="AB2" s="67" t="s">
        <v>1188</v>
      </c>
      <c r="AC2" s="67" t="s">
        <v>1189</v>
      </c>
      <c r="AD2" s="67" t="s">
        <v>1190</v>
      </c>
      <c r="AE2" s="67" t="s">
        <v>1191</v>
      </c>
      <c r="AF2" s="67" t="s">
        <v>1192</v>
      </c>
      <c r="AG2" s="67" t="s">
        <v>1195</v>
      </c>
      <c r="AH2" s="13" t="s">
        <v>1249</v>
      </c>
      <c r="AI2" s="13" t="s">
        <v>1343</v>
      </c>
    </row>
    <row r="3" spans="1:35" ht="15">
      <c r="A3" s="121" t="s">
        <v>749</v>
      </c>
      <c r="B3" s="122" t="s">
        <v>758</v>
      </c>
      <c r="C3" s="122" t="s">
        <v>56</v>
      </c>
      <c r="D3" s="113"/>
      <c r="E3" s="112"/>
      <c r="F3" s="114" t="s">
        <v>1359</v>
      </c>
      <c r="G3" s="115"/>
      <c r="H3" s="115"/>
      <c r="I3" s="116">
        <v>3</v>
      </c>
      <c r="J3" s="117"/>
      <c r="K3" s="51">
        <v>19</v>
      </c>
      <c r="L3" s="51">
        <v>20</v>
      </c>
      <c r="M3" s="51">
        <v>0</v>
      </c>
      <c r="N3" s="51">
        <v>20</v>
      </c>
      <c r="O3" s="51">
        <v>0</v>
      </c>
      <c r="P3" s="52">
        <v>0.05263157894736842</v>
      </c>
      <c r="Q3" s="52">
        <v>0.1</v>
      </c>
      <c r="R3" s="51">
        <v>1</v>
      </c>
      <c r="S3" s="51">
        <v>0</v>
      </c>
      <c r="T3" s="51">
        <v>19</v>
      </c>
      <c r="U3" s="51">
        <v>20</v>
      </c>
      <c r="V3" s="51">
        <v>3</v>
      </c>
      <c r="W3" s="52">
        <v>2.144044</v>
      </c>
      <c r="X3" s="52">
        <v>0.05847953216374269</v>
      </c>
      <c r="Y3" s="51">
        <v>4</v>
      </c>
      <c r="Z3" s="52">
        <v>0.7532956685499058</v>
      </c>
      <c r="AA3" s="51">
        <v>3</v>
      </c>
      <c r="AB3" s="52">
        <v>0.5649717514124294</v>
      </c>
      <c r="AC3" s="51">
        <v>0</v>
      </c>
      <c r="AD3" s="52">
        <v>0</v>
      </c>
      <c r="AE3" s="51">
        <v>524</v>
      </c>
      <c r="AF3" s="52">
        <v>98.68173258003766</v>
      </c>
      <c r="AG3" s="51">
        <v>531</v>
      </c>
      <c r="AH3" s="123" t="s">
        <v>1250</v>
      </c>
      <c r="AI3" s="123" t="s">
        <v>1344</v>
      </c>
    </row>
    <row r="4" spans="1:35" ht="15">
      <c r="A4" s="121" t="s">
        <v>750</v>
      </c>
      <c r="B4" s="122" t="s">
        <v>759</v>
      </c>
      <c r="C4" s="122" t="s">
        <v>56</v>
      </c>
      <c r="D4" s="118"/>
      <c r="E4" s="94"/>
      <c r="F4" s="97" t="s">
        <v>1360</v>
      </c>
      <c r="G4" s="101"/>
      <c r="H4" s="101"/>
      <c r="I4" s="119">
        <v>4</v>
      </c>
      <c r="J4" s="104"/>
      <c r="K4" s="51">
        <v>11</v>
      </c>
      <c r="L4" s="51">
        <v>10</v>
      </c>
      <c r="M4" s="51">
        <v>0</v>
      </c>
      <c r="N4" s="51">
        <v>10</v>
      </c>
      <c r="O4" s="51">
        <v>0</v>
      </c>
      <c r="P4" s="52">
        <v>0</v>
      </c>
      <c r="Q4" s="52">
        <v>0</v>
      </c>
      <c r="R4" s="51">
        <v>1</v>
      </c>
      <c r="S4" s="51">
        <v>0</v>
      </c>
      <c r="T4" s="51">
        <v>11</v>
      </c>
      <c r="U4" s="51">
        <v>10</v>
      </c>
      <c r="V4" s="51">
        <v>2</v>
      </c>
      <c r="W4" s="52">
        <v>1.652893</v>
      </c>
      <c r="X4" s="52">
        <v>0.09090909090909091</v>
      </c>
      <c r="Y4" s="51">
        <v>4</v>
      </c>
      <c r="Z4" s="52">
        <v>0.6420545746388443</v>
      </c>
      <c r="AA4" s="51">
        <v>35</v>
      </c>
      <c r="AB4" s="52">
        <v>5.617977528089888</v>
      </c>
      <c r="AC4" s="51">
        <v>0</v>
      </c>
      <c r="AD4" s="52">
        <v>0</v>
      </c>
      <c r="AE4" s="51">
        <v>584</v>
      </c>
      <c r="AF4" s="52">
        <v>93.73996789727127</v>
      </c>
      <c r="AG4" s="51">
        <v>623</v>
      </c>
      <c r="AH4" s="123" t="s">
        <v>1251</v>
      </c>
      <c r="AI4" s="123" t="s">
        <v>1345</v>
      </c>
    </row>
    <row r="5" spans="1:35" ht="15">
      <c r="A5" s="121" t="s">
        <v>751</v>
      </c>
      <c r="B5" s="122" t="s">
        <v>760</v>
      </c>
      <c r="C5" s="122" t="s">
        <v>56</v>
      </c>
      <c r="D5" s="118"/>
      <c r="E5" s="94"/>
      <c r="F5" s="97" t="s">
        <v>1361</v>
      </c>
      <c r="G5" s="101"/>
      <c r="H5" s="101"/>
      <c r="I5" s="119">
        <v>5</v>
      </c>
      <c r="J5" s="104"/>
      <c r="K5" s="51">
        <v>11</v>
      </c>
      <c r="L5" s="51">
        <v>10</v>
      </c>
      <c r="M5" s="51">
        <v>0</v>
      </c>
      <c r="N5" s="51">
        <v>10</v>
      </c>
      <c r="O5" s="51">
        <v>0</v>
      </c>
      <c r="P5" s="52">
        <v>0</v>
      </c>
      <c r="Q5" s="52">
        <v>0</v>
      </c>
      <c r="R5" s="51">
        <v>1</v>
      </c>
      <c r="S5" s="51">
        <v>0</v>
      </c>
      <c r="T5" s="51">
        <v>11</v>
      </c>
      <c r="U5" s="51">
        <v>10</v>
      </c>
      <c r="V5" s="51">
        <v>2</v>
      </c>
      <c r="W5" s="52">
        <v>1.652893</v>
      </c>
      <c r="X5" s="52">
        <v>0.09090909090909091</v>
      </c>
      <c r="Y5" s="51">
        <v>24</v>
      </c>
      <c r="Z5" s="52">
        <v>3.6809815950920246</v>
      </c>
      <c r="AA5" s="51">
        <v>32</v>
      </c>
      <c r="AB5" s="52">
        <v>4.9079754601226995</v>
      </c>
      <c r="AC5" s="51">
        <v>0</v>
      </c>
      <c r="AD5" s="52">
        <v>0</v>
      </c>
      <c r="AE5" s="51">
        <v>596</v>
      </c>
      <c r="AF5" s="52">
        <v>91.41104294478528</v>
      </c>
      <c r="AG5" s="51">
        <v>652</v>
      </c>
      <c r="AH5" s="123" t="s">
        <v>1252</v>
      </c>
      <c r="AI5" s="123" t="s">
        <v>1346</v>
      </c>
    </row>
    <row r="6" spans="1:35" ht="15">
      <c r="A6" s="121" t="s">
        <v>752</v>
      </c>
      <c r="B6" s="122" t="s">
        <v>761</v>
      </c>
      <c r="C6" s="122" t="s">
        <v>56</v>
      </c>
      <c r="D6" s="118"/>
      <c r="E6" s="94"/>
      <c r="F6" s="97" t="s">
        <v>1362</v>
      </c>
      <c r="G6" s="101"/>
      <c r="H6" s="101"/>
      <c r="I6" s="119">
        <v>6</v>
      </c>
      <c r="J6" s="104"/>
      <c r="K6" s="51">
        <v>10</v>
      </c>
      <c r="L6" s="51">
        <v>9</v>
      </c>
      <c r="M6" s="51">
        <v>0</v>
      </c>
      <c r="N6" s="51">
        <v>9</v>
      </c>
      <c r="O6" s="51">
        <v>0</v>
      </c>
      <c r="P6" s="52">
        <v>0</v>
      </c>
      <c r="Q6" s="52">
        <v>0</v>
      </c>
      <c r="R6" s="51">
        <v>1</v>
      </c>
      <c r="S6" s="51">
        <v>0</v>
      </c>
      <c r="T6" s="51">
        <v>10</v>
      </c>
      <c r="U6" s="51">
        <v>9</v>
      </c>
      <c r="V6" s="51">
        <v>2</v>
      </c>
      <c r="W6" s="52">
        <v>1.62</v>
      </c>
      <c r="X6" s="52">
        <v>0.1</v>
      </c>
      <c r="Y6" s="51">
        <v>1</v>
      </c>
      <c r="Z6" s="52">
        <v>0.3412969283276451</v>
      </c>
      <c r="AA6" s="51">
        <v>2</v>
      </c>
      <c r="AB6" s="52">
        <v>0.6825938566552902</v>
      </c>
      <c r="AC6" s="51">
        <v>0</v>
      </c>
      <c r="AD6" s="52">
        <v>0</v>
      </c>
      <c r="AE6" s="51">
        <v>290</v>
      </c>
      <c r="AF6" s="52">
        <v>98.97610921501706</v>
      </c>
      <c r="AG6" s="51">
        <v>293</v>
      </c>
      <c r="AH6" s="123" t="s">
        <v>1253</v>
      </c>
      <c r="AI6" s="123" t="s">
        <v>1347</v>
      </c>
    </row>
    <row r="7" spans="1:35" ht="15">
      <c r="A7" s="121" t="s">
        <v>753</v>
      </c>
      <c r="B7" s="122" t="s">
        <v>762</v>
      </c>
      <c r="C7" s="122" t="s">
        <v>56</v>
      </c>
      <c r="D7" s="118"/>
      <c r="E7" s="94"/>
      <c r="F7" s="97" t="s">
        <v>1363</v>
      </c>
      <c r="G7" s="101"/>
      <c r="H7" s="101"/>
      <c r="I7" s="119">
        <v>7</v>
      </c>
      <c r="J7" s="104"/>
      <c r="K7" s="51">
        <v>10</v>
      </c>
      <c r="L7" s="51">
        <v>9</v>
      </c>
      <c r="M7" s="51">
        <v>0</v>
      </c>
      <c r="N7" s="51">
        <v>9</v>
      </c>
      <c r="O7" s="51">
        <v>0</v>
      </c>
      <c r="P7" s="52">
        <v>0</v>
      </c>
      <c r="Q7" s="52">
        <v>0</v>
      </c>
      <c r="R7" s="51">
        <v>1</v>
      </c>
      <c r="S7" s="51">
        <v>0</v>
      </c>
      <c r="T7" s="51">
        <v>10</v>
      </c>
      <c r="U7" s="51">
        <v>9</v>
      </c>
      <c r="V7" s="51">
        <v>2</v>
      </c>
      <c r="W7" s="52">
        <v>1.62</v>
      </c>
      <c r="X7" s="52">
        <v>0.1</v>
      </c>
      <c r="Y7" s="51">
        <v>4</v>
      </c>
      <c r="Z7" s="52">
        <v>3.9215686274509802</v>
      </c>
      <c r="AA7" s="51">
        <v>3</v>
      </c>
      <c r="AB7" s="52">
        <v>2.9411764705882355</v>
      </c>
      <c r="AC7" s="51">
        <v>0</v>
      </c>
      <c r="AD7" s="52">
        <v>0</v>
      </c>
      <c r="AE7" s="51">
        <v>95</v>
      </c>
      <c r="AF7" s="52">
        <v>93.13725490196079</v>
      </c>
      <c r="AG7" s="51">
        <v>102</v>
      </c>
      <c r="AH7" s="123" t="s">
        <v>1254</v>
      </c>
      <c r="AI7" s="123" t="s">
        <v>1348</v>
      </c>
    </row>
    <row r="8" spans="1:35" ht="15">
      <c r="A8" s="121" t="s">
        <v>754</v>
      </c>
      <c r="B8" s="122" t="s">
        <v>763</v>
      </c>
      <c r="C8" s="122" t="s">
        <v>56</v>
      </c>
      <c r="D8" s="118"/>
      <c r="E8" s="94"/>
      <c r="F8" s="97" t="s">
        <v>1364</v>
      </c>
      <c r="G8" s="101"/>
      <c r="H8" s="101"/>
      <c r="I8" s="119">
        <v>8</v>
      </c>
      <c r="J8" s="104"/>
      <c r="K8" s="51">
        <v>10</v>
      </c>
      <c r="L8" s="51">
        <v>9</v>
      </c>
      <c r="M8" s="51">
        <v>0</v>
      </c>
      <c r="N8" s="51">
        <v>9</v>
      </c>
      <c r="O8" s="51">
        <v>0</v>
      </c>
      <c r="P8" s="52">
        <v>0</v>
      </c>
      <c r="Q8" s="52">
        <v>0</v>
      </c>
      <c r="R8" s="51">
        <v>1</v>
      </c>
      <c r="S8" s="51">
        <v>0</v>
      </c>
      <c r="T8" s="51">
        <v>10</v>
      </c>
      <c r="U8" s="51">
        <v>9</v>
      </c>
      <c r="V8" s="51">
        <v>2</v>
      </c>
      <c r="W8" s="52">
        <v>1.62</v>
      </c>
      <c r="X8" s="52">
        <v>0.1</v>
      </c>
      <c r="Y8" s="51">
        <v>2</v>
      </c>
      <c r="Z8" s="52">
        <v>0.9433962264150944</v>
      </c>
      <c r="AA8" s="51">
        <v>6</v>
      </c>
      <c r="AB8" s="52">
        <v>2.830188679245283</v>
      </c>
      <c r="AC8" s="51">
        <v>0</v>
      </c>
      <c r="AD8" s="52">
        <v>0</v>
      </c>
      <c r="AE8" s="51">
        <v>204</v>
      </c>
      <c r="AF8" s="52">
        <v>96.22641509433963</v>
      </c>
      <c r="AG8" s="51">
        <v>212</v>
      </c>
      <c r="AH8" s="123" t="s">
        <v>1255</v>
      </c>
      <c r="AI8" s="123" t="s">
        <v>1349</v>
      </c>
    </row>
    <row r="9" spans="1:35" ht="15">
      <c r="A9" s="121" t="s">
        <v>755</v>
      </c>
      <c r="B9" s="122" t="s">
        <v>764</v>
      </c>
      <c r="C9" s="122" t="s">
        <v>56</v>
      </c>
      <c r="D9" s="118"/>
      <c r="E9" s="94"/>
      <c r="F9" s="97" t="s">
        <v>1365</v>
      </c>
      <c r="G9" s="101"/>
      <c r="H9" s="101"/>
      <c r="I9" s="119">
        <v>9</v>
      </c>
      <c r="J9" s="104"/>
      <c r="K9" s="51">
        <v>9</v>
      </c>
      <c r="L9" s="51">
        <v>8</v>
      </c>
      <c r="M9" s="51">
        <v>0</v>
      </c>
      <c r="N9" s="51">
        <v>8</v>
      </c>
      <c r="O9" s="51">
        <v>0</v>
      </c>
      <c r="P9" s="52">
        <v>0</v>
      </c>
      <c r="Q9" s="52">
        <v>0</v>
      </c>
      <c r="R9" s="51">
        <v>1</v>
      </c>
      <c r="S9" s="51">
        <v>0</v>
      </c>
      <c r="T9" s="51">
        <v>9</v>
      </c>
      <c r="U9" s="51">
        <v>8</v>
      </c>
      <c r="V9" s="51">
        <v>2</v>
      </c>
      <c r="W9" s="52">
        <v>1.580247</v>
      </c>
      <c r="X9" s="52">
        <v>0.1111111111111111</v>
      </c>
      <c r="Y9" s="51">
        <v>9</v>
      </c>
      <c r="Z9" s="52">
        <v>2.1226415094339623</v>
      </c>
      <c r="AA9" s="51">
        <v>13</v>
      </c>
      <c r="AB9" s="52">
        <v>3.0660377358490565</v>
      </c>
      <c r="AC9" s="51">
        <v>0</v>
      </c>
      <c r="AD9" s="52">
        <v>0</v>
      </c>
      <c r="AE9" s="51">
        <v>402</v>
      </c>
      <c r="AF9" s="52">
        <v>94.81132075471699</v>
      </c>
      <c r="AG9" s="51">
        <v>424</v>
      </c>
      <c r="AH9" s="123" t="s">
        <v>1256</v>
      </c>
      <c r="AI9" s="123" t="s">
        <v>1350</v>
      </c>
    </row>
    <row r="10" spans="1:35" ht="14.25" customHeight="1">
      <c r="A10" s="121" t="s">
        <v>756</v>
      </c>
      <c r="B10" s="122" t="s">
        <v>765</v>
      </c>
      <c r="C10" s="122" t="s">
        <v>56</v>
      </c>
      <c r="D10" s="118"/>
      <c r="E10" s="94"/>
      <c r="F10" s="97" t="s">
        <v>1366</v>
      </c>
      <c r="G10" s="101"/>
      <c r="H10" s="101"/>
      <c r="I10" s="119">
        <v>10</v>
      </c>
      <c r="J10" s="104"/>
      <c r="K10" s="51">
        <v>8</v>
      </c>
      <c r="L10" s="51">
        <v>7</v>
      </c>
      <c r="M10" s="51">
        <v>0</v>
      </c>
      <c r="N10" s="51">
        <v>7</v>
      </c>
      <c r="O10" s="51">
        <v>0</v>
      </c>
      <c r="P10" s="52">
        <v>0</v>
      </c>
      <c r="Q10" s="52">
        <v>0</v>
      </c>
      <c r="R10" s="51">
        <v>1</v>
      </c>
      <c r="S10" s="51">
        <v>0</v>
      </c>
      <c r="T10" s="51">
        <v>8</v>
      </c>
      <c r="U10" s="51">
        <v>7</v>
      </c>
      <c r="V10" s="51">
        <v>2</v>
      </c>
      <c r="W10" s="52">
        <v>1.53125</v>
      </c>
      <c r="X10" s="52">
        <v>0.125</v>
      </c>
      <c r="Y10" s="51">
        <v>1</v>
      </c>
      <c r="Z10" s="52">
        <v>0.38910505836575876</v>
      </c>
      <c r="AA10" s="51">
        <v>14</v>
      </c>
      <c r="AB10" s="52">
        <v>5.447470817120623</v>
      </c>
      <c r="AC10" s="51">
        <v>0</v>
      </c>
      <c r="AD10" s="52">
        <v>0</v>
      </c>
      <c r="AE10" s="51">
        <v>242</v>
      </c>
      <c r="AF10" s="52">
        <v>94.16342412451363</v>
      </c>
      <c r="AG10" s="51">
        <v>257</v>
      </c>
      <c r="AH10" s="123" t="s">
        <v>1257</v>
      </c>
      <c r="AI10" s="123" t="s">
        <v>1351</v>
      </c>
    </row>
    <row r="11" spans="1:35" ht="15">
      <c r="A11" s="121" t="s">
        <v>757</v>
      </c>
      <c r="B11" s="122" t="s">
        <v>766</v>
      </c>
      <c r="C11" s="122" t="s">
        <v>56</v>
      </c>
      <c r="D11" s="118"/>
      <c r="E11" s="94"/>
      <c r="F11" s="97" t="s">
        <v>1367</v>
      </c>
      <c r="G11" s="101"/>
      <c r="H11" s="101"/>
      <c r="I11" s="119">
        <v>11</v>
      </c>
      <c r="J11" s="104"/>
      <c r="K11" s="51">
        <v>8</v>
      </c>
      <c r="L11" s="51">
        <v>7</v>
      </c>
      <c r="M11" s="51">
        <v>0</v>
      </c>
      <c r="N11" s="51">
        <v>7</v>
      </c>
      <c r="O11" s="51">
        <v>0</v>
      </c>
      <c r="P11" s="52">
        <v>0</v>
      </c>
      <c r="Q11" s="52">
        <v>0</v>
      </c>
      <c r="R11" s="51">
        <v>1</v>
      </c>
      <c r="S11" s="51">
        <v>0</v>
      </c>
      <c r="T11" s="51">
        <v>8</v>
      </c>
      <c r="U11" s="51">
        <v>7</v>
      </c>
      <c r="V11" s="51">
        <v>2</v>
      </c>
      <c r="W11" s="52">
        <v>1.53125</v>
      </c>
      <c r="X11" s="52">
        <v>0.125</v>
      </c>
      <c r="Y11" s="51">
        <v>4</v>
      </c>
      <c r="Z11" s="52">
        <v>1.2779552715654952</v>
      </c>
      <c r="AA11" s="51">
        <v>25</v>
      </c>
      <c r="AB11" s="52">
        <v>7.987220447284345</v>
      </c>
      <c r="AC11" s="51">
        <v>0</v>
      </c>
      <c r="AD11" s="52">
        <v>0</v>
      </c>
      <c r="AE11" s="51">
        <v>284</v>
      </c>
      <c r="AF11" s="52">
        <v>90.73482428115015</v>
      </c>
      <c r="AG11" s="51">
        <v>313</v>
      </c>
      <c r="AH11" s="123" t="s">
        <v>1258</v>
      </c>
      <c r="AI11" s="123" t="s">
        <v>1352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749</v>
      </c>
      <c r="B2" s="123" t="s">
        <v>202</v>
      </c>
      <c r="C2" s="85">
        <f>VLOOKUP(GroupVertices[[#This Row],[Vertex]],Vertices[],MATCH("ID",Vertices[[#Headers],[Vertex]:[Top Word Pairs in Tags by Salience]],0),FALSE)</f>
        <v>51</v>
      </c>
    </row>
    <row r="3" spans="1:3" ht="15">
      <c r="A3" s="85" t="s">
        <v>749</v>
      </c>
      <c r="B3" s="123" t="s">
        <v>257</v>
      </c>
      <c r="C3" s="85">
        <f>VLOOKUP(GroupVertices[[#This Row],[Vertex]],Vertices[],MATCH("ID",Vertices[[#Headers],[Vertex]:[Top Word Pairs in Tags by Salience]],0),FALSE)</f>
        <v>60</v>
      </c>
    </row>
    <row r="4" spans="1:3" ht="15">
      <c r="A4" s="85" t="s">
        <v>749</v>
      </c>
      <c r="B4" s="123" t="s">
        <v>256</v>
      </c>
      <c r="C4" s="85">
        <f>VLOOKUP(GroupVertices[[#This Row],[Vertex]],Vertices[],MATCH("ID",Vertices[[#Headers],[Vertex]:[Top Word Pairs in Tags by Salience]],0),FALSE)</f>
        <v>59</v>
      </c>
    </row>
    <row r="5" spans="1:3" ht="15">
      <c r="A5" s="85" t="s">
        <v>749</v>
      </c>
      <c r="B5" s="123" t="s">
        <v>255</v>
      </c>
      <c r="C5" s="85">
        <f>VLOOKUP(GroupVertices[[#This Row],[Vertex]],Vertices[],MATCH("ID",Vertices[[#Headers],[Vertex]:[Top Word Pairs in Tags by Salience]],0),FALSE)</f>
        <v>58</v>
      </c>
    </row>
    <row r="6" spans="1:3" ht="15">
      <c r="A6" s="85" t="s">
        <v>749</v>
      </c>
      <c r="B6" s="123" t="s">
        <v>254</v>
      </c>
      <c r="C6" s="85">
        <f>VLOOKUP(GroupVertices[[#This Row],[Vertex]],Vertices[],MATCH("ID",Vertices[[#Headers],[Vertex]:[Top Word Pairs in Tags by Salience]],0),FALSE)</f>
        <v>57</v>
      </c>
    </row>
    <row r="7" spans="1:3" ht="15">
      <c r="A7" s="85" t="s">
        <v>749</v>
      </c>
      <c r="B7" s="123" t="s">
        <v>253</v>
      </c>
      <c r="C7" s="85">
        <f>VLOOKUP(GroupVertices[[#This Row],[Vertex]],Vertices[],MATCH("ID",Vertices[[#Headers],[Vertex]:[Top Word Pairs in Tags by Salience]],0),FALSE)</f>
        <v>56</v>
      </c>
    </row>
    <row r="8" spans="1:3" ht="15">
      <c r="A8" s="85" t="s">
        <v>749</v>
      </c>
      <c r="B8" s="123" t="s">
        <v>252</v>
      </c>
      <c r="C8" s="85">
        <f>VLOOKUP(GroupVertices[[#This Row],[Vertex]],Vertices[],MATCH("ID",Vertices[[#Headers],[Vertex]:[Top Word Pairs in Tags by Salience]],0),FALSE)</f>
        <v>55</v>
      </c>
    </row>
    <row r="9" spans="1:3" ht="15">
      <c r="A9" s="85" t="s">
        <v>749</v>
      </c>
      <c r="B9" s="123" t="s">
        <v>251</v>
      </c>
      <c r="C9" s="85">
        <f>VLOOKUP(GroupVertices[[#This Row],[Vertex]],Vertices[],MATCH("ID",Vertices[[#Headers],[Vertex]:[Top Word Pairs in Tags by Salience]],0),FALSE)</f>
        <v>54</v>
      </c>
    </row>
    <row r="10" spans="1:3" ht="15">
      <c r="A10" s="85" t="s">
        <v>749</v>
      </c>
      <c r="B10" s="123" t="s">
        <v>250</v>
      </c>
      <c r="C10" s="85">
        <f>VLOOKUP(GroupVertices[[#This Row],[Vertex]],Vertices[],MATCH("ID",Vertices[[#Headers],[Vertex]:[Top Word Pairs in Tags by Salience]],0),FALSE)</f>
        <v>53</v>
      </c>
    </row>
    <row r="11" spans="1:3" ht="15">
      <c r="A11" s="85" t="s">
        <v>749</v>
      </c>
      <c r="B11" s="123" t="s">
        <v>197</v>
      </c>
      <c r="C11" s="85">
        <f>VLOOKUP(GroupVertices[[#This Row],[Vertex]],Vertices[],MATCH("ID",Vertices[[#Headers],[Vertex]:[Top Word Pairs in Tags by Salience]],0),FALSE)</f>
        <v>3</v>
      </c>
    </row>
    <row r="12" spans="1:3" ht="15">
      <c r="A12" s="85" t="s">
        <v>749</v>
      </c>
      <c r="B12" s="123" t="s">
        <v>249</v>
      </c>
      <c r="C12" s="85">
        <f>VLOOKUP(GroupVertices[[#This Row],[Vertex]],Vertices[],MATCH("ID",Vertices[[#Headers],[Vertex]:[Top Word Pairs in Tags by Salience]],0),FALSE)</f>
        <v>52</v>
      </c>
    </row>
    <row r="13" spans="1:3" ht="15">
      <c r="A13" s="85" t="s">
        <v>749</v>
      </c>
      <c r="B13" s="123" t="s">
        <v>213</v>
      </c>
      <c r="C13" s="85">
        <f>VLOOKUP(GroupVertices[[#This Row],[Vertex]],Vertices[],MATCH("ID",Vertices[[#Headers],[Vertex]:[Top Word Pairs in Tags by Salience]],0),FALSE)</f>
        <v>11</v>
      </c>
    </row>
    <row r="14" spans="1:3" ht="15">
      <c r="A14" s="85" t="s">
        <v>749</v>
      </c>
      <c r="B14" s="123" t="s">
        <v>212</v>
      </c>
      <c r="C14" s="85">
        <f>VLOOKUP(GroupVertices[[#This Row],[Vertex]],Vertices[],MATCH("ID",Vertices[[#Headers],[Vertex]:[Top Word Pairs in Tags by Salience]],0),FALSE)</f>
        <v>10</v>
      </c>
    </row>
    <row r="15" spans="1:3" ht="15">
      <c r="A15" s="85" t="s">
        <v>749</v>
      </c>
      <c r="B15" s="123" t="s">
        <v>211</v>
      </c>
      <c r="C15" s="85">
        <f>VLOOKUP(GroupVertices[[#This Row],[Vertex]],Vertices[],MATCH("ID",Vertices[[#Headers],[Vertex]:[Top Word Pairs in Tags by Salience]],0),FALSE)</f>
        <v>9</v>
      </c>
    </row>
    <row r="16" spans="1:3" ht="15">
      <c r="A16" s="85" t="s">
        <v>749</v>
      </c>
      <c r="B16" s="123" t="s">
        <v>210</v>
      </c>
      <c r="C16" s="85">
        <f>VLOOKUP(GroupVertices[[#This Row],[Vertex]],Vertices[],MATCH("ID",Vertices[[#Headers],[Vertex]:[Top Word Pairs in Tags by Salience]],0),FALSE)</f>
        <v>8</v>
      </c>
    </row>
    <row r="17" spans="1:3" ht="15">
      <c r="A17" s="85" t="s">
        <v>749</v>
      </c>
      <c r="B17" s="123" t="s">
        <v>209</v>
      </c>
      <c r="C17" s="85">
        <f>VLOOKUP(GroupVertices[[#This Row],[Vertex]],Vertices[],MATCH("ID",Vertices[[#Headers],[Vertex]:[Top Word Pairs in Tags by Salience]],0),FALSE)</f>
        <v>7</v>
      </c>
    </row>
    <row r="18" spans="1:3" ht="15">
      <c r="A18" s="85" t="s">
        <v>749</v>
      </c>
      <c r="B18" s="123" t="s">
        <v>208</v>
      </c>
      <c r="C18" s="85">
        <f>VLOOKUP(GroupVertices[[#This Row],[Vertex]],Vertices[],MATCH("ID",Vertices[[#Headers],[Vertex]:[Top Word Pairs in Tags by Salience]],0),FALSE)</f>
        <v>6</v>
      </c>
    </row>
    <row r="19" spans="1:3" ht="15">
      <c r="A19" s="85" t="s">
        <v>749</v>
      </c>
      <c r="B19" s="123" t="s">
        <v>207</v>
      </c>
      <c r="C19" s="85">
        <f>VLOOKUP(GroupVertices[[#This Row],[Vertex]],Vertices[],MATCH("ID",Vertices[[#Headers],[Vertex]:[Top Word Pairs in Tags by Salience]],0),FALSE)</f>
        <v>5</v>
      </c>
    </row>
    <row r="20" spans="1:3" ht="15">
      <c r="A20" s="85" t="s">
        <v>749</v>
      </c>
      <c r="B20" s="123" t="s">
        <v>292</v>
      </c>
      <c r="C20" s="85">
        <f>VLOOKUP(GroupVertices[[#This Row],[Vertex]],Vertices[],MATCH("ID",Vertices[[#Headers],[Vertex]:[Top Word Pairs in Tags by Salience]],0),FALSE)</f>
        <v>4</v>
      </c>
    </row>
    <row r="21" spans="1:3" ht="15">
      <c r="A21" s="85" t="s">
        <v>750</v>
      </c>
      <c r="B21" s="123" t="s">
        <v>204</v>
      </c>
      <c r="C21" s="85">
        <f>VLOOKUP(GroupVertices[[#This Row],[Vertex]],Vertices[],MATCH("ID",Vertices[[#Headers],[Vertex]:[Top Word Pairs in Tags by Salience]],0),FALSE)</f>
        <v>71</v>
      </c>
    </row>
    <row r="22" spans="1:3" ht="15">
      <c r="A22" s="85" t="s">
        <v>750</v>
      </c>
      <c r="B22" s="123" t="s">
        <v>276</v>
      </c>
      <c r="C22" s="85">
        <f>VLOOKUP(GroupVertices[[#This Row],[Vertex]],Vertices[],MATCH("ID",Vertices[[#Headers],[Vertex]:[Top Word Pairs in Tags by Salience]],0),FALSE)</f>
        <v>81</v>
      </c>
    </row>
    <row r="23" spans="1:3" ht="15">
      <c r="A23" s="85" t="s">
        <v>750</v>
      </c>
      <c r="B23" s="123" t="s">
        <v>275</v>
      </c>
      <c r="C23" s="85">
        <f>VLOOKUP(GroupVertices[[#This Row],[Vertex]],Vertices[],MATCH("ID",Vertices[[#Headers],[Vertex]:[Top Word Pairs in Tags by Salience]],0),FALSE)</f>
        <v>80</v>
      </c>
    </row>
    <row r="24" spans="1:3" ht="15">
      <c r="A24" s="85" t="s">
        <v>750</v>
      </c>
      <c r="B24" s="123" t="s">
        <v>274</v>
      </c>
      <c r="C24" s="85">
        <f>VLOOKUP(GroupVertices[[#This Row],[Vertex]],Vertices[],MATCH("ID",Vertices[[#Headers],[Vertex]:[Top Word Pairs in Tags by Salience]],0),FALSE)</f>
        <v>79</v>
      </c>
    </row>
    <row r="25" spans="1:3" ht="15">
      <c r="A25" s="85" t="s">
        <v>750</v>
      </c>
      <c r="B25" s="123" t="s">
        <v>273</v>
      </c>
      <c r="C25" s="85">
        <f>VLOOKUP(GroupVertices[[#This Row],[Vertex]],Vertices[],MATCH("ID",Vertices[[#Headers],[Vertex]:[Top Word Pairs in Tags by Salience]],0),FALSE)</f>
        <v>78</v>
      </c>
    </row>
    <row r="26" spans="1:3" ht="15">
      <c r="A26" s="85" t="s">
        <v>750</v>
      </c>
      <c r="B26" s="123" t="s">
        <v>272</v>
      </c>
      <c r="C26" s="85">
        <f>VLOOKUP(GroupVertices[[#This Row],[Vertex]],Vertices[],MATCH("ID",Vertices[[#Headers],[Vertex]:[Top Word Pairs in Tags by Salience]],0),FALSE)</f>
        <v>77</v>
      </c>
    </row>
    <row r="27" spans="1:3" ht="15">
      <c r="A27" s="85" t="s">
        <v>750</v>
      </c>
      <c r="B27" s="123" t="s">
        <v>271</v>
      </c>
      <c r="C27" s="85">
        <f>VLOOKUP(GroupVertices[[#This Row],[Vertex]],Vertices[],MATCH("ID",Vertices[[#Headers],[Vertex]:[Top Word Pairs in Tags by Salience]],0),FALSE)</f>
        <v>76</v>
      </c>
    </row>
    <row r="28" spans="1:3" ht="15">
      <c r="A28" s="85" t="s">
        <v>750</v>
      </c>
      <c r="B28" s="123" t="s">
        <v>270</v>
      </c>
      <c r="C28" s="85">
        <f>VLOOKUP(GroupVertices[[#This Row],[Vertex]],Vertices[],MATCH("ID",Vertices[[#Headers],[Vertex]:[Top Word Pairs in Tags by Salience]],0),FALSE)</f>
        <v>75</v>
      </c>
    </row>
    <row r="29" spans="1:3" ht="15">
      <c r="A29" s="85" t="s">
        <v>750</v>
      </c>
      <c r="B29" s="123" t="s">
        <v>269</v>
      </c>
      <c r="C29" s="85">
        <f>VLOOKUP(GroupVertices[[#This Row],[Vertex]],Vertices[],MATCH("ID",Vertices[[#Headers],[Vertex]:[Top Word Pairs in Tags by Salience]],0),FALSE)</f>
        <v>74</v>
      </c>
    </row>
    <row r="30" spans="1:3" ht="15">
      <c r="A30" s="85" t="s">
        <v>750</v>
      </c>
      <c r="B30" s="123" t="s">
        <v>268</v>
      </c>
      <c r="C30" s="85">
        <f>VLOOKUP(GroupVertices[[#This Row],[Vertex]],Vertices[],MATCH("ID",Vertices[[#Headers],[Vertex]:[Top Word Pairs in Tags by Salience]],0),FALSE)</f>
        <v>73</v>
      </c>
    </row>
    <row r="31" spans="1:3" ht="15">
      <c r="A31" s="85" t="s">
        <v>750</v>
      </c>
      <c r="B31" s="123" t="s">
        <v>267</v>
      </c>
      <c r="C31" s="85">
        <f>VLOOKUP(GroupVertices[[#This Row],[Vertex]],Vertices[],MATCH("ID",Vertices[[#Headers],[Vertex]:[Top Word Pairs in Tags by Salience]],0),FALSE)</f>
        <v>72</v>
      </c>
    </row>
    <row r="32" spans="1:3" ht="15">
      <c r="A32" s="85" t="s">
        <v>751</v>
      </c>
      <c r="B32" s="123" t="s">
        <v>203</v>
      </c>
      <c r="C32" s="85">
        <f>VLOOKUP(GroupVertices[[#This Row],[Vertex]],Vertices[],MATCH("ID",Vertices[[#Headers],[Vertex]:[Top Word Pairs in Tags by Salience]],0),FALSE)</f>
        <v>61</v>
      </c>
    </row>
    <row r="33" spans="1:3" ht="15">
      <c r="A33" s="85" t="s">
        <v>751</v>
      </c>
      <c r="B33" s="123" t="s">
        <v>266</v>
      </c>
      <c r="C33" s="85">
        <f>VLOOKUP(GroupVertices[[#This Row],[Vertex]],Vertices[],MATCH("ID",Vertices[[#Headers],[Vertex]:[Top Word Pairs in Tags by Salience]],0),FALSE)</f>
        <v>70</v>
      </c>
    </row>
    <row r="34" spans="1:3" ht="15">
      <c r="A34" s="85" t="s">
        <v>751</v>
      </c>
      <c r="B34" s="123" t="s">
        <v>265</v>
      </c>
      <c r="C34" s="85">
        <f>VLOOKUP(GroupVertices[[#This Row],[Vertex]],Vertices[],MATCH("ID",Vertices[[#Headers],[Vertex]:[Top Word Pairs in Tags by Salience]],0),FALSE)</f>
        <v>69</v>
      </c>
    </row>
    <row r="35" spans="1:3" ht="15">
      <c r="A35" s="85" t="s">
        <v>751</v>
      </c>
      <c r="B35" s="123" t="s">
        <v>264</v>
      </c>
      <c r="C35" s="85">
        <f>VLOOKUP(GroupVertices[[#This Row],[Vertex]],Vertices[],MATCH("ID",Vertices[[#Headers],[Vertex]:[Top Word Pairs in Tags by Salience]],0),FALSE)</f>
        <v>68</v>
      </c>
    </row>
    <row r="36" spans="1:3" ht="15">
      <c r="A36" s="85" t="s">
        <v>751</v>
      </c>
      <c r="B36" s="123" t="s">
        <v>263</v>
      </c>
      <c r="C36" s="85">
        <f>VLOOKUP(GroupVertices[[#This Row],[Vertex]],Vertices[],MATCH("ID",Vertices[[#Headers],[Vertex]:[Top Word Pairs in Tags by Salience]],0),FALSE)</f>
        <v>67</v>
      </c>
    </row>
    <row r="37" spans="1:3" ht="15">
      <c r="A37" s="85" t="s">
        <v>751</v>
      </c>
      <c r="B37" s="123" t="s">
        <v>262</v>
      </c>
      <c r="C37" s="85">
        <f>VLOOKUP(GroupVertices[[#This Row],[Vertex]],Vertices[],MATCH("ID",Vertices[[#Headers],[Vertex]:[Top Word Pairs in Tags by Salience]],0),FALSE)</f>
        <v>66</v>
      </c>
    </row>
    <row r="38" spans="1:3" ht="15">
      <c r="A38" s="85" t="s">
        <v>751</v>
      </c>
      <c r="B38" s="123" t="s">
        <v>261</v>
      </c>
      <c r="C38" s="85">
        <f>VLOOKUP(GroupVertices[[#This Row],[Vertex]],Vertices[],MATCH("ID",Vertices[[#Headers],[Vertex]:[Top Word Pairs in Tags by Salience]],0),FALSE)</f>
        <v>65</v>
      </c>
    </row>
    <row r="39" spans="1:3" ht="15">
      <c r="A39" s="85" t="s">
        <v>751</v>
      </c>
      <c r="B39" s="123" t="s">
        <v>260</v>
      </c>
      <c r="C39" s="85">
        <f>VLOOKUP(GroupVertices[[#This Row],[Vertex]],Vertices[],MATCH("ID",Vertices[[#Headers],[Vertex]:[Top Word Pairs in Tags by Salience]],0),FALSE)</f>
        <v>64</v>
      </c>
    </row>
    <row r="40" spans="1:3" ht="15">
      <c r="A40" s="85" t="s">
        <v>751</v>
      </c>
      <c r="B40" s="123" t="s">
        <v>259</v>
      </c>
      <c r="C40" s="85">
        <f>VLOOKUP(GroupVertices[[#This Row],[Vertex]],Vertices[],MATCH("ID",Vertices[[#Headers],[Vertex]:[Top Word Pairs in Tags by Salience]],0),FALSE)</f>
        <v>63</v>
      </c>
    </row>
    <row r="41" spans="1:3" ht="15">
      <c r="A41" s="85" t="s">
        <v>751</v>
      </c>
      <c r="B41" s="123" t="s">
        <v>258</v>
      </c>
      <c r="C41" s="85">
        <f>VLOOKUP(GroupVertices[[#This Row],[Vertex]],Vertices[],MATCH("ID",Vertices[[#Headers],[Vertex]:[Top Word Pairs in Tags by Salience]],0),FALSE)</f>
        <v>62</v>
      </c>
    </row>
    <row r="42" spans="1:3" ht="15">
      <c r="A42" s="85" t="s">
        <v>751</v>
      </c>
      <c r="B42" s="123" t="s">
        <v>241</v>
      </c>
      <c r="C42" s="85">
        <f>VLOOKUP(GroupVertices[[#This Row],[Vertex]],Vertices[],MATCH("ID",Vertices[[#Headers],[Vertex]:[Top Word Pairs in Tags by Salience]],0),FALSE)</f>
        <v>42</v>
      </c>
    </row>
    <row r="43" spans="1:3" ht="15">
      <c r="A43" s="85" t="s">
        <v>752</v>
      </c>
      <c r="B43" s="123" t="s">
        <v>206</v>
      </c>
      <c r="C43" s="85">
        <f>VLOOKUP(GroupVertices[[#This Row],[Vertex]],Vertices[],MATCH("ID",Vertices[[#Headers],[Vertex]:[Top Word Pairs in Tags by Salience]],0),FALSE)</f>
        <v>89</v>
      </c>
    </row>
    <row r="44" spans="1:3" ht="15">
      <c r="A44" s="85" t="s">
        <v>752</v>
      </c>
      <c r="B44" s="123" t="s">
        <v>291</v>
      </c>
      <c r="C44" s="85">
        <f>VLOOKUP(GroupVertices[[#This Row],[Vertex]],Vertices[],MATCH("ID",Vertices[[#Headers],[Vertex]:[Top Word Pairs in Tags by Salience]],0),FALSE)</f>
        <v>98</v>
      </c>
    </row>
    <row r="45" spans="1:3" ht="15">
      <c r="A45" s="85" t="s">
        <v>752</v>
      </c>
      <c r="B45" s="123" t="s">
        <v>290</v>
      </c>
      <c r="C45" s="85">
        <f>VLOOKUP(GroupVertices[[#This Row],[Vertex]],Vertices[],MATCH("ID",Vertices[[#Headers],[Vertex]:[Top Word Pairs in Tags by Salience]],0),FALSE)</f>
        <v>97</v>
      </c>
    </row>
    <row r="46" spans="1:3" ht="15">
      <c r="A46" s="85" t="s">
        <v>752</v>
      </c>
      <c r="B46" s="123" t="s">
        <v>289</v>
      </c>
      <c r="C46" s="85">
        <f>VLOOKUP(GroupVertices[[#This Row],[Vertex]],Vertices[],MATCH("ID",Vertices[[#Headers],[Vertex]:[Top Word Pairs in Tags by Salience]],0),FALSE)</f>
        <v>96</v>
      </c>
    </row>
    <row r="47" spans="1:3" ht="15">
      <c r="A47" s="85" t="s">
        <v>752</v>
      </c>
      <c r="B47" s="123" t="s">
        <v>288</v>
      </c>
      <c r="C47" s="85">
        <f>VLOOKUP(GroupVertices[[#This Row],[Vertex]],Vertices[],MATCH("ID",Vertices[[#Headers],[Vertex]:[Top Word Pairs in Tags by Salience]],0),FALSE)</f>
        <v>95</v>
      </c>
    </row>
    <row r="48" spans="1:3" ht="15">
      <c r="A48" s="85" t="s">
        <v>752</v>
      </c>
      <c r="B48" s="123" t="s">
        <v>287</v>
      </c>
      <c r="C48" s="85">
        <f>VLOOKUP(GroupVertices[[#This Row],[Vertex]],Vertices[],MATCH("ID",Vertices[[#Headers],[Vertex]:[Top Word Pairs in Tags by Salience]],0),FALSE)</f>
        <v>94</v>
      </c>
    </row>
    <row r="49" spans="1:3" ht="15">
      <c r="A49" s="85" t="s">
        <v>752</v>
      </c>
      <c r="B49" s="123" t="s">
        <v>286</v>
      </c>
      <c r="C49" s="85">
        <f>VLOOKUP(GroupVertices[[#This Row],[Vertex]],Vertices[],MATCH("ID",Vertices[[#Headers],[Vertex]:[Top Word Pairs in Tags by Salience]],0),FALSE)</f>
        <v>93</v>
      </c>
    </row>
    <row r="50" spans="1:3" ht="15">
      <c r="A50" s="85" t="s">
        <v>752</v>
      </c>
      <c r="B50" s="123" t="s">
        <v>285</v>
      </c>
      <c r="C50" s="85">
        <f>VLOOKUP(GroupVertices[[#This Row],[Vertex]],Vertices[],MATCH("ID",Vertices[[#Headers],[Vertex]:[Top Word Pairs in Tags by Salience]],0),FALSE)</f>
        <v>92</v>
      </c>
    </row>
    <row r="51" spans="1:3" ht="15">
      <c r="A51" s="85" t="s">
        <v>752</v>
      </c>
      <c r="B51" s="123" t="s">
        <v>284</v>
      </c>
      <c r="C51" s="85">
        <f>VLOOKUP(GroupVertices[[#This Row],[Vertex]],Vertices[],MATCH("ID",Vertices[[#Headers],[Vertex]:[Top Word Pairs in Tags by Salience]],0),FALSE)</f>
        <v>91</v>
      </c>
    </row>
    <row r="52" spans="1:3" ht="15">
      <c r="A52" s="85" t="s">
        <v>752</v>
      </c>
      <c r="B52" s="123" t="s">
        <v>283</v>
      </c>
      <c r="C52" s="85">
        <f>VLOOKUP(GroupVertices[[#This Row],[Vertex]],Vertices[],MATCH("ID",Vertices[[#Headers],[Vertex]:[Top Word Pairs in Tags by Salience]],0),FALSE)</f>
        <v>90</v>
      </c>
    </row>
    <row r="53" spans="1:3" ht="15">
      <c r="A53" s="85" t="s">
        <v>753</v>
      </c>
      <c r="B53" s="123" t="s">
        <v>222</v>
      </c>
      <c r="C53" s="85">
        <f>VLOOKUP(GroupVertices[[#This Row],[Vertex]],Vertices[],MATCH("ID",Vertices[[#Headers],[Vertex]:[Top Word Pairs in Tags by Salience]],0),FALSE)</f>
        <v>21</v>
      </c>
    </row>
    <row r="54" spans="1:3" ht="15">
      <c r="A54" s="85" t="s">
        <v>753</v>
      </c>
      <c r="B54" s="123" t="s">
        <v>200</v>
      </c>
      <c r="C54" s="85">
        <f>VLOOKUP(GroupVertices[[#This Row],[Vertex]],Vertices[],MATCH("ID",Vertices[[#Headers],[Vertex]:[Top Word Pairs in Tags by Salience]],0),FALSE)</f>
        <v>33</v>
      </c>
    </row>
    <row r="55" spans="1:3" ht="15">
      <c r="A55" s="85" t="s">
        <v>753</v>
      </c>
      <c r="B55" s="123" t="s">
        <v>240</v>
      </c>
      <c r="C55" s="85">
        <f>VLOOKUP(GroupVertices[[#This Row],[Vertex]],Vertices[],MATCH("ID",Vertices[[#Headers],[Vertex]:[Top Word Pairs in Tags by Salience]],0),FALSE)</f>
        <v>41</v>
      </c>
    </row>
    <row r="56" spans="1:3" ht="15">
      <c r="A56" s="85" t="s">
        <v>753</v>
      </c>
      <c r="B56" s="123" t="s">
        <v>239</v>
      </c>
      <c r="C56" s="85">
        <f>VLOOKUP(GroupVertices[[#This Row],[Vertex]],Vertices[],MATCH("ID",Vertices[[#Headers],[Vertex]:[Top Word Pairs in Tags by Salience]],0),FALSE)</f>
        <v>40</v>
      </c>
    </row>
    <row r="57" spans="1:3" ht="15">
      <c r="A57" s="85" t="s">
        <v>753</v>
      </c>
      <c r="B57" s="123" t="s">
        <v>238</v>
      </c>
      <c r="C57" s="85">
        <f>VLOOKUP(GroupVertices[[#This Row],[Vertex]],Vertices[],MATCH("ID",Vertices[[#Headers],[Vertex]:[Top Word Pairs in Tags by Salience]],0),FALSE)</f>
        <v>39</v>
      </c>
    </row>
    <row r="58" spans="1:3" ht="15">
      <c r="A58" s="85" t="s">
        <v>753</v>
      </c>
      <c r="B58" s="123" t="s">
        <v>237</v>
      </c>
      <c r="C58" s="85">
        <f>VLOOKUP(GroupVertices[[#This Row],[Vertex]],Vertices[],MATCH("ID",Vertices[[#Headers],[Vertex]:[Top Word Pairs in Tags by Salience]],0),FALSE)</f>
        <v>38</v>
      </c>
    </row>
    <row r="59" spans="1:3" ht="15">
      <c r="A59" s="85" t="s">
        <v>753</v>
      </c>
      <c r="B59" s="123" t="s">
        <v>236</v>
      </c>
      <c r="C59" s="85">
        <f>VLOOKUP(GroupVertices[[#This Row],[Vertex]],Vertices[],MATCH("ID",Vertices[[#Headers],[Vertex]:[Top Word Pairs in Tags by Salience]],0),FALSE)</f>
        <v>37</v>
      </c>
    </row>
    <row r="60" spans="1:3" ht="15">
      <c r="A60" s="85" t="s">
        <v>753</v>
      </c>
      <c r="B60" s="123" t="s">
        <v>235</v>
      </c>
      <c r="C60" s="85">
        <f>VLOOKUP(GroupVertices[[#This Row],[Vertex]],Vertices[],MATCH("ID",Vertices[[#Headers],[Vertex]:[Top Word Pairs in Tags by Salience]],0),FALSE)</f>
        <v>36</v>
      </c>
    </row>
    <row r="61" spans="1:3" ht="15">
      <c r="A61" s="85" t="s">
        <v>753</v>
      </c>
      <c r="B61" s="123" t="s">
        <v>234</v>
      </c>
      <c r="C61" s="85">
        <f>VLOOKUP(GroupVertices[[#This Row],[Vertex]],Vertices[],MATCH("ID",Vertices[[#Headers],[Vertex]:[Top Word Pairs in Tags by Salience]],0),FALSE)</f>
        <v>35</v>
      </c>
    </row>
    <row r="62" spans="1:3" ht="15">
      <c r="A62" s="85" t="s">
        <v>753</v>
      </c>
      <c r="B62" s="123" t="s">
        <v>233</v>
      </c>
      <c r="C62" s="85">
        <f>VLOOKUP(GroupVertices[[#This Row],[Vertex]],Vertices[],MATCH("ID",Vertices[[#Headers],[Vertex]:[Top Word Pairs in Tags by Salience]],0),FALSE)</f>
        <v>34</v>
      </c>
    </row>
    <row r="63" spans="1:3" ht="15">
      <c r="A63" s="85" t="s">
        <v>754</v>
      </c>
      <c r="B63" s="123" t="s">
        <v>221</v>
      </c>
      <c r="C63" s="85">
        <f>VLOOKUP(GroupVertices[[#This Row],[Vertex]],Vertices[],MATCH("ID",Vertices[[#Headers],[Vertex]:[Top Word Pairs in Tags by Salience]],0),FALSE)</f>
        <v>20</v>
      </c>
    </row>
    <row r="64" spans="1:3" ht="15">
      <c r="A64" s="85" t="s">
        <v>754</v>
      </c>
      <c r="B64" s="123" t="s">
        <v>199</v>
      </c>
      <c r="C64" s="85">
        <f>VLOOKUP(GroupVertices[[#This Row],[Vertex]],Vertices[],MATCH("ID",Vertices[[#Headers],[Vertex]:[Top Word Pairs in Tags by Salience]],0),FALSE)</f>
        <v>23</v>
      </c>
    </row>
    <row r="65" spans="1:3" ht="15">
      <c r="A65" s="85" t="s">
        <v>754</v>
      </c>
      <c r="B65" s="123" t="s">
        <v>231</v>
      </c>
      <c r="C65" s="85">
        <f>VLOOKUP(GroupVertices[[#This Row],[Vertex]],Vertices[],MATCH("ID",Vertices[[#Headers],[Vertex]:[Top Word Pairs in Tags by Salience]],0),FALSE)</f>
        <v>31</v>
      </c>
    </row>
    <row r="66" spans="1:3" ht="15">
      <c r="A66" s="85" t="s">
        <v>754</v>
      </c>
      <c r="B66" s="123" t="s">
        <v>230</v>
      </c>
      <c r="C66" s="85">
        <f>VLOOKUP(GroupVertices[[#This Row],[Vertex]],Vertices[],MATCH("ID",Vertices[[#Headers],[Vertex]:[Top Word Pairs in Tags by Salience]],0),FALSE)</f>
        <v>30</v>
      </c>
    </row>
    <row r="67" spans="1:3" ht="15">
      <c r="A67" s="85" t="s">
        <v>754</v>
      </c>
      <c r="B67" s="123" t="s">
        <v>229</v>
      </c>
      <c r="C67" s="85">
        <f>VLOOKUP(GroupVertices[[#This Row],[Vertex]],Vertices[],MATCH("ID",Vertices[[#Headers],[Vertex]:[Top Word Pairs in Tags by Salience]],0),FALSE)</f>
        <v>29</v>
      </c>
    </row>
    <row r="68" spans="1:3" ht="15">
      <c r="A68" s="85" t="s">
        <v>754</v>
      </c>
      <c r="B68" s="123" t="s">
        <v>228</v>
      </c>
      <c r="C68" s="85">
        <f>VLOOKUP(GroupVertices[[#This Row],[Vertex]],Vertices[],MATCH("ID",Vertices[[#Headers],[Vertex]:[Top Word Pairs in Tags by Salience]],0),FALSE)</f>
        <v>28</v>
      </c>
    </row>
    <row r="69" spans="1:3" ht="15">
      <c r="A69" s="85" t="s">
        <v>754</v>
      </c>
      <c r="B69" s="123" t="s">
        <v>227</v>
      </c>
      <c r="C69" s="85">
        <f>VLOOKUP(GroupVertices[[#This Row],[Vertex]],Vertices[],MATCH("ID",Vertices[[#Headers],[Vertex]:[Top Word Pairs in Tags by Salience]],0),FALSE)</f>
        <v>27</v>
      </c>
    </row>
    <row r="70" spans="1:3" ht="15">
      <c r="A70" s="85" t="s">
        <v>754</v>
      </c>
      <c r="B70" s="123" t="s">
        <v>226</v>
      </c>
      <c r="C70" s="85">
        <f>VLOOKUP(GroupVertices[[#This Row],[Vertex]],Vertices[],MATCH("ID",Vertices[[#Headers],[Vertex]:[Top Word Pairs in Tags by Salience]],0),FALSE)</f>
        <v>26</v>
      </c>
    </row>
    <row r="71" spans="1:3" ht="15">
      <c r="A71" s="85" t="s">
        <v>754</v>
      </c>
      <c r="B71" s="123" t="s">
        <v>225</v>
      </c>
      <c r="C71" s="85">
        <f>VLOOKUP(GroupVertices[[#This Row],[Vertex]],Vertices[],MATCH("ID",Vertices[[#Headers],[Vertex]:[Top Word Pairs in Tags by Salience]],0),FALSE)</f>
        <v>25</v>
      </c>
    </row>
    <row r="72" spans="1:3" ht="15">
      <c r="A72" s="85" t="s">
        <v>754</v>
      </c>
      <c r="B72" s="123" t="s">
        <v>224</v>
      </c>
      <c r="C72" s="85">
        <f>VLOOKUP(GroupVertices[[#This Row],[Vertex]],Vertices[],MATCH("ID",Vertices[[#Headers],[Vertex]:[Top Word Pairs in Tags by Salience]],0),FALSE)</f>
        <v>24</v>
      </c>
    </row>
    <row r="73" spans="1:3" ht="15">
      <c r="A73" s="85" t="s">
        <v>755</v>
      </c>
      <c r="B73" s="123" t="s">
        <v>248</v>
      </c>
      <c r="C73" s="85">
        <f>VLOOKUP(GroupVertices[[#This Row],[Vertex]],Vertices[],MATCH("ID",Vertices[[#Headers],[Vertex]:[Top Word Pairs in Tags by Salience]],0),FALSE)</f>
        <v>50</v>
      </c>
    </row>
    <row r="74" spans="1:3" ht="15">
      <c r="A74" s="85" t="s">
        <v>755</v>
      </c>
      <c r="B74" s="123" t="s">
        <v>201</v>
      </c>
      <c r="C74" s="85">
        <f>VLOOKUP(GroupVertices[[#This Row],[Vertex]],Vertices[],MATCH("ID",Vertices[[#Headers],[Vertex]:[Top Word Pairs in Tags by Salience]],0),FALSE)</f>
        <v>43</v>
      </c>
    </row>
    <row r="75" spans="1:3" ht="15">
      <c r="A75" s="85" t="s">
        <v>755</v>
      </c>
      <c r="B75" s="123" t="s">
        <v>247</v>
      </c>
      <c r="C75" s="85">
        <f>VLOOKUP(GroupVertices[[#This Row],[Vertex]],Vertices[],MATCH("ID",Vertices[[#Headers],[Vertex]:[Top Word Pairs in Tags by Salience]],0),FALSE)</f>
        <v>49</v>
      </c>
    </row>
    <row r="76" spans="1:3" ht="15">
      <c r="A76" s="85" t="s">
        <v>755</v>
      </c>
      <c r="B76" s="123" t="s">
        <v>246</v>
      </c>
      <c r="C76" s="85">
        <f>VLOOKUP(GroupVertices[[#This Row],[Vertex]],Vertices[],MATCH("ID",Vertices[[#Headers],[Vertex]:[Top Word Pairs in Tags by Salience]],0),FALSE)</f>
        <v>48</v>
      </c>
    </row>
    <row r="77" spans="1:3" ht="15">
      <c r="A77" s="85" t="s">
        <v>755</v>
      </c>
      <c r="B77" s="123" t="s">
        <v>245</v>
      </c>
      <c r="C77" s="85">
        <f>VLOOKUP(GroupVertices[[#This Row],[Vertex]],Vertices[],MATCH("ID",Vertices[[#Headers],[Vertex]:[Top Word Pairs in Tags by Salience]],0),FALSE)</f>
        <v>47</v>
      </c>
    </row>
    <row r="78" spans="1:3" ht="15">
      <c r="A78" s="85" t="s">
        <v>755</v>
      </c>
      <c r="B78" s="123" t="s">
        <v>244</v>
      </c>
      <c r="C78" s="85">
        <f>VLOOKUP(GroupVertices[[#This Row],[Vertex]],Vertices[],MATCH("ID",Vertices[[#Headers],[Vertex]:[Top Word Pairs in Tags by Salience]],0),FALSE)</f>
        <v>46</v>
      </c>
    </row>
    <row r="79" spans="1:3" ht="15">
      <c r="A79" s="85" t="s">
        <v>755</v>
      </c>
      <c r="B79" s="123" t="s">
        <v>243</v>
      </c>
      <c r="C79" s="85">
        <f>VLOOKUP(GroupVertices[[#This Row],[Vertex]],Vertices[],MATCH("ID",Vertices[[#Headers],[Vertex]:[Top Word Pairs in Tags by Salience]],0),FALSE)</f>
        <v>45</v>
      </c>
    </row>
    <row r="80" spans="1:3" ht="15">
      <c r="A80" s="85" t="s">
        <v>755</v>
      </c>
      <c r="B80" s="123" t="s">
        <v>242</v>
      </c>
      <c r="C80" s="85">
        <f>VLOOKUP(GroupVertices[[#This Row],[Vertex]],Vertices[],MATCH("ID",Vertices[[#Headers],[Vertex]:[Top Word Pairs in Tags by Salience]],0),FALSE)</f>
        <v>44</v>
      </c>
    </row>
    <row r="81" spans="1:3" ht="15">
      <c r="A81" s="85" t="s">
        <v>755</v>
      </c>
      <c r="B81" s="123" t="s">
        <v>232</v>
      </c>
      <c r="C81" s="85">
        <f>VLOOKUP(GroupVertices[[#This Row],[Vertex]],Vertices[],MATCH("ID",Vertices[[#Headers],[Vertex]:[Top Word Pairs in Tags by Salience]],0),FALSE)</f>
        <v>32</v>
      </c>
    </row>
    <row r="82" spans="1:3" ht="15">
      <c r="A82" s="85" t="s">
        <v>756</v>
      </c>
      <c r="B82" s="123" t="s">
        <v>205</v>
      </c>
      <c r="C82" s="85">
        <f>VLOOKUP(GroupVertices[[#This Row],[Vertex]],Vertices[],MATCH("ID",Vertices[[#Headers],[Vertex]:[Top Word Pairs in Tags by Salience]],0),FALSE)</f>
        <v>82</v>
      </c>
    </row>
    <row r="83" spans="1:3" ht="15">
      <c r="A83" s="85" t="s">
        <v>756</v>
      </c>
      <c r="B83" s="123" t="s">
        <v>282</v>
      </c>
      <c r="C83" s="85">
        <f>VLOOKUP(GroupVertices[[#This Row],[Vertex]],Vertices[],MATCH("ID",Vertices[[#Headers],[Vertex]:[Top Word Pairs in Tags by Salience]],0),FALSE)</f>
        <v>88</v>
      </c>
    </row>
    <row r="84" spans="1:3" ht="15">
      <c r="A84" s="85" t="s">
        <v>756</v>
      </c>
      <c r="B84" s="123" t="s">
        <v>281</v>
      </c>
      <c r="C84" s="85">
        <f>VLOOKUP(GroupVertices[[#This Row],[Vertex]],Vertices[],MATCH("ID",Vertices[[#Headers],[Vertex]:[Top Word Pairs in Tags by Salience]],0),FALSE)</f>
        <v>87</v>
      </c>
    </row>
    <row r="85" spans="1:3" ht="15">
      <c r="A85" s="85" t="s">
        <v>756</v>
      </c>
      <c r="B85" s="123" t="s">
        <v>280</v>
      </c>
      <c r="C85" s="85">
        <f>VLOOKUP(GroupVertices[[#This Row],[Vertex]],Vertices[],MATCH("ID",Vertices[[#Headers],[Vertex]:[Top Word Pairs in Tags by Salience]],0),FALSE)</f>
        <v>86</v>
      </c>
    </row>
    <row r="86" spans="1:3" ht="15">
      <c r="A86" s="85" t="s">
        <v>756</v>
      </c>
      <c r="B86" s="123" t="s">
        <v>279</v>
      </c>
      <c r="C86" s="85">
        <f>VLOOKUP(GroupVertices[[#This Row],[Vertex]],Vertices[],MATCH("ID",Vertices[[#Headers],[Vertex]:[Top Word Pairs in Tags by Salience]],0),FALSE)</f>
        <v>85</v>
      </c>
    </row>
    <row r="87" spans="1:3" ht="15">
      <c r="A87" s="85" t="s">
        <v>756</v>
      </c>
      <c r="B87" s="123" t="s">
        <v>278</v>
      </c>
      <c r="C87" s="85">
        <f>VLOOKUP(GroupVertices[[#This Row],[Vertex]],Vertices[],MATCH("ID",Vertices[[#Headers],[Vertex]:[Top Word Pairs in Tags by Salience]],0),FALSE)</f>
        <v>84</v>
      </c>
    </row>
    <row r="88" spans="1:3" ht="15">
      <c r="A88" s="85" t="s">
        <v>756</v>
      </c>
      <c r="B88" s="123" t="s">
        <v>277</v>
      </c>
      <c r="C88" s="85">
        <f>VLOOKUP(GroupVertices[[#This Row],[Vertex]],Vertices[],MATCH("ID",Vertices[[#Headers],[Vertex]:[Top Word Pairs in Tags by Salience]],0),FALSE)</f>
        <v>83</v>
      </c>
    </row>
    <row r="89" spans="1:3" ht="15">
      <c r="A89" s="85" t="s">
        <v>756</v>
      </c>
      <c r="B89" s="123" t="s">
        <v>223</v>
      </c>
      <c r="C89" s="85">
        <f>VLOOKUP(GroupVertices[[#This Row],[Vertex]],Vertices[],MATCH("ID",Vertices[[#Headers],[Vertex]:[Top Word Pairs in Tags by Salience]],0),FALSE)</f>
        <v>22</v>
      </c>
    </row>
    <row r="90" spans="1:3" ht="15">
      <c r="A90" s="85" t="s">
        <v>757</v>
      </c>
      <c r="B90" s="123" t="s">
        <v>198</v>
      </c>
      <c r="C90" s="85">
        <f>VLOOKUP(GroupVertices[[#This Row],[Vertex]],Vertices[],MATCH("ID",Vertices[[#Headers],[Vertex]:[Top Word Pairs in Tags by Salience]],0),FALSE)</f>
        <v>12</v>
      </c>
    </row>
    <row r="91" spans="1:3" ht="15">
      <c r="A91" s="85" t="s">
        <v>757</v>
      </c>
      <c r="B91" s="123" t="s">
        <v>220</v>
      </c>
      <c r="C91" s="85">
        <f>VLOOKUP(GroupVertices[[#This Row],[Vertex]],Vertices[],MATCH("ID",Vertices[[#Headers],[Vertex]:[Top Word Pairs in Tags by Salience]],0),FALSE)</f>
        <v>19</v>
      </c>
    </row>
    <row r="92" spans="1:3" ht="15">
      <c r="A92" s="85" t="s">
        <v>757</v>
      </c>
      <c r="B92" s="123" t="s">
        <v>219</v>
      </c>
      <c r="C92" s="85">
        <f>VLOOKUP(GroupVertices[[#This Row],[Vertex]],Vertices[],MATCH("ID",Vertices[[#Headers],[Vertex]:[Top Word Pairs in Tags by Salience]],0),FALSE)</f>
        <v>18</v>
      </c>
    </row>
    <row r="93" spans="1:3" ht="15">
      <c r="A93" s="85" t="s">
        <v>757</v>
      </c>
      <c r="B93" s="123" t="s">
        <v>218</v>
      </c>
      <c r="C93" s="85">
        <f>VLOOKUP(GroupVertices[[#This Row],[Vertex]],Vertices[],MATCH("ID",Vertices[[#Headers],[Vertex]:[Top Word Pairs in Tags by Salience]],0),FALSE)</f>
        <v>17</v>
      </c>
    </row>
    <row r="94" spans="1:3" ht="15">
      <c r="A94" s="85" t="s">
        <v>757</v>
      </c>
      <c r="B94" s="123" t="s">
        <v>217</v>
      </c>
      <c r="C94" s="85">
        <f>VLOOKUP(GroupVertices[[#This Row],[Vertex]],Vertices[],MATCH("ID",Vertices[[#Headers],[Vertex]:[Top Word Pairs in Tags by Salience]],0),FALSE)</f>
        <v>16</v>
      </c>
    </row>
    <row r="95" spans="1:3" ht="15">
      <c r="A95" s="85" t="s">
        <v>757</v>
      </c>
      <c r="B95" s="123" t="s">
        <v>216</v>
      </c>
      <c r="C95" s="85">
        <f>VLOOKUP(GroupVertices[[#This Row],[Vertex]],Vertices[],MATCH("ID",Vertices[[#Headers],[Vertex]:[Top Word Pairs in Tags by Salience]],0),FALSE)</f>
        <v>15</v>
      </c>
    </row>
    <row r="96" spans="1:3" ht="15">
      <c r="A96" s="85" t="s">
        <v>757</v>
      </c>
      <c r="B96" s="123" t="s">
        <v>215</v>
      </c>
      <c r="C96" s="85">
        <f>VLOOKUP(GroupVertices[[#This Row],[Vertex]],Vertices[],MATCH("ID",Vertices[[#Headers],[Vertex]:[Top Word Pairs in Tags by Salience]],0),FALSE)</f>
        <v>14</v>
      </c>
    </row>
    <row r="97" spans="1:3" ht="15">
      <c r="A97" s="85" t="s">
        <v>757</v>
      </c>
      <c r="B97" s="123" t="s">
        <v>214</v>
      </c>
      <c r="C97" s="85">
        <f>VLOOKUP(GroupVertices[[#This Row],[Vertex]],Vertices[],MATCH("ID",Vertices[[#Headers],[Vertex]:[Top Word Pairs in Tags by Salience]],0),FALSE)</f>
        <v>13</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1199</v>
      </c>
      <c r="B2" s="36" t="s">
        <v>192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86</v>
      </c>
      <c r="J2" s="39">
        <f>MIN(Vertices[Betweenness Centrality])</f>
        <v>0</v>
      </c>
      <c r="K2" s="40">
        <f>COUNTIF(Vertices[Betweenness Centrality],"&gt;= "&amp;J2)-COUNTIF(Vertices[Betweenness Centrality],"&gt;="&amp;J3)</f>
        <v>80</v>
      </c>
      <c r="L2" s="39">
        <f>MIN(Vertices[Closeness Centrality])</f>
        <v>0.003356</v>
      </c>
      <c r="M2" s="40">
        <f>COUNTIF(Vertices[Closeness Centrality],"&gt;= "&amp;L2)-COUNTIF(Vertices[Closeness Centrality],"&gt;="&amp;L3)</f>
        <v>51</v>
      </c>
      <c r="N2" s="39">
        <f>MIN(Vertices[Eigenvector Centrality])</f>
        <v>0</v>
      </c>
      <c r="O2" s="40">
        <f>COUNTIF(Vertices[Eigenvector Centrality],"&gt;= "&amp;N2)-COUNTIF(Vertices[Eigenvector Centrality],"&gt;="&amp;N3)</f>
        <v>40</v>
      </c>
      <c r="P2" s="39">
        <f>MIN(Vertices[PageRank])</f>
        <v>0.502553</v>
      </c>
      <c r="Q2" s="40">
        <f>COUNTIF(Vertices[PageRank],"&gt;= "&amp;P2)-COUNTIF(Vertices[PageRank],"&gt;="&amp;P3)</f>
        <v>79</v>
      </c>
      <c r="R2" s="39">
        <f>MIN(Vertices[Clustering Coefficient])</f>
        <v>0</v>
      </c>
      <c r="S2" s="45">
        <f>COUNTIF(Vertices[Clustering Coefficient],"&gt;= "&amp;R2)-COUNTIF(Vertices[Clustering Coefficient],"&gt;="&amp;R3)</f>
        <v>95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33.333333333333336</v>
      </c>
      <c r="K3" s="42">
        <f>COUNTIF(Vertices[Betweenness Centrality],"&gt;= "&amp;J3)-COUNTIF(Vertices[Betweenness Centrality],"&gt;="&amp;J4)</f>
        <v>1</v>
      </c>
      <c r="L3" s="41">
        <f aca="true" t="shared" si="5" ref="L3:L26">L2+($L$50-$L$2)/BinDivisor</f>
        <v>0.005600895833333334</v>
      </c>
      <c r="M3" s="42">
        <f>COUNTIF(Vertices[Closeness Centrality],"&gt;= "&amp;L3)-COUNTIF(Vertices[Closeness Centrality],"&gt;="&amp;L4)</f>
        <v>5</v>
      </c>
      <c r="N3" s="41">
        <f aca="true" t="shared" si="6" ref="N3:N26">N2+($N$50-$N$2)/BinDivisor</f>
        <v>0.0016006249999999998</v>
      </c>
      <c r="O3" s="42">
        <f>COUNTIF(Vertices[Eigenvector Centrality],"&gt;= "&amp;N3)-COUNTIF(Vertices[Eigenvector Centrality],"&gt;="&amp;N4)</f>
        <v>10</v>
      </c>
      <c r="P3" s="41">
        <f aca="true" t="shared" si="7" ref="P3:P26">P2+($P$50-$P$2)/BinDivisor</f>
        <v>0.5990645208333334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96</v>
      </c>
      <c r="D4" s="34">
        <f t="shared" si="1"/>
        <v>0</v>
      </c>
      <c r="E4" s="3">
        <f>COUNTIF(Vertices[Degree],"&gt;= "&amp;D4)-COUNTIF(Vertices[Degree],"&gt;="&amp;D5)</f>
        <v>0</v>
      </c>
      <c r="F4" s="39">
        <f t="shared" si="2"/>
        <v>0.16666666666666666</v>
      </c>
      <c r="G4" s="40">
        <f>COUNTIF(Vertices[In-Degree],"&gt;= "&amp;F4)-COUNTIF(Vertices[In-Degree],"&gt;="&amp;F5)</f>
        <v>0</v>
      </c>
      <c r="H4" s="39">
        <f t="shared" si="3"/>
        <v>0.4166666666666667</v>
      </c>
      <c r="I4" s="40">
        <f>COUNTIF(Vertices[Out-Degree],"&gt;= "&amp;H4)-COUNTIF(Vertices[Out-Degree],"&gt;="&amp;H5)</f>
        <v>0</v>
      </c>
      <c r="J4" s="39">
        <f t="shared" si="4"/>
        <v>66.66666666666667</v>
      </c>
      <c r="K4" s="40">
        <f>COUNTIF(Vertices[Betweenness Centrality],"&gt;= "&amp;J4)-COUNTIF(Vertices[Betweenness Centrality],"&gt;="&amp;J5)</f>
        <v>3</v>
      </c>
      <c r="L4" s="39">
        <f t="shared" si="5"/>
        <v>0.007845791666666668</v>
      </c>
      <c r="M4" s="40">
        <f>COUNTIF(Vertices[Closeness Centrality],"&gt;= "&amp;L4)-COUNTIF(Vertices[Closeness Centrality],"&gt;="&amp;L5)</f>
        <v>0</v>
      </c>
      <c r="N4" s="39">
        <f t="shared" si="6"/>
        <v>0.0032012499999999997</v>
      </c>
      <c r="O4" s="40">
        <f>COUNTIF(Vertices[Eigenvector Centrality],"&gt;= "&amp;N4)-COUNTIF(Vertices[Eigenvector Centrality],"&gt;="&amp;N5)</f>
        <v>0</v>
      </c>
      <c r="P4" s="39">
        <f t="shared" si="7"/>
        <v>0.6955760416666668</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0.625</v>
      </c>
      <c r="I5" s="42">
        <f>COUNTIF(Vertices[Out-Degree],"&gt;= "&amp;H5)-COUNTIF(Vertices[Out-Degree],"&gt;="&amp;H6)</f>
        <v>0</v>
      </c>
      <c r="J5" s="41">
        <f t="shared" si="4"/>
        <v>100</v>
      </c>
      <c r="K5" s="42">
        <f>COUNTIF(Vertices[Betweenness Centrality],"&gt;= "&amp;J5)-COUNTIF(Vertices[Betweenness Centrality],"&gt;="&amp;J6)</f>
        <v>0</v>
      </c>
      <c r="L5" s="41">
        <f t="shared" si="5"/>
        <v>0.0100906875</v>
      </c>
      <c r="M5" s="42">
        <f>COUNTIF(Vertices[Closeness Centrality],"&gt;= "&amp;L5)-COUNTIF(Vertices[Closeness Centrality],"&gt;="&amp;L6)</f>
        <v>0</v>
      </c>
      <c r="N5" s="41">
        <f t="shared" si="6"/>
        <v>0.004801875</v>
      </c>
      <c r="O5" s="42">
        <f>COUNTIF(Vertices[Eigenvector Centrality],"&gt;= "&amp;N5)-COUNTIF(Vertices[Eigenvector Centrality],"&gt;="&amp;N6)</f>
        <v>0</v>
      </c>
      <c r="P5" s="41">
        <f t="shared" si="7"/>
        <v>0.7920875625000001</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98</v>
      </c>
      <c r="D6" s="34">
        <f t="shared" si="1"/>
        <v>0</v>
      </c>
      <c r="E6" s="3">
        <f>COUNTIF(Vertices[Degree],"&gt;= "&amp;D6)-COUNTIF(Vertices[Degree],"&gt;="&amp;D7)</f>
        <v>0</v>
      </c>
      <c r="F6" s="39">
        <f t="shared" si="2"/>
        <v>0.3333333333333333</v>
      </c>
      <c r="G6" s="40">
        <f>COUNTIF(Vertices[In-Degree],"&gt;= "&amp;F6)-COUNTIF(Vertices[In-Degree],"&gt;="&amp;F7)</f>
        <v>0</v>
      </c>
      <c r="H6" s="39">
        <f t="shared" si="3"/>
        <v>0.8333333333333334</v>
      </c>
      <c r="I6" s="40">
        <f>COUNTIF(Vertices[Out-Degree],"&gt;= "&amp;H6)-COUNTIF(Vertices[Out-Degree],"&gt;="&amp;H7)</f>
        <v>0</v>
      </c>
      <c r="J6" s="39">
        <f t="shared" si="4"/>
        <v>133.33333333333334</v>
      </c>
      <c r="K6" s="40">
        <f>COUNTIF(Vertices[Betweenness Centrality],"&gt;= "&amp;J6)-COUNTIF(Vertices[Betweenness Centrality],"&gt;="&amp;J7)</f>
        <v>1</v>
      </c>
      <c r="L6" s="39">
        <f t="shared" si="5"/>
        <v>0.012335583333333334</v>
      </c>
      <c r="M6" s="40">
        <f>COUNTIF(Vertices[Closeness Centrality],"&gt;= "&amp;L6)-COUNTIF(Vertices[Closeness Centrality],"&gt;="&amp;L7)</f>
        <v>0</v>
      </c>
      <c r="N6" s="39">
        <f t="shared" si="6"/>
        <v>0.006402499999999999</v>
      </c>
      <c r="O6" s="40">
        <f>COUNTIF(Vertices[Eigenvector Centrality],"&gt;= "&amp;N6)-COUNTIF(Vertices[Eigenvector Centrality],"&gt;="&amp;N7)</f>
        <v>0</v>
      </c>
      <c r="P6" s="39">
        <f t="shared" si="7"/>
        <v>0.8885990833333335</v>
      </c>
      <c r="Q6" s="40">
        <f>COUNTIF(Vertices[PageRank],"&gt;= "&amp;P6)-COUNTIF(Vertices[PageRank],"&gt;="&amp;P7)</f>
        <v>3</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0.41666666666666663</v>
      </c>
      <c r="G7" s="42">
        <f>COUNTIF(Vertices[In-Degree],"&gt;= "&amp;F7)-COUNTIF(Vertices[In-Degree],"&gt;="&amp;F8)</f>
        <v>0</v>
      </c>
      <c r="H7" s="41">
        <f t="shared" si="3"/>
        <v>1.0416666666666667</v>
      </c>
      <c r="I7" s="42">
        <f>COUNTIF(Vertices[Out-Degree],"&gt;= "&amp;H7)-COUNTIF(Vertices[Out-Degree],"&gt;="&amp;H8)</f>
        <v>0</v>
      </c>
      <c r="J7" s="41">
        <f t="shared" si="4"/>
        <v>166.66666666666669</v>
      </c>
      <c r="K7" s="42">
        <f>COUNTIF(Vertices[Betweenness Centrality],"&gt;= "&amp;J7)-COUNTIF(Vertices[Betweenness Centrality],"&gt;="&amp;J8)</f>
        <v>0</v>
      </c>
      <c r="L7" s="41">
        <f t="shared" si="5"/>
        <v>0.014580479166666667</v>
      </c>
      <c r="M7" s="42">
        <f>COUNTIF(Vertices[Closeness Centrality],"&gt;= "&amp;L7)-COUNTIF(Vertices[Closeness Centrality],"&gt;="&amp;L8)</f>
        <v>0</v>
      </c>
      <c r="N7" s="41">
        <f t="shared" si="6"/>
        <v>0.008003125</v>
      </c>
      <c r="O7" s="42">
        <f>COUNTIF(Vertices[Eigenvector Centrality],"&gt;= "&amp;N7)-COUNTIF(Vertices[Eigenvector Centrality],"&gt;="&amp;N8)</f>
        <v>8</v>
      </c>
      <c r="P7" s="41">
        <f t="shared" si="7"/>
        <v>0.9851106041666668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0.49999999999999994</v>
      </c>
      <c r="G8" s="40">
        <f>COUNTIF(Vertices[In-Degree],"&gt;= "&amp;F8)-COUNTIF(Vertices[In-Degree],"&gt;="&amp;F9)</f>
        <v>0</v>
      </c>
      <c r="H8" s="39">
        <f t="shared" si="3"/>
        <v>1.25</v>
      </c>
      <c r="I8" s="40">
        <f>COUNTIF(Vertices[Out-Degree],"&gt;= "&amp;H8)-COUNTIF(Vertices[Out-Degree],"&gt;="&amp;H9)</f>
        <v>0</v>
      </c>
      <c r="J8" s="39">
        <f t="shared" si="4"/>
        <v>200.00000000000003</v>
      </c>
      <c r="K8" s="40">
        <f>COUNTIF(Vertices[Betweenness Centrality],"&gt;= "&amp;J8)-COUNTIF(Vertices[Betweenness Centrality],"&gt;="&amp;J9)</f>
        <v>2</v>
      </c>
      <c r="L8" s="39">
        <f t="shared" si="5"/>
        <v>0.016825375</v>
      </c>
      <c r="M8" s="40">
        <f>COUNTIF(Vertices[Closeness Centrality],"&gt;= "&amp;L8)-COUNTIF(Vertices[Closeness Centrality],"&gt;="&amp;L9)</f>
        <v>0</v>
      </c>
      <c r="N8" s="39">
        <f t="shared" si="6"/>
        <v>0.00960375</v>
      </c>
      <c r="O8" s="40">
        <f>COUNTIF(Vertices[Eigenvector Centrality],"&gt;= "&amp;N8)-COUNTIF(Vertices[Eigenvector Centrality],"&gt;="&amp;N9)</f>
        <v>1</v>
      </c>
      <c r="P8" s="39">
        <f t="shared" si="7"/>
        <v>1.0816221250000002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1.4583333333333333</v>
      </c>
      <c r="I9" s="42">
        <f>COUNTIF(Vertices[Out-Degree],"&gt;= "&amp;H9)-COUNTIF(Vertices[Out-Degree],"&gt;="&amp;H10)</f>
        <v>0</v>
      </c>
      <c r="J9" s="41">
        <f t="shared" si="4"/>
        <v>233.33333333333337</v>
      </c>
      <c r="K9" s="42">
        <f>COUNTIF(Vertices[Betweenness Centrality],"&gt;= "&amp;J9)-COUNTIF(Vertices[Betweenness Centrality],"&gt;="&amp;J10)</f>
        <v>0</v>
      </c>
      <c r="L9" s="41">
        <f t="shared" si="5"/>
        <v>0.019070270833333333</v>
      </c>
      <c r="M9" s="42">
        <f>COUNTIF(Vertices[Closeness Centrality],"&gt;= "&amp;L9)-COUNTIF(Vertices[Closeness Centrality],"&gt;="&amp;L10)</f>
        <v>0</v>
      </c>
      <c r="N9" s="41">
        <f t="shared" si="6"/>
        <v>0.011204374999999999</v>
      </c>
      <c r="O9" s="42">
        <f>COUNTIF(Vertices[Eigenvector Centrality],"&gt;= "&amp;N9)-COUNTIF(Vertices[Eigenvector Centrality],"&gt;="&amp;N10)</f>
        <v>0</v>
      </c>
      <c r="P9" s="41">
        <f t="shared" si="7"/>
        <v>1.1781336458333336</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0.6666666666666666</v>
      </c>
      <c r="G10" s="40">
        <f>COUNTIF(Vertices[In-Degree],"&gt;= "&amp;F10)-COUNTIF(Vertices[In-Degree],"&gt;="&amp;F11)</f>
        <v>0</v>
      </c>
      <c r="H10" s="39">
        <f t="shared" si="3"/>
        <v>1.6666666666666665</v>
      </c>
      <c r="I10" s="40">
        <f>COUNTIF(Vertices[Out-Degree],"&gt;= "&amp;H10)-COUNTIF(Vertices[Out-Degree],"&gt;="&amp;H11)</f>
        <v>0</v>
      </c>
      <c r="J10" s="39">
        <f t="shared" si="4"/>
        <v>266.6666666666667</v>
      </c>
      <c r="K10" s="40">
        <f>COUNTIF(Vertices[Betweenness Centrality],"&gt;= "&amp;J10)-COUNTIF(Vertices[Betweenness Centrality],"&gt;="&amp;J11)</f>
        <v>0</v>
      </c>
      <c r="L10" s="39">
        <f t="shared" si="5"/>
        <v>0.021315166666666666</v>
      </c>
      <c r="M10" s="40">
        <f>COUNTIF(Vertices[Closeness Centrality],"&gt;= "&amp;L10)-COUNTIF(Vertices[Closeness Centrality],"&gt;="&amp;L11)</f>
        <v>16</v>
      </c>
      <c r="N10" s="39">
        <f t="shared" si="6"/>
        <v>0.012804999999999999</v>
      </c>
      <c r="O10" s="40">
        <f>COUNTIF(Vertices[Eigenvector Centrality],"&gt;= "&amp;N10)-COUNTIF(Vertices[Eigenvector Centrality],"&gt;="&amp;N11)</f>
        <v>1</v>
      </c>
      <c r="P10" s="39">
        <f t="shared" si="7"/>
        <v>1.274645166666667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1.8749999999999998</v>
      </c>
      <c r="I11" s="42">
        <f>COUNTIF(Vertices[Out-Degree],"&gt;= "&amp;H11)-COUNTIF(Vertices[Out-Degree],"&gt;="&amp;H12)</f>
        <v>0</v>
      </c>
      <c r="J11" s="41">
        <f t="shared" si="4"/>
        <v>300</v>
      </c>
      <c r="K11" s="42">
        <f>COUNTIF(Vertices[Betweenness Centrality],"&gt;= "&amp;J11)-COUNTIF(Vertices[Betweenness Centrality],"&gt;="&amp;J12)</f>
        <v>0</v>
      </c>
      <c r="L11" s="41">
        <f t="shared" si="5"/>
        <v>0.0235600625</v>
      </c>
      <c r="M11" s="42">
        <f>COUNTIF(Vertices[Closeness Centrality],"&gt;= "&amp;L11)-COUNTIF(Vertices[Closeness Centrality],"&gt;="&amp;L12)</f>
        <v>0</v>
      </c>
      <c r="N11" s="41">
        <f t="shared" si="6"/>
        <v>0.014405624999999998</v>
      </c>
      <c r="O11" s="42">
        <f>COUNTIF(Vertices[Eigenvector Centrality],"&gt;= "&amp;N11)-COUNTIF(Vertices[Eigenvector Centrality],"&gt;="&amp;N12)</f>
        <v>8</v>
      </c>
      <c r="P11" s="41">
        <f t="shared" si="7"/>
        <v>1.3711566875000003</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170</v>
      </c>
      <c r="B12" s="36">
        <v>0.010309278350515464</v>
      </c>
      <c r="D12" s="34">
        <f t="shared" si="1"/>
        <v>0</v>
      </c>
      <c r="E12" s="3">
        <f>COUNTIF(Vertices[Degree],"&gt;= "&amp;D12)-COUNTIF(Vertices[Degree],"&gt;="&amp;D13)</f>
        <v>0</v>
      </c>
      <c r="F12" s="39">
        <f t="shared" si="2"/>
        <v>0.8333333333333334</v>
      </c>
      <c r="G12" s="40">
        <f>COUNTIF(Vertices[In-Degree],"&gt;= "&amp;F12)-COUNTIF(Vertices[In-Degree],"&gt;="&amp;F13)</f>
        <v>0</v>
      </c>
      <c r="H12" s="39">
        <f t="shared" si="3"/>
        <v>2.083333333333333</v>
      </c>
      <c r="I12" s="40">
        <f>COUNTIF(Vertices[Out-Degree],"&gt;= "&amp;H12)-COUNTIF(Vertices[Out-Degree],"&gt;="&amp;H13)</f>
        <v>0</v>
      </c>
      <c r="J12" s="39">
        <f t="shared" si="4"/>
        <v>333.3333333333333</v>
      </c>
      <c r="K12" s="40">
        <f>COUNTIF(Vertices[Betweenness Centrality],"&gt;= "&amp;J12)-COUNTIF(Vertices[Betweenness Centrality],"&gt;="&amp;J13)</f>
        <v>0</v>
      </c>
      <c r="L12" s="39">
        <f t="shared" si="5"/>
        <v>0.025804958333333333</v>
      </c>
      <c r="M12" s="40">
        <f>COUNTIF(Vertices[Closeness Centrality],"&gt;= "&amp;L12)-COUNTIF(Vertices[Closeness Centrality],"&gt;="&amp;L13)</f>
        <v>0</v>
      </c>
      <c r="N12" s="39">
        <f t="shared" si="6"/>
        <v>0.01600625</v>
      </c>
      <c r="O12" s="40">
        <f>COUNTIF(Vertices[Eigenvector Centrality],"&gt;= "&amp;N12)-COUNTIF(Vertices[Eigenvector Centrality],"&gt;="&amp;N13)</f>
        <v>6</v>
      </c>
      <c r="P12" s="39">
        <f t="shared" si="7"/>
        <v>1.4676682083333337</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171</v>
      </c>
      <c r="B13" s="36">
        <v>0.02040816326530612</v>
      </c>
      <c r="D13" s="34">
        <f t="shared" si="1"/>
        <v>0</v>
      </c>
      <c r="E13" s="3">
        <f>COUNTIF(Vertices[Degree],"&gt;= "&amp;D13)-COUNTIF(Vertices[Degree],"&gt;="&amp;D14)</f>
        <v>0</v>
      </c>
      <c r="F13" s="41">
        <f t="shared" si="2"/>
        <v>0.9166666666666667</v>
      </c>
      <c r="G13" s="42">
        <f>COUNTIF(Vertices[In-Degree],"&gt;= "&amp;F13)-COUNTIF(Vertices[In-Degree],"&gt;="&amp;F14)</f>
        <v>0</v>
      </c>
      <c r="H13" s="41">
        <f t="shared" si="3"/>
        <v>2.2916666666666665</v>
      </c>
      <c r="I13" s="42">
        <f>COUNTIF(Vertices[Out-Degree],"&gt;= "&amp;H13)-COUNTIF(Vertices[Out-Degree],"&gt;="&amp;H14)</f>
        <v>0</v>
      </c>
      <c r="J13" s="41">
        <f t="shared" si="4"/>
        <v>366.66666666666663</v>
      </c>
      <c r="K13" s="42">
        <f>COUNTIF(Vertices[Betweenness Centrality],"&gt;= "&amp;J13)-COUNTIF(Vertices[Betweenness Centrality],"&gt;="&amp;J14)</f>
        <v>0</v>
      </c>
      <c r="L13" s="41">
        <f t="shared" si="5"/>
        <v>0.028049854166666666</v>
      </c>
      <c r="M13" s="42">
        <f>COUNTIF(Vertices[Closeness Centrality],"&gt;= "&amp;L13)-COUNTIF(Vertices[Closeness Centrality],"&gt;="&amp;L14)</f>
        <v>1</v>
      </c>
      <c r="N13" s="41">
        <f t="shared" si="6"/>
        <v>0.017606875</v>
      </c>
      <c r="O13" s="42">
        <f>COUNTIF(Vertices[Eigenvector Centrality],"&gt;= "&amp;N13)-COUNTIF(Vertices[Eigenvector Centrality],"&gt;="&amp;N14)</f>
        <v>0</v>
      </c>
      <c r="P13" s="41">
        <f t="shared" si="7"/>
        <v>1.564179729166667</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v>
      </c>
      <c r="G14" s="40">
        <f>COUNTIF(Vertices[In-Degree],"&gt;= "&amp;F14)-COUNTIF(Vertices[In-Degree],"&gt;="&amp;F15)</f>
        <v>81</v>
      </c>
      <c r="H14" s="39">
        <f t="shared" si="3"/>
        <v>2.5</v>
      </c>
      <c r="I14" s="40">
        <f>COUNTIF(Vertices[Out-Degree],"&gt;= "&amp;H14)-COUNTIF(Vertices[Out-Degree],"&gt;="&amp;H15)</f>
        <v>0</v>
      </c>
      <c r="J14" s="39">
        <f t="shared" si="4"/>
        <v>399.99999999999994</v>
      </c>
      <c r="K14" s="40">
        <f>COUNTIF(Vertices[Betweenness Centrality],"&gt;= "&amp;J14)-COUNTIF(Vertices[Betweenness Centrality],"&gt;="&amp;J15)</f>
        <v>0</v>
      </c>
      <c r="L14" s="39">
        <f t="shared" si="5"/>
        <v>0.03029475</v>
      </c>
      <c r="M14" s="40">
        <f>COUNTIF(Vertices[Closeness Centrality],"&gt;= "&amp;L14)-COUNTIF(Vertices[Closeness Centrality],"&gt;="&amp;L15)</f>
        <v>0</v>
      </c>
      <c r="N14" s="39">
        <f t="shared" si="6"/>
        <v>0.019207500000000002</v>
      </c>
      <c r="O14" s="40">
        <f>COUNTIF(Vertices[Eigenvector Centrality],"&gt;= "&amp;N14)-COUNTIF(Vertices[Eigenvector Centrality],"&gt;="&amp;N15)</f>
        <v>0</v>
      </c>
      <c r="P14" s="39">
        <f t="shared" si="7"/>
        <v>1.6606912500000004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1.0833333333333333</v>
      </c>
      <c r="G15" s="42">
        <f>COUNTIF(Vertices[In-Degree],"&gt;= "&amp;F15)-COUNTIF(Vertices[In-Degree],"&gt;="&amp;F16)</f>
        <v>0</v>
      </c>
      <c r="H15" s="41">
        <f t="shared" si="3"/>
        <v>2.7083333333333335</v>
      </c>
      <c r="I15" s="42">
        <f>COUNTIF(Vertices[Out-Degree],"&gt;= "&amp;H15)-COUNTIF(Vertices[Out-Degree],"&gt;="&amp;H16)</f>
        <v>0</v>
      </c>
      <c r="J15" s="41">
        <f t="shared" si="4"/>
        <v>433.33333333333326</v>
      </c>
      <c r="K15" s="42">
        <f>COUNTIF(Vertices[Betweenness Centrality],"&gt;= "&amp;J15)-COUNTIF(Vertices[Betweenness Centrality],"&gt;="&amp;J16)</f>
        <v>0</v>
      </c>
      <c r="L15" s="41">
        <f t="shared" si="5"/>
        <v>0.03253964583333333</v>
      </c>
      <c r="M15" s="42">
        <f>COUNTIF(Vertices[Closeness Centrality],"&gt;= "&amp;L15)-COUNTIF(Vertices[Closeness Centrality],"&gt;="&amp;L16)</f>
        <v>0</v>
      </c>
      <c r="N15" s="41">
        <f t="shared" si="6"/>
        <v>0.020808125000000004</v>
      </c>
      <c r="O15" s="42">
        <f>COUNTIF(Vertices[Eigenvector Centrality],"&gt;= "&amp;N15)-COUNTIF(Vertices[Eigenvector Centrality],"&gt;="&amp;N16)</f>
        <v>7</v>
      </c>
      <c r="P15" s="41">
        <f t="shared" si="7"/>
        <v>1.7572027708333338</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1.1666666666666665</v>
      </c>
      <c r="G16" s="40">
        <f>COUNTIF(Vertices[In-Degree],"&gt;= "&amp;F16)-COUNTIF(Vertices[In-Degree],"&gt;="&amp;F17)</f>
        <v>0</v>
      </c>
      <c r="H16" s="39">
        <f t="shared" si="3"/>
        <v>2.916666666666667</v>
      </c>
      <c r="I16" s="40">
        <f>COUNTIF(Vertices[Out-Degree],"&gt;= "&amp;H16)-COUNTIF(Vertices[Out-Degree],"&gt;="&amp;H17)</f>
        <v>0</v>
      </c>
      <c r="J16" s="39">
        <f t="shared" si="4"/>
        <v>466.6666666666666</v>
      </c>
      <c r="K16" s="40">
        <f>COUNTIF(Vertices[Betweenness Centrality],"&gt;= "&amp;J16)-COUNTIF(Vertices[Betweenness Centrality],"&gt;="&amp;J17)</f>
        <v>0</v>
      </c>
      <c r="L16" s="39">
        <f t="shared" si="5"/>
        <v>0.03478454166666667</v>
      </c>
      <c r="M16" s="40">
        <f>COUNTIF(Vertices[Closeness Centrality],"&gt;= "&amp;L16)-COUNTIF(Vertices[Closeness Centrality],"&gt;="&amp;L17)</f>
        <v>0</v>
      </c>
      <c r="N16" s="39">
        <f t="shared" si="6"/>
        <v>0.022408750000000005</v>
      </c>
      <c r="O16" s="40">
        <f>COUNTIF(Vertices[Eigenvector Centrality],"&gt;= "&amp;N16)-COUNTIF(Vertices[Eigenvector Centrality],"&gt;="&amp;N17)</f>
        <v>7</v>
      </c>
      <c r="P16" s="39">
        <f t="shared" si="7"/>
        <v>1.8537142916666671</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154</v>
      </c>
      <c r="B17" s="36">
        <v>56</v>
      </c>
      <c r="D17" s="34">
        <f t="shared" si="1"/>
        <v>0</v>
      </c>
      <c r="E17" s="3">
        <f>COUNTIF(Vertices[Degree],"&gt;= "&amp;D17)-COUNTIF(Vertices[Degree],"&gt;="&amp;D18)</f>
        <v>0</v>
      </c>
      <c r="F17" s="41">
        <f t="shared" si="2"/>
        <v>1.2499999999999998</v>
      </c>
      <c r="G17" s="42">
        <f>COUNTIF(Vertices[In-Degree],"&gt;= "&amp;F17)-COUNTIF(Vertices[In-Degree],"&gt;="&amp;F18)</f>
        <v>0</v>
      </c>
      <c r="H17" s="41">
        <f t="shared" si="3"/>
        <v>3.1250000000000004</v>
      </c>
      <c r="I17" s="42">
        <f>COUNTIF(Vertices[Out-Degree],"&gt;= "&amp;H17)-COUNTIF(Vertices[Out-Degree],"&gt;="&amp;H18)</f>
        <v>0</v>
      </c>
      <c r="J17" s="41">
        <f t="shared" si="4"/>
        <v>499.9999999999999</v>
      </c>
      <c r="K17" s="42">
        <f>COUNTIF(Vertices[Betweenness Centrality],"&gt;= "&amp;J17)-COUNTIF(Vertices[Betweenness Centrality],"&gt;="&amp;J18)</f>
        <v>0</v>
      </c>
      <c r="L17" s="41">
        <f t="shared" si="5"/>
        <v>0.037029437500000005</v>
      </c>
      <c r="M17" s="42">
        <f>COUNTIF(Vertices[Closeness Centrality],"&gt;= "&amp;L17)-COUNTIF(Vertices[Closeness Centrality],"&gt;="&amp;L18)</f>
        <v>2</v>
      </c>
      <c r="N17" s="41">
        <f t="shared" si="6"/>
        <v>0.024009375000000006</v>
      </c>
      <c r="O17" s="42">
        <f>COUNTIF(Vertices[Eigenvector Centrality],"&gt;= "&amp;N17)-COUNTIF(Vertices[Eigenvector Centrality],"&gt;="&amp;N18)</f>
        <v>1</v>
      </c>
      <c r="P17" s="41">
        <f t="shared" si="7"/>
        <v>1.9502258125000005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155</v>
      </c>
      <c r="B18" s="36">
        <v>59</v>
      </c>
      <c r="D18" s="34">
        <f t="shared" si="1"/>
        <v>0</v>
      </c>
      <c r="E18" s="3">
        <f>COUNTIF(Vertices[Degree],"&gt;= "&amp;D18)-COUNTIF(Vertices[Degree],"&gt;="&amp;D19)</f>
        <v>0</v>
      </c>
      <c r="F18" s="39">
        <f t="shared" si="2"/>
        <v>1.333333333333333</v>
      </c>
      <c r="G18" s="40">
        <f>COUNTIF(Vertices[In-Degree],"&gt;= "&amp;F18)-COUNTIF(Vertices[In-Degree],"&gt;="&amp;F19)</f>
        <v>0</v>
      </c>
      <c r="H18" s="39">
        <f t="shared" si="3"/>
        <v>3.333333333333334</v>
      </c>
      <c r="I18" s="40">
        <f>COUNTIF(Vertices[Out-Degree],"&gt;= "&amp;H18)-COUNTIF(Vertices[Out-Degree],"&gt;="&amp;H19)</f>
        <v>0</v>
      </c>
      <c r="J18" s="39">
        <f t="shared" si="4"/>
        <v>533.3333333333333</v>
      </c>
      <c r="K18" s="40">
        <f>COUNTIF(Vertices[Betweenness Centrality],"&gt;= "&amp;J18)-COUNTIF(Vertices[Betweenness Centrality],"&gt;="&amp;J19)</f>
        <v>0</v>
      </c>
      <c r="L18" s="39">
        <f t="shared" si="5"/>
        <v>0.03927433333333334</v>
      </c>
      <c r="M18" s="40">
        <f>COUNTIF(Vertices[Closeness Centrality],"&gt;= "&amp;L18)-COUNTIF(Vertices[Closeness Centrality],"&gt;="&amp;L19)</f>
        <v>0</v>
      </c>
      <c r="N18" s="39">
        <f t="shared" si="6"/>
        <v>0.025610000000000008</v>
      </c>
      <c r="O18" s="40">
        <f>COUNTIF(Vertices[Eigenvector Centrality],"&gt;= "&amp;N18)-COUNTIF(Vertices[Eigenvector Centrality],"&gt;="&amp;N19)</f>
        <v>0</v>
      </c>
      <c r="P18" s="39">
        <f t="shared" si="7"/>
        <v>2.0467373333333336</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1.4166666666666663</v>
      </c>
      <c r="G19" s="42">
        <f>COUNTIF(Vertices[In-Degree],"&gt;= "&amp;F19)-COUNTIF(Vertices[In-Degree],"&gt;="&amp;F20)</f>
        <v>0</v>
      </c>
      <c r="H19" s="41">
        <f t="shared" si="3"/>
        <v>3.5416666666666674</v>
      </c>
      <c r="I19" s="42">
        <f>COUNTIF(Vertices[Out-Degree],"&gt;= "&amp;H19)-COUNTIF(Vertices[Out-Degree],"&gt;="&amp;H20)</f>
        <v>0</v>
      </c>
      <c r="J19" s="41">
        <f t="shared" si="4"/>
        <v>566.6666666666666</v>
      </c>
      <c r="K19" s="42">
        <f>COUNTIF(Vertices[Betweenness Centrality],"&gt;= "&amp;J19)-COUNTIF(Vertices[Betweenness Centrality],"&gt;="&amp;J20)</f>
        <v>0</v>
      </c>
      <c r="L19" s="41">
        <f t="shared" si="5"/>
        <v>0.04151922916666668</v>
      </c>
      <c r="M19" s="42">
        <f>COUNTIF(Vertices[Closeness Centrality],"&gt;= "&amp;L19)-COUNTIF(Vertices[Closeness Centrality],"&gt;="&amp;L20)</f>
        <v>0</v>
      </c>
      <c r="N19" s="41">
        <f t="shared" si="6"/>
        <v>0.02721062500000001</v>
      </c>
      <c r="O19" s="42">
        <f>COUNTIF(Vertices[Eigenvector Centrality],"&gt;= "&amp;N19)-COUNTIF(Vertices[Eigenvector Centrality],"&gt;="&amp;N20)</f>
        <v>0</v>
      </c>
      <c r="P19" s="41">
        <f t="shared" si="7"/>
        <v>2.143248854166667</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156</v>
      </c>
      <c r="B20" s="36">
        <v>8</v>
      </c>
      <c r="D20" s="34">
        <f t="shared" si="1"/>
        <v>0</v>
      </c>
      <c r="E20" s="3">
        <f>COUNTIF(Vertices[Degree],"&gt;= "&amp;D20)-COUNTIF(Vertices[Degree],"&gt;="&amp;D21)</f>
        <v>0</v>
      </c>
      <c r="F20" s="39">
        <f t="shared" si="2"/>
        <v>1.4999999999999996</v>
      </c>
      <c r="G20" s="40">
        <f>COUNTIF(Vertices[In-Degree],"&gt;= "&amp;F20)-COUNTIF(Vertices[In-Degree],"&gt;="&amp;F21)</f>
        <v>0</v>
      </c>
      <c r="H20" s="39">
        <f t="shared" si="3"/>
        <v>3.750000000000001</v>
      </c>
      <c r="I20" s="40">
        <f>COUNTIF(Vertices[Out-Degree],"&gt;= "&amp;H20)-COUNTIF(Vertices[Out-Degree],"&gt;="&amp;H21)</f>
        <v>0</v>
      </c>
      <c r="J20" s="39">
        <f t="shared" si="4"/>
        <v>600</v>
      </c>
      <c r="K20" s="40">
        <f>COUNTIF(Vertices[Betweenness Centrality],"&gt;= "&amp;J20)-COUNTIF(Vertices[Betweenness Centrality],"&gt;="&amp;J21)</f>
        <v>0</v>
      </c>
      <c r="L20" s="39">
        <f t="shared" si="5"/>
        <v>0.043764125000000015</v>
      </c>
      <c r="M20" s="40">
        <f>COUNTIF(Vertices[Closeness Centrality],"&gt;= "&amp;L20)-COUNTIF(Vertices[Closeness Centrality],"&gt;="&amp;L21)</f>
        <v>0</v>
      </c>
      <c r="N20" s="39">
        <f t="shared" si="6"/>
        <v>0.02881125000000001</v>
      </c>
      <c r="O20" s="40">
        <f>COUNTIF(Vertices[Eigenvector Centrality],"&gt;= "&amp;N20)-COUNTIF(Vertices[Eigenvector Centrality],"&gt;="&amp;N21)</f>
        <v>0</v>
      </c>
      <c r="P20" s="39">
        <f t="shared" si="7"/>
        <v>2.2397603750000004</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157</v>
      </c>
      <c r="B21" s="36">
        <v>3.845078</v>
      </c>
      <c r="D21" s="34">
        <f t="shared" si="1"/>
        <v>0</v>
      </c>
      <c r="E21" s="3">
        <f>COUNTIF(Vertices[Degree],"&gt;= "&amp;D21)-COUNTIF(Vertices[Degree],"&gt;="&amp;D22)</f>
        <v>0</v>
      </c>
      <c r="F21" s="41">
        <f t="shared" si="2"/>
        <v>1.5833333333333328</v>
      </c>
      <c r="G21" s="42">
        <f>COUNTIF(Vertices[In-Degree],"&gt;= "&amp;F21)-COUNTIF(Vertices[In-Degree],"&gt;="&amp;F22)</f>
        <v>0</v>
      </c>
      <c r="H21" s="41">
        <f t="shared" si="3"/>
        <v>3.9583333333333344</v>
      </c>
      <c r="I21" s="42">
        <f>COUNTIF(Vertices[Out-Degree],"&gt;= "&amp;H21)-COUNTIF(Vertices[Out-Degree],"&gt;="&amp;H22)</f>
        <v>0</v>
      </c>
      <c r="J21" s="41">
        <f t="shared" si="4"/>
        <v>633.3333333333334</v>
      </c>
      <c r="K21" s="42">
        <f>COUNTIF(Vertices[Betweenness Centrality],"&gt;= "&amp;J21)-COUNTIF(Vertices[Betweenness Centrality],"&gt;="&amp;J22)</f>
        <v>0</v>
      </c>
      <c r="L21" s="41">
        <f t="shared" si="5"/>
        <v>0.04600902083333335</v>
      </c>
      <c r="M21" s="42">
        <f>COUNTIF(Vertices[Closeness Centrality],"&gt;= "&amp;L21)-COUNTIF(Vertices[Closeness Centrality],"&gt;="&amp;L22)</f>
        <v>0</v>
      </c>
      <c r="N21" s="41">
        <f t="shared" si="6"/>
        <v>0.030411875000000012</v>
      </c>
      <c r="O21" s="42">
        <f>COUNTIF(Vertices[Eigenvector Centrality],"&gt;= "&amp;N21)-COUNTIF(Vertices[Eigenvector Centrality],"&gt;="&amp;N22)</f>
        <v>1</v>
      </c>
      <c r="P21" s="41">
        <f t="shared" si="7"/>
        <v>2.3362718958333337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1.666666666666666</v>
      </c>
      <c r="G22" s="40">
        <f>COUNTIF(Vertices[In-Degree],"&gt;= "&amp;F22)-COUNTIF(Vertices[In-Degree],"&gt;="&amp;F23)</f>
        <v>0</v>
      </c>
      <c r="H22" s="39">
        <f t="shared" si="3"/>
        <v>4.166666666666668</v>
      </c>
      <c r="I22" s="40">
        <f>COUNTIF(Vertices[Out-Degree],"&gt;= "&amp;H22)-COUNTIF(Vertices[Out-Degree],"&gt;="&amp;H23)</f>
        <v>0</v>
      </c>
      <c r="J22" s="39">
        <f t="shared" si="4"/>
        <v>666.6666666666667</v>
      </c>
      <c r="K22" s="40">
        <f>COUNTIF(Vertices[Betweenness Centrality],"&gt;= "&amp;J22)-COUNTIF(Vertices[Betweenness Centrality],"&gt;="&amp;J23)</f>
        <v>1</v>
      </c>
      <c r="L22" s="39">
        <f t="shared" si="5"/>
        <v>0.04825391666666669</v>
      </c>
      <c r="M22" s="40">
        <f>COUNTIF(Vertices[Closeness Centrality],"&gt;= "&amp;L22)-COUNTIF(Vertices[Closeness Centrality],"&gt;="&amp;L23)</f>
        <v>0</v>
      </c>
      <c r="N22" s="39">
        <f t="shared" si="6"/>
        <v>0.03201250000000001</v>
      </c>
      <c r="O22" s="40">
        <f>COUNTIF(Vertices[Eigenvector Centrality],"&gt;= "&amp;N22)-COUNTIF(Vertices[Eigenvector Centrality],"&gt;="&amp;N23)</f>
        <v>1</v>
      </c>
      <c r="P22" s="39">
        <f t="shared" si="7"/>
        <v>2.432783416666667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158</v>
      </c>
      <c r="B23" s="36">
        <v>0.01074561403508772</v>
      </c>
      <c r="D23" s="34">
        <f t="shared" si="1"/>
        <v>0</v>
      </c>
      <c r="E23" s="3">
        <f>COUNTIF(Vertices[Degree],"&gt;= "&amp;D23)-COUNTIF(Vertices[Degree],"&gt;="&amp;D24)</f>
        <v>0</v>
      </c>
      <c r="F23" s="41">
        <f t="shared" si="2"/>
        <v>1.7499999999999993</v>
      </c>
      <c r="G23" s="42">
        <f>COUNTIF(Vertices[In-Degree],"&gt;= "&amp;F23)-COUNTIF(Vertices[In-Degree],"&gt;="&amp;F24)</f>
        <v>0</v>
      </c>
      <c r="H23" s="41">
        <f t="shared" si="3"/>
        <v>4.375000000000001</v>
      </c>
      <c r="I23" s="42">
        <f>COUNTIF(Vertices[Out-Degree],"&gt;= "&amp;H23)-COUNTIF(Vertices[Out-Degree],"&gt;="&amp;H24)</f>
        <v>0</v>
      </c>
      <c r="J23" s="41">
        <f t="shared" si="4"/>
        <v>700.0000000000001</v>
      </c>
      <c r="K23" s="42">
        <f>COUNTIF(Vertices[Betweenness Centrality],"&gt;= "&amp;J23)-COUNTIF(Vertices[Betweenness Centrality],"&gt;="&amp;J24)</f>
        <v>0</v>
      </c>
      <c r="L23" s="41">
        <f t="shared" si="5"/>
        <v>0.050498812500000025</v>
      </c>
      <c r="M23" s="42">
        <f>COUNTIF(Vertices[Closeness Centrality],"&gt;= "&amp;L23)-COUNTIF(Vertices[Closeness Centrality],"&gt;="&amp;L24)</f>
        <v>10</v>
      </c>
      <c r="N23" s="41">
        <f t="shared" si="6"/>
        <v>0.033613125000000015</v>
      </c>
      <c r="O23" s="42">
        <f>COUNTIF(Vertices[Eigenvector Centrality],"&gt;= "&amp;N23)-COUNTIF(Vertices[Eigenvector Centrality],"&gt;="&amp;N24)</f>
        <v>0</v>
      </c>
      <c r="P23" s="41">
        <f t="shared" si="7"/>
        <v>2.5292949375000005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1200</v>
      </c>
      <c r="B24" s="36">
        <v>0.780612</v>
      </c>
      <c r="D24" s="34">
        <f t="shared" si="1"/>
        <v>0</v>
      </c>
      <c r="E24" s="3">
        <f>COUNTIF(Vertices[Degree],"&gt;= "&amp;D24)-COUNTIF(Vertices[Degree],"&gt;="&amp;D25)</f>
        <v>0</v>
      </c>
      <c r="F24" s="39">
        <f t="shared" si="2"/>
        <v>1.8333333333333326</v>
      </c>
      <c r="G24" s="40">
        <f>COUNTIF(Vertices[In-Degree],"&gt;= "&amp;F24)-COUNTIF(Vertices[In-Degree],"&gt;="&amp;F25)</f>
        <v>0</v>
      </c>
      <c r="H24" s="39">
        <f t="shared" si="3"/>
        <v>4.583333333333334</v>
      </c>
      <c r="I24" s="40">
        <f>COUNTIF(Vertices[Out-Degree],"&gt;= "&amp;H24)-COUNTIF(Vertices[Out-Degree],"&gt;="&amp;H25)</f>
        <v>0</v>
      </c>
      <c r="J24" s="39">
        <f t="shared" si="4"/>
        <v>733.3333333333335</v>
      </c>
      <c r="K24" s="40">
        <f>COUNTIF(Vertices[Betweenness Centrality],"&gt;= "&amp;J24)-COUNTIF(Vertices[Betweenness Centrality],"&gt;="&amp;J25)</f>
        <v>0</v>
      </c>
      <c r="L24" s="39">
        <f t="shared" si="5"/>
        <v>0.05274370833333336</v>
      </c>
      <c r="M24" s="40">
        <f>COUNTIF(Vertices[Closeness Centrality],"&gt;= "&amp;L24)-COUNTIF(Vertices[Closeness Centrality],"&gt;="&amp;L25)</f>
        <v>0</v>
      </c>
      <c r="N24" s="39">
        <f t="shared" si="6"/>
        <v>0.035213750000000016</v>
      </c>
      <c r="O24" s="40">
        <f>COUNTIF(Vertices[Eigenvector Centrality],"&gt;= "&amp;N24)-COUNTIF(Vertices[Eigenvector Centrality],"&gt;="&amp;N25)</f>
        <v>1</v>
      </c>
      <c r="P24" s="39">
        <f t="shared" si="7"/>
        <v>2.625806458333334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1.9166666666666659</v>
      </c>
      <c r="G25" s="42">
        <f>COUNTIF(Vertices[In-Degree],"&gt;= "&amp;F25)-COUNTIF(Vertices[In-Degree],"&gt;="&amp;F26)</f>
        <v>0</v>
      </c>
      <c r="H25" s="41">
        <f t="shared" si="3"/>
        <v>4.791666666666667</v>
      </c>
      <c r="I25" s="42">
        <f>COUNTIF(Vertices[Out-Degree],"&gt;= "&amp;H25)-COUNTIF(Vertices[Out-Degree],"&gt;="&amp;H26)</f>
        <v>0</v>
      </c>
      <c r="J25" s="41">
        <f t="shared" si="4"/>
        <v>766.6666666666669</v>
      </c>
      <c r="K25" s="42">
        <f>COUNTIF(Vertices[Betweenness Centrality],"&gt;= "&amp;J25)-COUNTIF(Vertices[Betweenness Centrality],"&gt;="&amp;J26)</f>
        <v>0</v>
      </c>
      <c r="L25" s="41">
        <f t="shared" si="5"/>
        <v>0.0549886041666667</v>
      </c>
      <c r="M25" s="42">
        <f>COUNTIF(Vertices[Closeness Centrality],"&gt;= "&amp;L25)-COUNTIF(Vertices[Closeness Centrality],"&gt;="&amp;L26)</f>
        <v>0</v>
      </c>
      <c r="N25" s="41">
        <f t="shared" si="6"/>
        <v>0.03681437500000002</v>
      </c>
      <c r="O25" s="42">
        <f>COUNTIF(Vertices[Eigenvector Centrality],"&gt;= "&amp;N25)-COUNTIF(Vertices[Eigenvector Centrality],"&gt;="&amp;N26)</f>
        <v>0</v>
      </c>
      <c r="P25" s="41">
        <f t="shared" si="7"/>
        <v>2.722317979166667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1201</v>
      </c>
      <c r="B26" s="36" t="s">
        <v>1215</v>
      </c>
      <c r="D26" s="34">
        <f t="shared" si="1"/>
        <v>0</v>
      </c>
      <c r="E26" s="3">
        <f>COUNTIF(Vertices[Degree],"&gt;= "&amp;D26)-COUNTIF(Vertices[Degree],"&gt;="&amp;D28)</f>
        <v>0</v>
      </c>
      <c r="F26" s="39">
        <f t="shared" si="2"/>
        <v>1.9999999999999991</v>
      </c>
      <c r="G26" s="40">
        <f>COUNTIF(Vertices[In-Degree],"&gt;= "&amp;F26)-COUNTIF(Vertices[In-Degree],"&gt;="&amp;F28)</f>
        <v>5</v>
      </c>
      <c r="H26" s="39">
        <f t="shared" si="3"/>
        <v>5</v>
      </c>
      <c r="I26" s="40">
        <f>COUNTIF(Vertices[Out-Degree],"&gt;= "&amp;H26)-COUNTIF(Vertices[Out-Degree],"&gt;="&amp;H28)</f>
        <v>0</v>
      </c>
      <c r="J26" s="39">
        <f t="shared" si="4"/>
        <v>800.0000000000002</v>
      </c>
      <c r="K26" s="40">
        <f>COUNTIF(Vertices[Betweenness Centrality],"&gt;= "&amp;J26)-COUNTIF(Vertices[Betweenness Centrality],"&gt;="&amp;J28)</f>
        <v>0</v>
      </c>
      <c r="L26" s="39">
        <f t="shared" si="5"/>
        <v>0.057233500000000034</v>
      </c>
      <c r="M26" s="40">
        <f>COUNTIF(Vertices[Closeness Centrality],"&gt;= "&amp;L26)-COUNTIF(Vertices[Closeness Centrality],"&gt;="&amp;L28)</f>
        <v>9</v>
      </c>
      <c r="N26" s="39">
        <f t="shared" si="6"/>
        <v>0.03841500000000002</v>
      </c>
      <c r="O26" s="40">
        <f>COUNTIF(Vertices[Eigenvector Centrality],"&gt;= "&amp;N26)-COUNTIF(Vertices[Eigenvector Centrality],"&gt;="&amp;N28)</f>
        <v>1</v>
      </c>
      <c r="P26" s="39">
        <f t="shared" si="7"/>
        <v>2.8188295000000005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-10</v>
      </c>
      <c r="J27" s="78"/>
      <c r="K27" s="79">
        <f>COUNTIF(Vertices[Betweenness Centrality],"&gt;= "&amp;J27)-COUNTIF(Vertices[Betweenness Centrality],"&gt;="&amp;J28)</f>
        <v>-8</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1202</v>
      </c>
      <c r="B28" s="36" t="s">
        <v>1375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5.208333333333333</v>
      </c>
      <c r="I28" s="42">
        <f>COUNTIF(Vertices[Out-Degree],"&gt;= "&amp;H28)-COUNTIF(Vertices[Out-Degree],"&gt;="&amp;H42)</f>
        <v>0</v>
      </c>
      <c r="J28" s="41">
        <f>J26+($J$50-$J$2)/BinDivisor</f>
        <v>833.3333333333336</v>
      </c>
      <c r="K28" s="42">
        <f>COUNTIF(Vertices[Betweenness Centrality],"&gt;= "&amp;J28)-COUNTIF(Vertices[Betweenness Centrality],"&gt;="&amp;J42)</f>
        <v>1</v>
      </c>
      <c r="L28" s="41">
        <f>L26+($L$50-$L$2)/BinDivisor</f>
        <v>0.05947839583333337</v>
      </c>
      <c r="M28" s="42">
        <f>COUNTIF(Vertices[Closeness Centrality],"&gt;= "&amp;L28)-COUNTIF(Vertices[Closeness Centrality],"&gt;="&amp;L42)</f>
        <v>0</v>
      </c>
      <c r="N28" s="41">
        <f>N26+($N$50-$N$2)/BinDivisor</f>
        <v>0.04001562500000002</v>
      </c>
      <c r="O28" s="42">
        <f>COUNTIF(Vertices[Eigenvector Centrality],"&gt;= "&amp;N28)-COUNTIF(Vertices[Eigenvector Centrality],"&gt;="&amp;N42)</f>
        <v>0</v>
      </c>
      <c r="P28" s="41">
        <f>P26+($P$50-$P$2)/BinDivisor</f>
        <v>2.915341020833334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1203</v>
      </c>
      <c r="B30" s="36" t="s">
        <v>1370</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1204</v>
      </c>
      <c r="B31" s="36" t="s">
        <v>1371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6" t="s">
        <v>1205</v>
      </c>
      <c r="B32" s="67" t="s">
        <v>1372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1206</v>
      </c>
      <c r="B33" s="36" t="s">
        <v>1373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1207</v>
      </c>
      <c r="B34" s="36" t="s">
        <v>1374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1208</v>
      </c>
      <c r="B35" s="36" t="s">
        <v>748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1209</v>
      </c>
      <c r="B36" s="36" t="s">
        <v>748</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1210</v>
      </c>
      <c r="B37" s="36" t="s">
        <v>748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1211</v>
      </c>
      <c r="B38" s="36"/>
      <c r="D38" s="34"/>
      <c r="E38" s="3">
        <f>COUNTIF(Vertices[Degree],"&gt;= "&amp;D38)-COUNTIF(Vertices[Degree],"&gt;="&amp;D42)</f>
        <v>0</v>
      </c>
      <c r="F38" s="78"/>
      <c r="G38" s="79">
        <f>COUNTIF(Vertices[In-Degree],"&gt;= "&amp;F38)-COUNTIF(Vertices[In-Degree],"&gt;="&amp;F42)</f>
        <v>-2</v>
      </c>
      <c r="H38" s="78"/>
      <c r="I38" s="79">
        <f>COUNTIF(Vertices[Out-Degree],"&gt;= "&amp;H38)-COUNTIF(Vertices[Out-Degree],"&gt;="&amp;H42)</f>
        <v>-10</v>
      </c>
      <c r="J38" s="78"/>
      <c r="K38" s="79">
        <f>COUNTIF(Vertices[Betweenness Centrality],"&gt;= "&amp;J38)-COUNTIF(Vertices[Betweenness Centrality],"&gt;="&amp;J42)</f>
        <v>-7</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21</v>
      </c>
      <c r="B39" s="36"/>
      <c r="D39" s="34"/>
      <c r="E39" s="3">
        <f>COUNTIF(Vertices[Degree],"&gt;= "&amp;D39)-COUNTIF(Vertices[Degree],"&gt;="&amp;D42)</f>
        <v>0</v>
      </c>
      <c r="F39" s="78"/>
      <c r="G39" s="79">
        <f>COUNTIF(Vertices[In-Degree],"&gt;= "&amp;F39)-COUNTIF(Vertices[In-Degree],"&gt;="&amp;F42)</f>
        <v>-2</v>
      </c>
      <c r="H39" s="78"/>
      <c r="I39" s="79">
        <f>COUNTIF(Vertices[Out-Degree],"&gt;= "&amp;H39)-COUNTIF(Vertices[Out-Degree],"&gt;="&amp;H42)</f>
        <v>-10</v>
      </c>
      <c r="J39" s="78"/>
      <c r="K39" s="79">
        <f>COUNTIF(Vertices[Betweenness Centrality],"&gt;= "&amp;J39)-COUNTIF(Vertices[Betweenness Centrality],"&gt;="&amp;J42)</f>
        <v>-7</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1212</v>
      </c>
      <c r="B40" s="36" t="s">
        <v>299</v>
      </c>
      <c r="D40" s="34"/>
      <c r="E40" s="3">
        <f>COUNTIF(Vertices[Degree],"&gt;= "&amp;D40)-COUNTIF(Vertices[Degree],"&gt;="&amp;D42)</f>
        <v>0</v>
      </c>
      <c r="F40" s="78"/>
      <c r="G40" s="79">
        <f>COUNTIF(Vertices[In-Degree],"&gt;= "&amp;F40)-COUNTIF(Vertices[In-Degree],"&gt;="&amp;F42)</f>
        <v>-2</v>
      </c>
      <c r="H40" s="78"/>
      <c r="I40" s="79">
        <f>COUNTIF(Vertices[Out-Degree],"&gt;= "&amp;H40)-COUNTIF(Vertices[Out-Degree],"&gt;="&amp;H42)</f>
        <v>-10</v>
      </c>
      <c r="J40" s="78"/>
      <c r="K40" s="79">
        <f>COUNTIF(Vertices[Betweenness Centrality],"&gt;= "&amp;J40)-COUNTIF(Vertices[Betweenness Centrality],"&gt;="&amp;J42)</f>
        <v>-7</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1213</v>
      </c>
      <c r="B41" s="36"/>
      <c r="D41" s="34"/>
      <c r="E41" s="3">
        <f>COUNTIF(Vertices[Degree],"&gt;= "&amp;D41)-COUNTIF(Vertices[Degree],"&gt;="&amp;D42)</f>
        <v>0</v>
      </c>
      <c r="F41" s="78"/>
      <c r="G41" s="79">
        <f>COUNTIF(Vertices[In-Degree],"&gt;= "&amp;F41)-COUNTIF(Vertices[In-Degree],"&gt;="&amp;F42)</f>
        <v>-2</v>
      </c>
      <c r="H41" s="78"/>
      <c r="I41" s="79">
        <f>COUNTIF(Vertices[Out-Degree],"&gt;= "&amp;H41)-COUNTIF(Vertices[Out-Degree],"&gt;="&amp;H42)</f>
        <v>-10</v>
      </c>
      <c r="J41" s="78"/>
      <c r="K41" s="79">
        <f>COUNTIF(Vertices[Betweenness Centrality],"&gt;= "&amp;J41)-COUNTIF(Vertices[Betweenness Centrality],"&gt;="&amp;J42)</f>
        <v>-7</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1214</v>
      </c>
      <c r="B42" s="36"/>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5.416666666666666</v>
      </c>
      <c r="I42" s="40">
        <f>COUNTIF(Vertices[Out-Degree],"&gt;= "&amp;H42)-COUNTIF(Vertices[Out-Degree],"&gt;="&amp;H43)</f>
        <v>0</v>
      </c>
      <c r="J42" s="39">
        <f>J28+($J$50-$J$2)/BinDivisor</f>
        <v>866.666666666667</v>
      </c>
      <c r="K42" s="40">
        <f>COUNTIF(Vertices[Betweenness Centrality],"&gt;= "&amp;J42)-COUNTIF(Vertices[Betweenness Centrality],"&gt;="&amp;J43)</f>
        <v>0</v>
      </c>
      <c r="L42" s="39">
        <f>L28+($L$50-$L$2)/BinDivisor</f>
        <v>0.06172329166666671</v>
      </c>
      <c r="M42" s="40">
        <f>COUNTIF(Vertices[Closeness Centrality],"&gt;= "&amp;L42)-COUNTIF(Vertices[Closeness Centrality],"&gt;="&amp;L43)</f>
        <v>0</v>
      </c>
      <c r="N42" s="39">
        <f>N28+($N$50-$N$2)/BinDivisor</f>
        <v>0.04161625000000002</v>
      </c>
      <c r="O42" s="40">
        <f>COUNTIF(Vertices[Eigenvector Centrality],"&gt;= "&amp;N42)-COUNTIF(Vertices[Eigenvector Centrality],"&gt;="&amp;N43)</f>
        <v>0</v>
      </c>
      <c r="P42" s="39">
        <f>P28+($P$50-$P$2)/BinDivisor</f>
        <v>3.0118525416666673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4:21" ht="15">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900.0000000000003</v>
      </c>
      <c r="K43" s="42">
        <f>COUNTIF(Vertices[Betweenness Centrality],"&gt;= "&amp;J43)-COUNTIF(Vertices[Betweenness Centrality],"&gt;="&amp;J44)</f>
        <v>2</v>
      </c>
      <c r="L43" s="41">
        <f aca="true" t="shared" si="14" ref="L43:L49">L42+($L$50-$L$2)/BinDivisor</f>
        <v>0.06396818750000004</v>
      </c>
      <c r="M43" s="42">
        <f>COUNTIF(Vertices[Closeness Centrality],"&gt;= "&amp;L43)-COUNTIF(Vertices[Closeness Centrality],"&gt;="&amp;L44)</f>
        <v>0</v>
      </c>
      <c r="N43" s="41">
        <f aca="true" t="shared" si="15" ref="N43:N49">N42+($N$50-$N$2)/BinDivisor</f>
        <v>0.04321687500000002</v>
      </c>
      <c r="O43" s="42">
        <f>COUNTIF(Vertices[Eigenvector Centrality],"&gt;= "&amp;N43)-COUNTIF(Vertices[Eigenvector Centrality],"&gt;="&amp;N44)</f>
        <v>0</v>
      </c>
      <c r="P43" s="41">
        <f aca="true" t="shared" si="16" ref="P43:P49">P42+($P$50-$P$2)/BinDivisor</f>
        <v>3.1083640625000006</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4:21" ht="15">
      <c r="D44" s="34">
        <f t="shared" si="10"/>
        <v>0</v>
      </c>
      <c r="E44" s="3">
        <f>COUNTIF(Vertices[Degree],"&gt;= "&amp;D44)-COUNTIF(Vertices[Degree],"&gt;="&amp;D45)</f>
        <v>0</v>
      </c>
      <c r="F44" s="39">
        <f t="shared" si="11"/>
        <v>2.333333333333333</v>
      </c>
      <c r="G44" s="40">
        <f>COUNTIF(Vertices[In-Degree],"&gt;= "&amp;F44)-COUNTIF(Vertices[In-Degree],"&gt;="&amp;F45)</f>
        <v>0</v>
      </c>
      <c r="H44" s="39">
        <f t="shared" si="12"/>
        <v>5.833333333333332</v>
      </c>
      <c r="I44" s="40">
        <f>COUNTIF(Vertices[Out-Degree],"&gt;= "&amp;H44)-COUNTIF(Vertices[Out-Degree],"&gt;="&amp;H45)</f>
        <v>0</v>
      </c>
      <c r="J44" s="39">
        <f t="shared" si="13"/>
        <v>933.3333333333337</v>
      </c>
      <c r="K44" s="40">
        <f>COUNTIF(Vertices[Betweenness Centrality],"&gt;= "&amp;J44)-COUNTIF(Vertices[Betweenness Centrality],"&gt;="&amp;J45)</f>
        <v>0</v>
      </c>
      <c r="L44" s="39">
        <f t="shared" si="14"/>
        <v>0.06621308333333337</v>
      </c>
      <c r="M44" s="40">
        <f>COUNTIF(Vertices[Closeness Centrality],"&gt;= "&amp;L44)-COUNTIF(Vertices[Closeness Centrality],"&gt;="&amp;L45)</f>
        <v>0</v>
      </c>
      <c r="N44" s="39">
        <f t="shared" si="15"/>
        <v>0.044817500000000024</v>
      </c>
      <c r="O44" s="40">
        <f>COUNTIF(Vertices[Eigenvector Centrality],"&gt;= "&amp;N44)-COUNTIF(Vertices[Eigenvector Centrality],"&gt;="&amp;N45)</f>
        <v>1</v>
      </c>
      <c r="P44" s="39">
        <f t="shared" si="16"/>
        <v>3.204875583333334</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2.4166666666666665</v>
      </c>
      <c r="G45" s="42">
        <f>COUNTIF(Vertices[In-Degree],"&gt;= "&amp;F45)-COUNTIF(Vertices[In-Degree],"&gt;="&amp;F46)</f>
        <v>0</v>
      </c>
      <c r="H45" s="41">
        <f t="shared" si="12"/>
        <v>6.041666666666665</v>
      </c>
      <c r="I45" s="42">
        <f>COUNTIF(Vertices[Out-Degree],"&gt;= "&amp;H45)-COUNTIF(Vertices[Out-Degree],"&gt;="&amp;H46)</f>
        <v>0</v>
      </c>
      <c r="J45" s="41">
        <f t="shared" si="13"/>
        <v>966.6666666666671</v>
      </c>
      <c r="K45" s="42">
        <f>COUNTIF(Vertices[Betweenness Centrality],"&gt;= "&amp;J45)-COUNTIF(Vertices[Betweenness Centrality],"&gt;="&amp;J46)</f>
        <v>0</v>
      </c>
      <c r="L45" s="41">
        <f t="shared" si="14"/>
        <v>0.0684579791666667</v>
      </c>
      <c r="M45" s="42">
        <f>COUNTIF(Vertices[Closeness Centrality],"&gt;= "&amp;L45)-COUNTIF(Vertices[Closeness Centrality],"&gt;="&amp;L46)</f>
        <v>0</v>
      </c>
      <c r="N45" s="41">
        <f t="shared" si="15"/>
        <v>0.046418125000000025</v>
      </c>
      <c r="O45" s="42">
        <f>COUNTIF(Vertices[Eigenvector Centrality],"&gt;= "&amp;N45)-COUNTIF(Vertices[Eigenvector Centrality],"&gt;="&amp;N46)</f>
        <v>0</v>
      </c>
      <c r="P45" s="41">
        <f t="shared" si="16"/>
        <v>3.3013871041666674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2.5</v>
      </c>
      <c r="G46" s="40">
        <f>COUNTIF(Vertices[In-Degree],"&gt;= "&amp;F46)-COUNTIF(Vertices[In-Degree],"&gt;="&amp;F47)</f>
        <v>0</v>
      </c>
      <c r="H46" s="39">
        <f t="shared" si="12"/>
        <v>6.249999999999998</v>
      </c>
      <c r="I46" s="40">
        <f>COUNTIF(Vertices[Out-Degree],"&gt;= "&amp;H46)-COUNTIF(Vertices[Out-Degree],"&gt;="&amp;H47)</f>
        <v>0</v>
      </c>
      <c r="J46" s="39">
        <f t="shared" si="13"/>
        <v>1000.0000000000005</v>
      </c>
      <c r="K46" s="40">
        <f>COUNTIF(Vertices[Betweenness Centrality],"&gt;= "&amp;J46)-COUNTIF(Vertices[Betweenness Centrality],"&gt;="&amp;J47)</f>
        <v>0</v>
      </c>
      <c r="L46" s="39">
        <f t="shared" si="14"/>
        <v>0.07070287500000003</v>
      </c>
      <c r="M46" s="40">
        <f>COUNTIF(Vertices[Closeness Centrality],"&gt;= "&amp;L46)-COUNTIF(Vertices[Closeness Centrality],"&gt;="&amp;L47)</f>
        <v>0</v>
      </c>
      <c r="N46" s="39">
        <f t="shared" si="15"/>
        <v>0.04801875000000003</v>
      </c>
      <c r="O46" s="40">
        <f>COUNTIF(Vertices[Eigenvector Centrality],"&gt;= "&amp;N46)-COUNTIF(Vertices[Eigenvector Centrality],"&gt;="&amp;N47)</f>
        <v>0</v>
      </c>
      <c r="P46" s="39">
        <f t="shared" si="16"/>
        <v>3.3978986250000007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2.5833333333333335</v>
      </c>
      <c r="G47" s="42">
        <f>COUNTIF(Vertices[In-Degree],"&gt;= "&amp;F47)-COUNTIF(Vertices[In-Degree],"&gt;="&amp;F48)</f>
        <v>0</v>
      </c>
      <c r="H47" s="41">
        <f t="shared" si="12"/>
        <v>6.458333333333331</v>
      </c>
      <c r="I47" s="42">
        <f>COUNTIF(Vertices[Out-Degree],"&gt;= "&amp;H47)-COUNTIF(Vertices[Out-Degree],"&gt;="&amp;H48)</f>
        <v>0</v>
      </c>
      <c r="J47" s="41">
        <f t="shared" si="13"/>
        <v>1033.3333333333337</v>
      </c>
      <c r="K47" s="42">
        <f>COUNTIF(Vertices[Betweenness Centrality],"&gt;= "&amp;J47)-COUNTIF(Vertices[Betweenness Centrality],"&gt;="&amp;J48)</f>
        <v>0</v>
      </c>
      <c r="L47" s="41">
        <f t="shared" si="14"/>
        <v>0.07294777083333336</v>
      </c>
      <c r="M47" s="42">
        <f>COUNTIF(Vertices[Closeness Centrality],"&gt;= "&amp;L47)-COUNTIF(Vertices[Closeness Centrality],"&gt;="&amp;L48)</f>
        <v>0</v>
      </c>
      <c r="N47" s="41">
        <f t="shared" si="15"/>
        <v>0.04961937500000003</v>
      </c>
      <c r="O47" s="42">
        <f>COUNTIF(Vertices[Eigenvector Centrality],"&gt;= "&amp;N47)-COUNTIF(Vertices[Eigenvector Centrality],"&gt;="&amp;N48)</f>
        <v>0</v>
      </c>
      <c r="P47" s="41">
        <f t="shared" si="16"/>
        <v>3.494410145833334</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2.666666666666667</v>
      </c>
      <c r="G48" s="40">
        <f>COUNTIF(Vertices[In-Degree],"&gt;= "&amp;F48)-COUNTIF(Vertices[In-Degree],"&gt;="&amp;F49)</f>
        <v>0</v>
      </c>
      <c r="H48" s="39">
        <f t="shared" si="12"/>
        <v>6.666666666666664</v>
      </c>
      <c r="I48" s="40">
        <f>COUNTIF(Vertices[Out-Degree],"&gt;= "&amp;H48)-COUNTIF(Vertices[Out-Degree],"&gt;="&amp;H49)</f>
        <v>0</v>
      </c>
      <c r="J48" s="39">
        <f t="shared" si="13"/>
        <v>1066.666666666667</v>
      </c>
      <c r="K48" s="40">
        <f>COUNTIF(Vertices[Betweenness Centrality],"&gt;= "&amp;J48)-COUNTIF(Vertices[Betweenness Centrality],"&gt;="&amp;J49)</f>
        <v>1</v>
      </c>
      <c r="L48" s="39">
        <f t="shared" si="14"/>
        <v>0.07519266666666669</v>
      </c>
      <c r="M48" s="40">
        <f>COUNTIF(Vertices[Closeness Centrality],"&gt;= "&amp;L48)-COUNTIF(Vertices[Closeness Centrality],"&gt;="&amp;L49)</f>
        <v>0</v>
      </c>
      <c r="N48" s="39">
        <f t="shared" si="15"/>
        <v>0.05122000000000003</v>
      </c>
      <c r="O48" s="40">
        <f>COUNTIF(Vertices[Eigenvector Centrality],"&gt;= "&amp;N48)-COUNTIF(Vertices[Eigenvector Centrality],"&gt;="&amp;N49)</f>
        <v>0</v>
      </c>
      <c r="P48" s="39">
        <f t="shared" si="16"/>
        <v>3.5909216666666675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2</v>
      </c>
      <c r="H49" s="41">
        <f t="shared" si="12"/>
        <v>6.874999999999997</v>
      </c>
      <c r="I49" s="42">
        <f>COUNTIF(Vertices[Out-Degree],"&gt;= "&amp;H49)-COUNTIF(Vertices[Out-Degree],"&gt;="&amp;#REF!)</f>
        <v>10</v>
      </c>
      <c r="J49" s="41">
        <f t="shared" si="13"/>
        <v>1100.0000000000002</v>
      </c>
      <c r="K49" s="42">
        <f>COUNTIF(Vertices[Betweenness Centrality],"&gt;= "&amp;J49)-COUNTIF(Vertices[Betweenness Centrality],"&gt;="&amp;#REF!)</f>
        <v>4</v>
      </c>
      <c r="L49" s="41">
        <f t="shared" si="14"/>
        <v>0.07743756250000002</v>
      </c>
      <c r="M49" s="42">
        <f>COUNTIF(Vertices[Closeness Centrality],"&gt;= "&amp;L49)-COUNTIF(Vertices[Closeness Centrality],"&gt;="&amp;#REF!)</f>
        <v>2</v>
      </c>
      <c r="N49" s="41">
        <f t="shared" si="15"/>
        <v>0.05282062500000003</v>
      </c>
      <c r="O49" s="42">
        <f>COUNTIF(Vertices[Eigenvector Centrality],"&gt;= "&amp;N49)-COUNTIF(Vertices[Eigenvector Centrality],"&gt;="&amp;#REF!)</f>
        <v>2</v>
      </c>
      <c r="P49" s="41">
        <f t="shared" si="16"/>
        <v>3.687433187500001</v>
      </c>
      <c r="Q49" s="42">
        <f>COUNTIF(Vertices[PageRank],"&gt;= "&amp;P49)-COUNTIF(Vertices[PageRank],"&gt;="&amp;#REF!)</f>
        <v>10</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10</v>
      </c>
      <c r="I50" s="44">
        <f>COUNTIF(Vertices[Out-Degree],"&gt;= "&amp;H50)-COUNTIF(Vertices[Out-Degree],"&gt;="&amp;#REF!)</f>
        <v>8</v>
      </c>
      <c r="J50" s="43">
        <f>MAX(Vertices[Betweenness Centrality])</f>
        <v>1600</v>
      </c>
      <c r="K50" s="44">
        <f>COUNTIF(Vertices[Betweenness Centrality],"&gt;= "&amp;J50)-COUNTIF(Vertices[Betweenness Centrality],"&gt;="&amp;#REF!)</f>
        <v>1</v>
      </c>
      <c r="L50" s="43">
        <f>MAX(Vertices[Closeness Centrality])</f>
        <v>0.111111</v>
      </c>
      <c r="M50" s="44">
        <f>COUNTIF(Vertices[Closeness Centrality],"&gt;= "&amp;L50)-COUNTIF(Vertices[Closeness Centrality],"&gt;="&amp;#REF!)</f>
        <v>1</v>
      </c>
      <c r="N50" s="43">
        <f>MAX(Vertices[Eigenvector Centrality])</f>
        <v>0.07683</v>
      </c>
      <c r="O50" s="44">
        <f>COUNTIF(Vertices[Eigenvector Centrality],"&gt;= "&amp;N50)-COUNTIF(Vertices[Eigenvector Centrality],"&gt;="&amp;#REF!)</f>
        <v>1</v>
      </c>
      <c r="P50" s="43">
        <f>MAX(Vertices[PageRank])</f>
        <v>5.135106</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1.0208333333333333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1.0208333333333333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1600</v>
      </c>
    </row>
    <row r="110" spans="1:2" ht="15">
      <c r="A110" s="35" t="s">
        <v>102</v>
      </c>
      <c r="B110" s="49">
        <f>_xlfn.IFERROR(AVERAGE(Vertices[Betweenness Centrality]),NoMetricMessage)</f>
        <v>111.18749998958334</v>
      </c>
    </row>
    <row r="111" spans="1:2" ht="15">
      <c r="A111" s="35" t="s">
        <v>103</v>
      </c>
      <c r="B111" s="49">
        <f>_xlfn.IFERROR(MEDIAN(Vertices[Betweenness Centrality]),NoMetricMessage)</f>
        <v>0</v>
      </c>
    </row>
    <row r="122" spans="1:2" ht="15">
      <c r="A122" s="35" t="s">
        <v>106</v>
      </c>
      <c r="B122" s="49">
        <f>IF(COUNT(Vertices[Closeness Centrality])&gt;0,L2,NoMetricMessage)</f>
        <v>0.003356</v>
      </c>
    </row>
    <row r="123" spans="1:2" ht="15">
      <c r="A123" s="35" t="s">
        <v>107</v>
      </c>
      <c r="B123" s="49">
        <f>IF(COUNT(Vertices[Closeness Centrality])&gt;0,L50,NoMetricMessage)</f>
        <v>0.111111</v>
      </c>
    </row>
    <row r="124" spans="1:2" ht="15">
      <c r="A124" s="35" t="s">
        <v>108</v>
      </c>
      <c r="B124" s="49">
        <f>_xlfn.IFERROR(AVERAGE(Vertices[Closeness Centrality]),NoMetricMessage)</f>
        <v>0.020730062499999997</v>
      </c>
    </row>
    <row r="125" spans="1:2" ht="15">
      <c r="A125" s="35" t="s">
        <v>109</v>
      </c>
      <c r="B125" s="49">
        <f>_xlfn.IFERROR(MEDIAN(Vertices[Closeness Centrality]),NoMetricMessage)</f>
        <v>0.004975</v>
      </c>
    </row>
    <row r="136" spans="1:2" ht="15">
      <c r="A136" s="35" t="s">
        <v>112</v>
      </c>
      <c r="B136" s="49">
        <f>IF(COUNT(Vertices[Eigenvector Centrality])&gt;0,N2,NoMetricMessage)</f>
        <v>0</v>
      </c>
    </row>
    <row r="137" spans="1:2" ht="15">
      <c r="A137" s="35" t="s">
        <v>113</v>
      </c>
      <c r="B137" s="49">
        <f>IF(COUNT(Vertices[Eigenvector Centrality])&gt;0,N50,NoMetricMessage)</f>
        <v>0.07683</v>
      </c>
    </row>
    <row r="138" spans="1:2" ht="15">
      <c r="A138" s="35" t="s">
        <v>114</v>
      </c>
      <c r="B138" s="49">
        <f>_xlfn.IFERROR(AVERAGE(Vertices[Eigenvector Centrality]),NoMetricMessage)</f>
        <v>0.010416510416666669</v>
      </c>
    </row>
    <row r="139" spans="1:2" ht="15">
      <c r="A139" s="35" t="s">
        <v>115</v>
      </c>
      <c r="B139" s="49">
        <f>_xlfn.IFERROR(MEDIAN(Vertices[Eigenvector Centrality]),NoMetricMessage)</f>
        <v>0.001789</v>
      </c>
    </row>
    <row r="150" spans="1:2" ht="15">
      <c r="A150" s="35" t="s">
        <v>140</v>
      </c>
      <c r="B150" s="49">
        <f>IF(COUNT(Vertices[PageRank])&gt;0,P2,NoMetricMessage)</f>
        <v>0.502553</v>
      </c>
    </row>
    <row r="151" spans="1:2" ht="15">
      <c r="A151" s="35" t="s">
        <v>141</v>
      </c>
      <c r="B151" s="49">
        <f>IF(COUNT(Vertices[PageRank])&gt;0,P50,NoMetricMessage)</f>
        <v>5.135106</v>
      </c>
    </row>
    <row r="152" spans="1:2" ht="15">
      <c r="A152" s="35" t="s">
        <v>142</v>
      </c>
      <c r="B152" s="49">
        <f>_xlfn.IFERROR(AVERAGE(Vertices[PageRank]),NoMetricMessage)</f>
        <v>0.9999948541666669</v>
      </c>
    </row>
    <row r="153" spans="1:2" ht="15">
      <c r="A153" s="35" t="s">
        <v>143</v>
      </c>
      <c r="B153" s="49">
        <f>_xlfn.IFERROR(MEDIAN(Vertices[PageRank]),NoMetricMessage)</f>
        <v>0.546102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0.010648148148148148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731</v>
      </c>
      <c r="R6" t="s">
        <v>129</v>
      </c>
    </row>
    <row r="7" spans="1:11" ht="409.5">
      <c r="A7">
        <v>2</v>
      </c>
      <c r="B7">
        <v>1</v>
      </c>
      <c r="C7">
        <v>0</v>
      </c>
      <c r="D7" t="s">
        <v>60</v>
      </c>
      <c r="E7" t="s">
        <v>60</v>
      </c>
      <c r="F7">
        <v>2</v>
      </c>
      <c r="H7" t="s">
        <v>72</v>
      </c>
      <c r="J7" t="s">
        <v>174</v>
      </c>
      <c r="K7" s="13" t="s">
        <v>732</v>
      </c>
    </row>
    <row r="8" spans="1:11" ht="409.5">
      <c r="A8"/>
      <c r="B8">
        <v>2</v>
      </c>
      <c r="C8">
        <v>2</v>
      </c>
      <c r="D8" t="s">
        <v>61</v>
      </c>
      <c r="E8" t="s">
        <v>61</v>
      </c>
      <c r="H8" t="s">
        <v>73</v>
      </c>
      <c r="J8" t="s">
        <v>175</v>
      </c>
      <c r="K8" s="13" t="s">
        <v>733</v>
      </c>
    </row>
    <row r="9" spans="1:11" ht="409.5">
      <c r="A9"/>
      <c r="B9">
        <v>3</v>
      </c>
      <c r="C9">
        <v>4</v>
      </c>
      <c r="D9" t="s">
        <v>62</v>
      </c>
      <c r="E9" t="s">
        <v>62</v>
      </c>
      <c r="H9" t="s">
        <v>74</v>
      </c>
      <c r="J9" t="s">
        <v>176</v>
      </c>
      <c r="K9" s="13" t="s">
        <v>734</v>
      </c>
    </row>
    <row r="10" spans="1:11" ht="15">
      <c r="A10"/>
      <c r="B10">
        <v>4</v>
      </c>
      <c r="D10" t="s">
        <v>63</v>
      </c>
      <c r="E10" t="s">
        <v>63</v>
      </c>
      <c r="H10" t="s">
        <v>75</v>
      </c>
      <c r="J10" t="s">
        <v>177</v>
      </c>
      <c r="K10" t="s">
        <v>735</v>
      </c>
    </row>
    <row r="11" spans="1:11" ht="15">
      <c r="A11"/>
      <c r="B11">
        <v>5</v>
      </c>
      <c r="D11" t="s">
        <v>46</v>
      </c>
      <c r="E11">
        <v>1</v>
      </c>
      <c r="H11" t="s">
        <v>76</v>
      </c>
      <c r="J11" t="s">
        <v>178</v>
      </c>
      <c r="K11" t="s">
        <v>736</v>
      </c>
    </row>
    <row r="12" spans="1:11" ht="15">
      <c r="A12"/>
      <c r="B12"/>
      <c r="D12" t="s">
        <v>64</v>
      </c>
      <c r="E12">
        <v>2</v>
      </c>
      <c r="H12">
        <v>0</v>
      </c>
      <c r="J12" t="s">
        <v>179</v>
      </c>
      <c r="K12" t="s">
        <v>737</v>
      </c>
    </row>
    <row r="13" spans="1:11" ht="15">
      <c r="A13"/>
      <c r="B13"/>
      <c r="D13">
        <v>1</v>
      </c>
      <c r="E13">
        <v>3</v>
      </c>
      <c r="H13">
        <v>1</v>
      </c>
      <c r="J13" t="s">
        <v>180</v>
      </c>
      <c r="K13" t="s">
        <v>738</v>
      </c>
    </row>
    <row r="14" spans="4:11" ht="15">
      <c r="D14">
        <v>2</v>
      </c>
      <c r="E14">
        <v>4</v>
      </c>
      <c r="H14">
        <v>2</v>
      </c>
      <c r="J14" t="s">
        <v>181</v>
      </c>
      <c r="K14" t="s">
        <v>739</v>
      </c>
    </row>
    <row r="15" spans="4:11" ht="15">
      <c r="D15">
        <v>3</v>
      </c>
      <c r="E15">
        <v>5</v>
      </c>
      <c r="H15">
        <v>3</v>
      </c>
      <c r="J15" t="s">
        <v>182</v>
      </c>
      <c r="K15" t="s">
        <v>740</v>
      </c>
    </row>
    <row r="16" spans="4:11" ht="15">
      <c r="D16">
        <v>4</v>
      </c>
      <c r="E16">
        <v>6</v>
      </c>
      <c r="H16">
        <v>4</v>
      </c>
      <c r="J16" t="s">
        <v>183</v>
      </c>
      <c r="K16" t="s">
        <v>741</v>
      </c>
    </row>
    <row r="17" spans="4:11" ht="15">
      <c r="D17">
        <v>5</v>
      </c>
      <c r="E17">
        <v>7</v>
      </c>
      <c r="H17">
        <v>5</v>
      </c>
      <c r="J17" t="s">
        <v>184</v>
      </c>
      <c r="K17" t="s">
        <v>742</v>
      </c>
    </row>
    <row r="18" spans="4:11" ht="15">
      <c r="D18">
        <v>6</v>
      </c>
      <c r="E18">
        <v>8</v>
      </c>
      <c r="H18">
        <v>6</v>
      </c>
      <c r="J18" t="s">
        <v>185</v>
      </c>
      <c r="K18" t="s">
        <v>743</v>
      </c>
    </row>
    <row r="19" spans="4:11" ht="15">
      <c r="D19">
        <v>7</v>
      </c>
      <c r="E19">
        <v>9</v>
      </c>
      <c r="H19">
        <v>7</v>
      </c>
      <c r="J19" t="s">
        <v>186</v>
      </c>
      <c r="K19" t="s">
        <v>744</v>
      </c>
    </row>
    <row r="20" spans="4:11" ht="15">
      <c r="D20">
        <v>8</v>
      </c>
      <c r="H20">
        <v>8</v>
      </c>
      <c r="J20" t="s">
        <v>187</v>
      </c>
      <c r="K20" t="s">
        <v>745</v>
      </c>
    </row>
    <row r="21" spans="4:11" ht="409.5">
      <c r="D21">
        <v>9</v>
      </c>
      <c r="H21">
        <v>9</v>
      </c>
      <c r="J21" t="s">
        <v>188</v>
      </c>
      <c r="K21" s="13" t="s">
        <v>746</v>
      </c>
    </row>
    <row r="22" spans="4:11" ht="409.5">
      <c r="D22">
        <v>10</v>
      </c>
      <c r="J22" t="s">
        <v>189</v>
      </c>
      <c r="K22" s="13" t="s">
        <v>747</v>
      </c>
    </row>
    <row r="23" spans="4:11" ht="409.5">
      <c r="D23">
        <v>11</v>
      </c>
      <c r="J23" t="s">
        <v>190</v>
      </c>
      <c r="K23" s="111" t="s">
        <v>1376</v>
      </c>
    </row>
    <row r="24" spans="10:11" ht="15">
      <c r="J24" t="s">
        <v>191</v>
      </c>
      <c r="K24">
        <v>19</v>
      </c>
    </row>
    <row r="25" spans="10:11" ht="15">
      <c r="J25" t="s">
        <v>194</v>
      </c>
      <c r="K25" t="s">
        <v>1368</v>
      </c>
    </row>
    <row r="26" spans="10:11" ht="409.5">
      <c r="J26" t="s">
        <v>195</v>
      </c>
      <c r="K26" s="13" t="s">
        <v>1369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1B7FE-930C-41E0-A1AB-DAB8AFAE686F}">
  <dimension ref="A1:G8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770</v>
      </c>
      <c r="B1" s="13" t="s">
        <v>1167</v>
      </c>
      <c r="C1" s="13" t="s">
        <v>1171</v>
      </c>
      <c r="D1" s="13" t="s">
        <v>144</v>
      </c>
      <c r="E1" s="13" t="s">
        <v>1173</v>
      </c>
      <c r="F1" s="13" t="s">
        <v>1174</v>
      </c>
      <c r="G1" s="13" t="s">
        <v>1175</v>
      </c>
    </row>
    <row r="2" spans="1:7" ht="15">
      <c r="A2" s="85" t="s">
        <v>771</v>
      </c>
      <c r="B2" s="85" t="s">
        <v>1168</v>
      </c>
      <c r="C2" s="124"/>
      <c r="D2" s="85"/>
      <c r="E2" s="85"/>
      <c r="F2" s="85"/>
      <c r="G2" s="85"/>
    </row>
    <row r="3" spans="1:7" ht="15">
      <c r="A3" s="85" t="s">
        <v>772</v>
      </c>
      <c r="B3" s="85" t="s">
        <v>1169</v>
      </c>
      <c r="C3" s="124"/>
      <c r="D3" s="85"/>
      <c r="E3" s="85"/>
      <c r="F3" s="85"/>
      <c r="G3" s="85"/>
    </row>
    <row r="4" spans="1:7" ht="15">
      <c r="A4" s="85" t="s">
        <v>773</v>
      </c>
      <c r="B4" s="85" t="s">
        <v>1170</v>
      </c>
      <c r="C4" s="124"/>
      <c r="D4" s="85"/>
      <c r="E4" s="85"/>
      <c r="F4" s="85"/>
      <c r="G4" s="85"/>
    </row>
    <row r="5" spans="1:7" ht="15">
      <c r="A5" s="85" t="s">
        <v>774</v>
      </c>
      <c r="B5" s="85">
        <v>53</v>
      </c>
      <c r="C5" s="124">
        <v>0.01555620780745524</v>
      </c>
      <c r="D5" s="85"/>
      <c r="E5" s="85"/>
      <c r="F5" s="85"/>
      <c r="G5" s="85"/>
    </row>
    <row r="6" spans="1:7" ht="15">
      <c r="A6" s="85" t="s">
        <v>775</v>
      </c>
      <c r="B6" s="85">
        <v>133</v>
      </c>
      <c r="C6" s="124">
        <v>0.03903727619606692</v>
      </c>
      <c r="D6" s="85"/>
      <c r="E6" s="85"/>
      <c r="F6" s="85"/>
      <c r="G6" s="85"/>
    </row>
    <row r="7" spans="1:7" ht="15">
      <c r="A7" s="85" t="s">
        <v>776</v>
      </c>
      <c r="B7" s="85">
        <v>0</v>
      </c>
      <c r="C7" s="124">
        <v>0</v>
      </c>
      <c r="D7" s="85"/>
      <c r="E7" s="85"/>
      <c r="F7" s="85"/>
      <c r="G7" s="85"/>
    </row>
    <row r="8" spans="1:7" ht="15">
      <c r="A8" s="85" t="s">
        <v>777</v>
      </c>
      <c r="B8" s="85">
        <v>3221</v>
      </c>
      <c r="C8" s="124">
        <v>0.9454065159964778</v>
      </c>
      <c r="D8" s="85"/>
      <c r="E8" s="85"/>
      <c r="F8" s="85"/>
      <c r="G8" s="85"/>
    </row>
    <row r="9" spans="1:7" ht="15">
      <c r="A9" s="85" t="s">
        <v>778</v>
      </c>
      <c r="B9" s="85">
        <v>3407</v>
      </c>
      <c r="C9" s="124">
        <v>1</v>
      </c>
      <c r="D9" s="85"/>
      <c r="E9" s="85"/>
      <c r="F9" s="85"/>
      <c r="G9" s="85"/>
    </row>
    <row r="10" spans="1:7" ht="15">
      <c r="A10" s="123" t="s">
        <v>779</v>
      </c>
      <c r="B10" s="123">
        <v>114</v>
      </c>
      <c r="C10" s="125">
        <v>0.0165130713580946</v>
      </c>
      <c r="D10" s="123" t="s">
        <v>1172</v>
      </c>
      <c r="E10" s="123" t="b">
        <v>0</v>
      </c>
      <c r="F10" s="123" t="b">
        <v>0</v>
      </c>
      <c r="G10" s="123" t="b">
        <v>0</v>
      </c>
    </row>
    <row r="11" spans="1:7" ht="15">
      <c r="A11" s="123" t="s">
        <v>780</v>
      </c>
      <c r="B11" s="123">
        <v>64</v>
      </c>
      <c r="C11" s="125">
        <v>0.009003258927762957</v>
      </c>
      <c r="D11" s="123" t="s">
        <v>1172</v>
      </c>
      <c r="E11" s="123" t="b">
        <v>0</v>
      </c>
      <c r="F11" s="123" t="b">
        <v>0</v>
      </c>
      <c r="G11" s="123" t="b">
        <v>0</v>
      </c>
    </row>
    <row r="12" spans="1:7" ht="15">
      <c r="A12" s="123" t="s">
        <v>781</v>
      </c>
      <c r="B12" s="123">
        <v>63</v>
      </c>
      <c r="C12" s="125">
        <v>0.009675101551737543</v>
      </c>
      <c r="D12" s="123" t="s">
        <v>1172</v>
      </c>
      <c r="E12" s="123" t="b">
        <v>0</v>
      </c>
      <c r="F12" s="123" t="b">
        <v>0</v>
      </c>
      <c r="G12" s="123" t="b">
        <v>0</v>
      </c>
    </row>
    <row r="13" spans="1:7" ht="15">
      <c r="A13" s="123" t="s">
        <v>782</v>
      </c>
      <c r="B13" s="123">
        <v>52</v>
      </c>
      <c r="C13" s="125">
        <v>0.015782828849941342</v>
      </c>
      <c r="D13" s="123" t="s">
        <v>1172</v>
      </c>
      <c r="E13" s="123" t="b">
        <v>0</v>
      </c>
      <c r="F13" s="123" t="b">
        <v>0</v>
      </c>
      <c r="G13" s="123" t="b">
        <v>0</v>
      </c>
    </row>
    <row r="14" spans="1:7" ht="15">
      <c r="A14" s="123" t="s">
        <v>783</v>
      </c>
      <c r="B14" s="123">
        <v>52</v>
      </c>
      <c r="C14" s="125">
        <v>0.017188093284916255</v>
      </c>
      <c r="D14" s="123" t="s">
        <v>1172</v>
      </c>
      <c r="E14" s="123" t="b">
        <v>0</v>
      </c>
      <c r="F14" s="123" t="b">
        <v>0</v>
      </c>
      <c r="G14" s="123" t="b">
        <v>0</v>
      </c>
    </row>
    <row r="15" spans="1:7" ht="15">
      <c r="A15" s="123" t="s">
        <v>784</v>
      </c>
      <c r="B15" s="123">
        <v>45</v>
      </c>
      <c r="C15" s="125">
        <v>0.008501000691549581</v>
      </c>
      <c r="D15" s="123" t="s">
        <v>1172</v>
      </c>
      <c r="E15" s="123" t="b">
        <v>0</v>
      </c>
      <c r="F15" s="123" t="b">
        <v>0</v>
      </c>
      <c r="G15" s="123" t="b">
        <v>0</v>
      </c>
    </row>
    <row r="16" spans="1:7" ht="15">
      <c r="A16" s="123" t="s">
        <v>785</v>
      </c>
      <c r="B16" s="123">
        <v>44</v>
      </c>
      <c r="C16" s="125">
        <v>0.014543771241082984</v>
      </c>
      <c r="D16" s="123" t="s">
        <v>1172</v>
      </c>
      <c r="E16" s="123" t="b">
        <v>0</v>
      </c>
      <c r="F16" s="123" t="b">
        <v>0</v>
      </c>
      <c r="G16" s="123" t="b">
        <v>0</v>
      </c>
    </row>
    <row r="17" spans="1:7" ht="15">
      <c r="A17" s="123" t="s">
        <v>786</v>
      </c>
      <c r="B17" s="123">
        <v>43</v>
      </c>
      <c r="C17" s="125">
        <v>0.006799767139953329</v>
      </c>
      <c r="D17" s="123" t="s">
        <v>1172</v>
      </c>
      <c r="E17" s="123" t="b">
        <v>0</v>
      </c>
      <c r="F17" s="123" t="b">
        <v>0</v>
      </c>
      <c r="G17" s="123" t="b">
        <v>0</v>
      </c>
    </row>
    <row r="18" spans="1:7" ht="15">
      <c r="A18" s="123" t="s">
        <v>787</v>
      </c>
      <c r="B18" s="123">
        <v>42</v>
      </c>
      <c r="C18" s="125">
        <v>0.008178431220150066</v>
      </c>
      <c r="D18" s="123" t="s">
        <v>1172</v>
      </c>
      <c r="E18" s="123" t="b">
        <v>0</v>
      </c>
      <c r="F18" s="123" t="b">
        <v>0</v>
      </c>
      <c r="G18" s="123" t="b">
        <v>0</v>
      </c>
    </row>
    <row r="19" spans="1:7" ht="15">
      <c r="A19" s="123" t="s">
        <v>788</v>
      </c>
      <c r="B19" s="123">
        <v>36</v>
      </c>
      <c r="C19" s="125">
        <v>0.007455011621606935</v>
      </c>
      <c r="D19" s="123" t="s">
        <v>1172</v>
      </c>
      <c r="E19" s="123" t="b">
        <v>0</v>
      </c>
      <c r="F19" s="123" t="b">
        <v>1</v>
      </c>
      <c r="G19" s="123" t="b">
        <v>0</v>
      </c>
    </row>
    <row r="20" spans="1:7" ht="15">
      <c r="A20" s="123" t="s">
        <v>789</v>
      </c>
      <c r="B20" s="123">
        <v>29</v>
      </c>
      <c r="C20" s="125">
        <v>0.007304773647813711</v>
      </c>
      <c r="D20" s="123" t="s">
        <v>1172</v>
      </c>
      <c r="E20" s="123" t="b">
        <v>0</v>
      </c>
      <c r="F20" s="123" t="b">
        <v>0</v>
      </c>
      <c r="G20" s="123" t="b">
        <v>0</v>
      </c>
    </row>
    <row r="21" spans="1:7" ht="15">
      <c r="A21" s="123" t="s">
        <v>790</v>
      </c>
      <c r="B21" s="123">
        <v>25</v>
      </c>
      <c r="C21" s="125">
        <v>0.005514194998464299</v>
      </c>
      <c r="D21" s="123" t="s">
        <v>1172</v>
      </c>
      <c r="E21" s="123" t="b">
        <v>0</v>
      </c>
      <c r="F21" s="123" t="b">
        <v>0</v>
      </c>
      <c r="G21" s="123" t="b">
        <v>0</v>
      </c>
    </row>
    <row r="22" spans="1:7" ht="15">
      <c r="A22" s="123" t="s">
        <v>791</v>
      </c>
      <c r="B22" s="123">
        <v>21</v>
      </c>
      <c r="C22" s="125">
        <v>0.006644674242767888</v>
      </c>
      <c r="D22" s="123" t="s">
        <v>1172</v>
      </c>
      <c r="E22" s="123" t="b">
        <v>0</v>
      </c>
      <c r="F22" s="123" t="b">
        <v>0</v>
      </c>
      <c r="G22" s="123" t="b">
        <v>0</v>
      </c>
    </row>
    <row r="23" spans="1:7" ht="15">
      <c r="A23" s="123" t="s">
        <v>792</v>
      </c>
      <c r="B23" s="123">
        <v>21</v>
      </c>
      <c r="C23" s="125">
        <v>0.006124686526003094</v>
      </c>
      <c r="D23" s="123" t="s">
        <v>1172</v>
      </c>
      <c r="E23" s="123" t="b">
        <v>0</v>
      </c>
      <c r="F23" s="123" t="b">
        <v>0</v>
      </c>
      <c r="G23" s="123" t="b">
        <v>0</v>
      </c>
    </row>
    <row r="24" spans="1:7" ht="15">
      <c r="A24" s="123" t="s">
        <v>793</v>
      </c>
      <c r="B24" s="123">
        <v>18</v>
      </c>
      <c r="C24" s="125">
        <v>0.005949724598624857</v>
      </c>
      <c r="D24" s="123" t="s">
        <v>1172</v>
      </c>
      <c r="E24" s="123" t="b">
        <v>0</v>
      </c>
      <c r="F24" s="123" t="b">
        <v>0</v>
      </c>
      <c r="G24" s="123" t="b">
        <v>0</v>
      </c>
    </row>
    <row r="25" spans="1:7" ht="15">
      <c r="A25" s="123" t="s">
        <v>794</v>
      </c>
      <c r="B25" s="123">
        <v>17</v>
      </c>
      <c r="C25" s="125">
        <v>0.007365774761673917</v>
      </c>
      <c r="D25" s="123" t="s">
        <v>1172</v>
      </c>
      <c r="E25" s="123" t="b">
        <v>0</v>
      </c>
      <c r="F25" s="123" t="b">
        <v>0</v>
      </c>
      <c r="G25" s="123" t="b">
        <v>0</v>
      </c>
    </row>
    <row r="26" spans="1:7" ht="15">
      <c r="A26" s="123" t="s">
        <v>795</v>
      </c>
      <c r="B26" s="123">
        <v>16</v>
      </c>
      <c r="C26" s="125">
        <v>0.0065001048364248</v>
      </c>
      <c r="D26" s="123" t="s">
        <v>1172</v>
      </c>
      <c r="E26" s="123" t="b">
        <v>0</v>
      </c>
      <c r="F26" s="123" t="b">
        <v>0</v>
      </c>
      <c r="G26" s="123" t="b">
        <v>0</v>
      </c>
    </row>
    <row r="27" spans="1:7" ht="15">
      <c r="A27" s="123" t="s">
        <v>796</v>
      </c>
      <c r="B27" s="123">
        <v>16</v>
      </c>
      <c r="C27" s="125">
        <v>0.004856255030751182</v>
      </c>
      <c r="D27" s="123" t="s">
        <v>1172</v>
      </c>
      <c r="E27" s="123" t="b">
        <v>0</v>
      </c>
      <c r="F27" s="123" t="b">
        <v>0</v>
      </c>
      <c r="G27" s="123" t="b">
        <v>0</v>
      </c>
    </row>
    <row r="28" spans="1:7" ht="15">
      <c r="A28" s="123" t="s">
        <v>797</v>
      </c>
      <c r="B28" s="123">
        <v>15</v>
      </c>
      <c r="C28" s="125">
        <v>0.00437477609000221</v>
      </c>
      <c r="D28" s="123" t="s">
        <v>1172</v>
      </c>
      <c r="E28" s="123" t="b">
        <v>0</v>
      </c>
      <c r="F28" s="123" t="b">
        <v>0</v>
      </c>
      <c r="G28" s="123" t="b">
        <v>0</v>
      </c>
    </row>
    <row r="29" spans="1:7" ht="15">
      <c r="A29" s="123" t="s">
        <v>798</v>
      </c>
      <c r="B29" s="123">
        <v>15</v>
      </c>
      <c r="C29" s="125">
        <v>0.004552739091329233</v>
      </c>
      <c r="D29" s="123" t="s">
        <v>1172</v>
      </c>
      <c r="E29" s="123" t="b">
        <v>0</v>
      </c>
      <c r="F29" s="123" t="b">
        <v>0</v>
      </c>
      <c r="G29" s="123" t="b">
        <v>0</v>
      </c>
    </row>
    <row r="30" spans="1:7" ht="15">
      <c r="A30" s="123" t="s">
        <v>799</v>
      </c>
      <c r="B30" s="123">
        <v>14</v>
      </c>
      <c r="C30" s="125">
        <v>0.00392934088063473</v>
      </c>
      <c r="D30" s="123" t="s">
        <v>1172</v>
      </c>
      <c r="E30" s="123" t="b">
        <v>0</v>
      </c>
      <c r="F30" s="123" t="b">
        <v>0</v>
      </c>
      <c r="G30" s="123" t="b">
        <v>0</v>
      </c>
    </row>
    <row r="31" spans="1:7" ht="15">
      <c r="A31" s="123" t="s">
        <v>800</v>
      </c>
      <c r="B31" s="123">
        <v>14</v>
      </c>
      <c r="C31" s="125">
        <v>0.004083124350668729</v>
      </c>
      <c r="D31" s="123" t="s">
        <v>1172</v>
      </c>
      <c r="E31" s="123" t="b">
        <v>0</v>
      </c>
      <c r="F31" s="123" t="b">
        <v>0</v>
      </c>
      <c r="G31" s="123" t="b">
        <v>0</v>
      </c>
    </row>
    <row r="32" spans="1:7" ht="15">
      <c r="A32" s="123" t="s">
        <v>801</v>
      </c>
      <c r="B32" s="123">
        <v>14</v>
      </c>
      <c r="C32" s="125">
        <v>0.004627563576708222</v>
      </c>
      <c r="D32" s="123" t="s">
        <v>1172</v>
      </c>
      <c r="E32" s="123" t="b">
        <v>0</v>
      </c>
      <c r="F32" s="123" t="b">
        <v>0</v>
      </c>
      <c r="G32" s="123" t="b">
        <v>0</v>
      </c>
    </row>
    <row r="33" spans="1:7" ht="15">
      <c r="A33" s="123" t="s">
        <v>802</v>
      </c>
      <c r="B33" s="123">
        <v>13</v>
      </c>
      <c r="C33" s="125">
        <v>0.004984301641984921</v>
      </c>
      <c r="D33" s="123" t="s">
        <v>1172</v>
      </c>
      <c r="E33" s="123" t="b">
        <v>0</v>
      </c>
      <c r="F33" s="123" t="b">
        <v>0</v>
      </c>
      <c r="G33" s="123" t="b">
        <v>0</v>
      </c>
    </row>
    <row r="34" spans="1:7" ht="15">
      <c r="A34" s="123" t="s">
        <v>803</v>
      </c>
      <c r="B34" s="123">
        <v>13</v>
      </c>
      <c r="C34" s="125">
        <v>0.004113369769332503</v>
      </c>
      <c r="D34" s="123" t="s">
        <v>1172</v>
      </c>
      <c r="E34" s="123" t="b">
        <v>0</v>
      </c>
      <c r="F34" s="123" t="b">
        <v>0</v>
      </c>
      <c r="G34" s="123" t="b">
        <v>0</v>
      </c>
    </row>
    <row r="35" spans="1:7" ht="15">
      <c r="A35" s="123" t="s">
        <v>804</v>
      </c>
      <c r="B35" s="123">
        <v>13</v>
      </c>
      <c r="C35" s="125">
        <v>0.004726999488159007</v>
      </c>
      <c r="D35" s="123" t="s">
        <v>1172</v>
      </c>
      <c r="E35" s="123" t="b">
        <v>0</v>
      </c>
      <c r="F35" s="123" t="b">
        <v>0</v>
      </c>
      <c r="G35" s="123" t="b">
        <v>0</v>
      </c>
    </row>
    <row r="36" spans="1:7" ht="15">
      <c r="A36" s="123" t="s">
        <v>805</v>
      </c>
      <c r="B36" s="123">
        <v>13</v>
      </c>
      <c r="C36" s="125">
        <v>0.003791472611335249</v>
      </c>
      <c r="D36" s="123" t="s">
        <v>1172</v>
      </c>
      <c r="E36" s="123" t="b">
        <v>0</v>
      </c>
      <c r="F36" s="123" t="b">
        <v>0</v>
      </c>
      <c r="G36" s="123" t="b">
        <v>0</v>
      </c>
    </row>
    <row r="37" spans="1:7" ht="15">
      <c r="A37" s="123" t="s">
        <v>806</v>
      </c>
      <c r="B37" s="123">
        <v>13</v>
      </c>
      <c r="C37" s="125">
        <v>0.006616963146704964</v>
      </c>
      <c r="D37" s="123" t="s">
        <v>1172</v>
      </c>
      <c r="E37" s="123" t="b">
        <v>0</v>
      </c>
      <c r="F37" s="123" t="b">
        <v>0</v>
      </c>
      <c r="G37" s="123" t="b">
        <v>0</v>
      </c>
    </row>
    <row r="38" spans="1:7" ht="15">
      <c r="A38" s="123" t="s">
        <v>807</v>
      </c>
      <c r="B38" s="123">
        <v>12</v>
      </c>
      <c r="C38" s="125">
        <v>0.003966483065749905</v>
      </c>
      <c r="D38" s="123" t="s">
        <v>1172</v>
      </c>
      <c r="E38" s="123" t="b">
        <v>0</v>
      </c>
      <c r="F38" s="123" t="b">
        <v>0</v>
      </c>
      <c r="G38" s="123" t="b">
        <v>0</v>
      </c>
    </row>
    <row r="39" spans="1:7" ht="15">
      <c r="A39" s="123" t="s">
        <v>808</v>
      </c>
      <c r="B39" s="123">
        <v>12</v>
      </c>
      <c r="C39" s="125">
        <v>0.003966483065749905</v>
      </c>
      <c r="D39" s="123" t="s">
        <v>1172</v>
      </c>
      <c r="E39" s="123" t="b">
        <v>0</v>
      </c>
      <c r="F39" s="123" t="b">
        <v>0</v>
      </c>
      <c r="G39" s="123" t="b">
        <v>0</v>
      </c>
    </row>
    <row r="40" spans="1:7" ht="15">
      <c r="A40" s="123" t="s">
        <v>809</v>
      </c>
      <c r="B40" s="123">
        <v>12</v>
      </c>
      <c r="C40" s="125">
        <v>0.006107965981573813</v>
      </c>
      <c r="D40" s="123" t="s">
        <v>1172</v>
      </c>
      <c r="E40" s="123" t="b">
        <v>0</v>
      </c>
      <c r="F40" s="123" t="b">
        <v>1</v>
      </c>
      <c r="G40" s="123" t="b">
        <v>0</v>
      </c>
    </row>
    <row r="41" spans="1:7" ht="15">
      <c r="A41" s="123" t="s">
        <v>810</v>
      </c>
      <c r="B41" s="123">
        <v>12</v>
      </c>
      <c r="C41" s="125">
        <v>0.003966483065749905</v>
      </c>
      <c r="D41" s="123" t="s">
        <v>1172</v>
      </c>
      <c r="E41" s="123" t="b">
        <v>0</v>
      </c>
      <c r="F41" s="123" t="b">
        <v>0</v>
      </c>
      <c r="G41" s="123" t="b">
        <v>0</v>
      </c>
    </row>
    <row r="42" spans="1:7" ht="15">
      <c r="A42" s="123" t="s">
        <v>811</v>
      </c>
      <c r="B42" s="123">
        <v>12</v>
      </c>
      <c r="C42" s="125">
        <v>0.003966483065749905</v>
      </c>
      <c r="D42" s="123" t="s">
        <v>1172</v>
      </c>
      <c r="E42" s="123" t="b">
        <v>0</v>
      </c>
      <c r="F42" s="123" t="b">
        <v>0</v>
      </c>
      <c r="G42" s="123" t="b">
        <v>0</v>
      </c>
    </row>
    <row r="43" spans="1:7" ht="15">
      <c r="A43" s="123" t="s">
        <v>812</v>
      </c>
      <c r="B43" s="123">
        <v>12</v>
      </c>
      <c r="C43" s="125">
        <v>0.004600893823370696</v>
      </c>
      <c r="D43" s="123" t="s">
        <v>1172</v>
      </c>
      <c r="E43" s="123" t="b">
        <v>0</v>
      </c>
      <c r="F43" s="123" t="b">
        <v>0</v>
      </c>
      <c r="G43" s="123" t="b">
        <v>0</v>
      </c>
    </row>
    <row r="44" spans="1:7" ht="15">
      <c r="A44" s="123" t="s">
        <v>813</v>
      </c>
      <c r="B44" s="123">
        <v>11</v>
      </c>
      <c r="C44" s="125">
        <v>0.003999768797673006</v>
      </c>
      <c r="D44" s="123" t="s">
        <v>1172</v>
      </c>
      <c r="E44" s="123" t="b">
        <v>0</v>
      </c>
      <c r="F44" s="123" t="b">
        <v>0</v>
      </c>
      <c r="G44" s="123" t="b">
        <v>0</v>
      </c>
    </row>
    <row r="45" spans="1:7" ht="15">
      <c r="A45" s="123" t="s">
        <v>814</v>
      </c>
      <c r="B45" s="123">
        <v>11</v>
      </c>
      <c r="C45" s="125">
        <v>0.0034805436509736556</v>
      </c>
      <c r="D45" s="123" t="s">
        <v>1172</v>
      </c>
      <c r="E45" s="123" t="b">
        <v>0</v>
      </c>
      <c r="F45" s="123" t="b">
        <v>0</v>
      </c>
      <c r="G45" s="123" t="b">
        <v>0</v>
      </c>
    </row>
    <row r="46" spans="1:7" ht="15">
      <c r="A46" s="123" t="s">
        <v>815</v>
      </c>
      <c r="B46" s="123">
        <v>11</v>
      </c>
      <c r="C46" s="125">
        <v>0.0034805436509736556</v>
      </c>
      <c r="D46" s="123" t="s">
        <v>1172</v>
      </c>
      <c r="E46" s="123" t="b">
        <v>0</v>
      </c>
      <c r="F46" s="123" t="b">
        <v>0</v>
      </c>
      <c r="G46" s="123" t="b">
        <v>0</v>
      </c>
    </row>
    <row r="47" spans="1:7" ht="15">
      <c r="A47" s="123" t="s">
        <v>816</v>
      </c>
      <c r="B47" s="123">
        <v>11</v>
      </c>
      <c r="C47" s="125">
        <v>0.005598968816442662</v>
      </c>
      <c r="D47" s="123" t="s">
        <v>1172</v>
      </c>
      <c r="E47" s="123" t="b">
        <v>0</v>
      </c>
      <c r="F47" s="123" t="b">
        <v>0</v>
      </c>
      <c r="G47" s="123" t="b">
        <v>0</v>
      </c>
    </row>
    <row r="48" spans="1:7" ht="15">
      <c r="A48" s="123" t="s">
        <v>817</v>
      </c>
      <c r="B48" s="123">
        <v>11</v>
      </c>
      <c r="C48" s="125">
        <v>0.004217486004756472</v>
      </c>
      <c r="D48" s="123" t="s">
        <v>1172</v>
      </c>
      <c r="E48" s="123" t="b">
        <v>0</v>
      </c>
      <c r="F48" s="123" t="b">
        <v>0</v>
      </c>
      <c r="G48" s="123" t="b">
        <v>0</v>
      </c>
    </row>
    <row r="49" spans="1:7" ht="15">
      <c r="A49" s="123" t="s">
        <v>818</v>
      </c>
      <c r="B49" s="123">
        <v>10</v>
      </c>
      <c r="C49" s="125">
        <v>0.003636153452430005</v>
      </c>
      <c r="D49" s="123" t="s">
        <v>1172</v>
      </c>
      <c r="E49" s="123" t="b">
        <v>0</v>
      </c>
      <c r="F49" s="123" t="b">
        <v>0</v>
      </c>
      <c r="G49" s="123" t="b">
        <v>0</v>
      </c>
    </row>
    <row r="50" spans="1:7" ht="15">
      <c r="A50" s="123" t="s">
        <v>819</v>
      </c>
      <c r="B50" s="123">
        <v>10</v>
      </c>
      <c r="C50" s="125">
        <v>0.00508997165131151</v>
      </c>
      <c r="D50" s="123" t="s">
        <v>1172</v>
      </c>
      <c r="E50" s="123" t="b">
        <v>0</v>
      </c>
      <c r="F50" s="123" t="b">
        <v>0</v>
      </c>
      <c r="G50" s="123" t="b">
        <v>0</v>
      </c>
    </row>
    <row r="51" spans="1:7" ht="15">
      <c r="A51" s="123" t="s">
        <v>820</v>
      </c>
      <c r="B51" s="123">
        <v>9</v>
      </c>
      <c r="C51" s="125">
        <v>0.003115414318099485</v>
      </c>
      <c r="D51" s="123" t="s">
        <v>1172</v>
      </c>
      <c r="E51" s="123" t="b">
        <v>0</v>
      </c>
      <c r="F51" s="123" t="b">
        <v>0</v>
      </c>
      <c r="G51" s="123" t="b">
        <v>0</v>
      </c>
    </row>
    <row r="52" spans="1:7" ht="15">
      <c r="A52" s="123" t="s">
        <v>821</v>
      </c>
      <c r="B52" s="123">
        <v>9</v>
      </c>
      <c r="C52" s="125">
        <v>0.003115414318099485</v>
      </c>
      <c r="D52" s="123" t="s">
        <v>1172</v>
      </c>
      <c r="E52" s="123" t="b">
        <v>0</v>
      </c>
      <c r="F52" s="123" t="b">
        <v>0</v>
      </c>
      <c r="G52" s="123" t="b">
        <v>0</v>
      </c>
    </row>
    <row r="53" spans="1:7" ht="15">
      <c r="A53" s="123" t="s">
        <v>822</v>
      </c>
      <c r="B53" s="123">
        <v>9</v>
      </c>
      <c r="C53" s="125">
        <v>0.003115414318099485</v>
      </c>
      <c r="D53" s="123" t="s">
        <v>1172</v>
      </c>
      <c r="E53" s="123" t="b">
        <v>0</v>
      </c>
      <c r="F53" s="123" t="b">
        <v>0</v>
      </c>
      <c r="G53" s="123" t="b">
        <v>0</v>
      </c>
    </row>
    <row r="54" spans="1:7" ht="15">
      <c r="A54" s="123" t="s">
        <v>823</v>
      </c>
      <c r="B54" s="123">
        <v>9</v>
      </c>
      <c r="C54" s="125">
        <v>0.003115414318099485</v>
      </c>
      <c r="D54" s="123" t="s">
        <v>1172</v>
      </c>
      <c r="E54" s="123" t="b">
        <v>0</v>
      </c>
      <c r="F54" s="123" t="b">
        <v>0</v>
      </c>
      <c r="G54" s="123" t="b">
        <v>0</v>
      </c>
    </row>
    <row r="55" spans="1:7" ht="15">
      <c r="A55" s="123" t="s">
        <v>824</v>
      </c>
      <c r="B55" s="123">
        <v>9</v>
      </c>
      <c r="C55" s="125">
        <v>0.003115414318099485</v>
      </c>
      <c r="D55" s="123" t="s">
        <v>1172</v>
      </c>
      <c r="E55" s="123" t="b">
        <v>1</v>
      </c>
      <c r="F55" s="123" t="b">
        <v>0</v>
      </c>
      <c r="G55" s="123" t="b">
        <v>0</v>
      </c>
    </row>
    <row r="56" spans="1:7" ht="15">
      <c r="A56" s="123" t="s">
        <v>825</v>
      </c>
      <c r="B56" s="123">
        <v>9</v>
      </c>
      <c r="C56" s="125">
        <v>0.00458097448618036</v>
      </c>
      <c r="D56" s="123" t="s">
        <v>1172</v>
      </c>
      <c r="E56" s="123" t="b">
        <v>0</v>
      </c>
      <c r="F56" s="123" t="b">
        <v>0</v>
      </c>
      <c r="G56" s="123" t="b">
        <v>0</v>
      </c>
    </row>
    <row r="57" spans="1:7" ht="15">
      <c r="A57" s="123" t="s">
        <v>826</v>
      </c>
      <c r="B57" s="123">
        <v>9</v>
      </c>
      <c r="C57" s="125">
        <v>0.003115414318099485</v>
      </c>
      <c r="D57" s="123" t="s">
        <v>1172</v>
      </c>
      <c r="E57" s="123" t="b">
        <v>0</v>
      </c>
      <c r="F57" s="123" t="b">
        <v>0</v>
      </c>
      <c r="G57" s="123" t="b">
        <v>0</v>
      </c>
    </row>
    <row r="58" spans="1:7" ht="15">
      <c r="A58" s="123" t="s">
        <v>827</v>
      </c>
      <c r="B58" s="123">
        <v>9</v>
      </c>
      <c r="C58" s="125">
        <v>0.003115414318099485</v>
      </c>
      <c r="D58" s="123" t="s">
        <v>1172</v>
      </c>
      <c r="E58" s="123" t="b">
        <v>0</v>
      </c>
      <c r="F58" s="123" t="b">
        <v>0</v>
      </c>
      <c r="G58" s="123" t="b">
        <v>0</v>
      </c>
    </row>
    <row r="59" spans="1:7" ht="15">
      <c r="A59" s="123" t="s">
        <v>828</v>
      </c>
      <c r="B59" s="123">
        <v>9</v>
      </c>
      <c r="C59" s="125">
        <v>0.003115414318099485</v>
      </c>
      <c r="D59" s="123" t="s">
        <v>1172</v>
      </c>
      <c r="E59" s="123" t="b">
        <v>0</v>
      </c>
      <c r="F59" s="123" t="b">
        <v>0</v>
      </c>
      <c r="G59" s="123" t="b">
        <v>0</v>
      </c>
    </row>
    <row r="60" spans="1:7" ht="15">
      <c r="A60" s="123" t="s">
        <v>829</v>
      </c>
      <c r="B60" s="123">
        <v>8</v>
      </c>
      <c r="C60" s="125">
        <v>0.003730847664780813</v>
      </c>
      <c r="D60" s="123" t="s">
        <v>1172</v>
      </c>
      <c r="E60" s="123" t="b">
        <v>0</v>
      </c>
      <c r="F60" s="123" t="b">
        <v>0</v>
      </c>
      <c r="G60" s="123" t="b">
        <v>0</v>
      </c>
    </row>
    <row r="61" spans="1:7" ht="15">
      <c r="A61" s="123" t="s">
        <v>830</v>
      </c>
      <c r="B61" s="123">
        <v>8</v>
      </c>
      <c r="C61" s="125">
        <v>0.002908922761944004</v>
      </c>
      <c r="D61" s="123" t="s">
        <v>1172</v>
      </c>
      <c r="E61" s="123" t="b">
        <v>0</v>
      </c>
      <c r="F61" s="123" t="b">
        <v>0</v>
      </c>
      <c r="G61" s="123" t="b">
        <v>0</v>
      </c>
    </row>
    <row r="62" spans="1:7" ht="15">
      <c r="A62" s="123" t="s">
        <v>831</v>
      </c>
      <c r="B62" s="123">
        <v>8</v>
      </c>
      <c r="C62" s="125">
        <v>0.002908922761944004</v>
      </c>
      <c r="D62" s="123" t="s">
        <v>1172</v>
      </c>
      <c r="E62" s="123" t="b">
        <v>0</v>
      </c>
      <c r="F62" s="123" t="b">
        <v>0</v>
      </c>
      <c r="G62" s="123" t="b">
        <v>0</v>
      </c>
    </row>
    <row r="63" spans="1:7" ht="15">
      <c r="A63" s="123" t="s">
        <v>832</v>
      </c>
      <c r="B63" s="123">
        <v>8</v>
      </c>
      <c r="C63" s="125">
        <v>0.002908922761944004</v>
      </c>
      <c r="D63" s="123" t="s">
        <v>1172</v>
      </c>
      <c r="E63" s="123" t="b">
        <v>0</v>
      </c>
      <c r="F63" s="123" t="b">
        <v>0</v>
      </c>
      <c r="G63" s="123" t="b">
        <v>0</v>
      </c>
    </row>
    <row r="64" spans="1:7" ht="15">
      <c r="A64" s="123" t="s">
        <v>833</v>
      </c>
      <c r="B64" s="123">
        <v>8</v>
      </c>
      <c r="C64" s="125">
        <v>0.002908922761944004</v>
      </c>
      <c r="D64" s="123" t="s">
        <v>1172</v>
      </c>
      <c r="E64" s="123" t="b">
        <v>0</v>
      </c>
      <c r="F64" s="123" t="b">
        <v>0</v>
      </c>
      <c r="G64" s="123" t="b">
        <v>0</v>
      </c>
    </row>
    <row r="65" spans="1:7" ht="15">
      <c r="A65" s="123" t="s">
        <v>834</v>
      </c>
      <c r="B65" s="123">
        <v>8</v>
      </c>
      <c r="C65" s="125">
        <v>0.002908922761944004</v>
      </c>
      <c r="D65" s="123" t="s">
        <v>1172</v>
      </c>
      <c r="E65" s="123" t="b">
        <v>0</v>
      </c>
      <c r="F65" s="123" t="b">
        <v>0</v>
      </c>
      <c r="G65" s="123" t="b">
        <v>0</v>
      </c>
    </row>
    <row r="66" spans="1:7" ht="15">
      <c r="A66" s="123" t="s">
        <v>835</v>
      </c>
      <c r="B66" s="123">
        <v>8</v>
      </c>
      <c r="C66" s="125">
        <v>0.002908922761944004</v>
      </c>
      <c r="D66" s="123" t="s">
        <v>1172</v>
      </c>
      <c r="E66" s="123" t="b">
        <v>0</v>
      </c>
      <c r="F66" s="123" t="b">
        <v>0</v>
      </c>
      <c r="G66" s="123" t="b">
        <v>0</v>
      </c>
    </row>
    <row r="67" spans="1:7" ht="15">
      <c r="A67" s="123" t="s">
        <v>836</v>
      </c>
      <c r="B67" s="123">
        <v>7</v>
      </c>
      <c r="C67" s="125">
        <v>0.0026838547302995724</v>
      </c>
      <c r="D67" s="123" t="s">
        <v>1172</v>
      </c>
      <c r="E67" s="123" t="b">
        <v>0</v>
      </c>
      <c r="F67" s="123" t="b">
        <v>0</v>
      </c>
      <c r="G67" s="123" t="b">
        <v>0</v>
      </c>
    </row>
    <row r="68" spans="1:7" ht="15">
      <c r="A68" s="123" t="s">
        <v>837</v>
      </c>
      <c r="B68" s="123">
        <v>7</v>
      </c>
      <c r="C68" s="125">
        <v>0.0035629801559180574</v>
      </c>
      <c r="D68" s="123" t="s">
        <v>1172</v>
      </c>
      <c r="E68" s="123" t="b">
        <v>0</v>
      </c>
      <c r="F68" s="123" t="b">
        <v>0</v>
      </c>
      <c r="G68" s="123" t="b">
        <v>0</v>
      </c>
    </row>
    <row r="69" spans="1:7" ht="15">
      <c r="A69" s="123" t="s">
        <v>838</v>
      </c>
      <c r="B69" s="123">
        <v>7</v>
      </c>
      <c r="C69" s="125">
        <v>0.004702860286647626</v>
      </c>
      <c r="D69" s="123" t="s">
        <v>1172</v>
      </c>
      <c r="E69" s="123" t="b">
        <v>0</v>
      </c>
      <c r="F69" s="123" t="b">
        <v>0</v>
      </c>
      <c r="G69" s="123" t="b">
        <v>0</v>
      </c>
    </row>
    <row r="70" spans="1:7" ht="15">
      <c r="A70" s="123" t="s">
        <v>839</v>
      </c>
      <c r="B70" s="123">
        <v>7</v>
      </c>
      <c r="C70" s="125">
        <v>0.003264491706683211</v>
      </c>
      <c r="D70" s="123" t="s">
        <v>1172</v>
      </c>
      <c r="E70" s="123" t="b">
        <v>0</v>
      </c>
      <c r="F70" s="123" t="b">
        <v>0</v>
      </c>
      <c r="G70" s="123" t="b">
        <v>0</v>
      </c>
    </row>
    <row r="71" spans="1:7" ht="15">
      <c r="A71" s="123" t="s">
        <v>840</v>
      </c>
      <c r="B71" s="123">
        <v>7</v>
      </c>
      <c r="C71" s="125">
        <v>0.003264491706683211</v>
      </c>
      <c r="D71" s="123" t="s">
        <v>1172</v>
      </c>
      <c r="E71" s="123" t="b">
        <v>0</v>
      </c>
      <c r="F71" s="123" t="b">
        <v>0</v>
      </c>
      <c r="G71" s="123" t="b">
        <v>0</v>
      </c>
    </row>
    <row r="72" spans="1:7" ht="15">
      <c r="A72" s="123" t="s">
        <v>841</v>
      </c>
      <c r="B72" s="123">
        <v>7</v>
      </c>
      <c r="C72" s="125">
        <v>0.0039836759966654185</v>
      </c>
      <c r="D72" s="123" t="s">
        <v>1172</v>
      </c>
      <c r="E72" s="123" t="b">
        <v>0</v>
      </c>
      <c r="F72" s="123" t="b">
        <v>0</v>
      </c>
      <c r="G72" s="123" t="b">
        <v>0</v>
      </c>
    </row>
    <row r="73" spans="1:7" ht="15">
      <c r="A73" s="123" t="s">
        <v>842</v>
      </c>
      <c r="B73" s="123">
        <v>7</v>
      </c>
      <c r="C73" s="125">
        <v>0.0028437958659358496</v>
      </c>
      <c r="D73" s="123" t="s">
        <v>1172</v>
      </c>
      <c r="E73" s="123" t="b">
        <v>0</v>
      </c>
      <c r="F73" s="123" t="b">
        <v>0</v>
      </c>
      <c r="G73" s="123" t="b">
        <v>0</v>
      </c>
    </row>
    <row r="74" spans="1:7" ht="15">
      <c r="A74" s="123" t="s">
        <v>843</v>
      </c>
      <c r="B74" s="123">
        <v>7</v>
      </c>
      <c r="C74" s="125">
        <v>0.0026838547302995724</v>
      </c>
      <c r="D74" s="123" t="s">
        <v>1172</v>
      </c>
      <c r="E74" s="123" t="b">
        <v>0</v>
      </c>
      <c r="F74" s="123" t="b">
        <v>0</v>
      </c>
      <c r="G74" s="123" t="b">
        <v>0</v>
      </c>
    </row>
    <row r="75" spans="1:7" ht="15">
      <c r="A75" s="123" t="s">
        <v>844</v>
      </c>
      <c r="B75" s="123">
        <v>7</v>
      </c>
      <c r="C75" s="125">
        <v>0.0026838547302995724</v>
      </c>
      <c r="D75" s="123" t="s">
        <v>1172</v>
      </c>
      <c r="E75" s="123" t="b">
        <v>0</v>
      </c>
      <c r="F75" s="123" t="b">
        <v>0</v>
      </c>
      <c r="G75" s="123" t="b">
        <v>0</v>
      </c>
    </row>
    <row r="76" spans="1:7" ht="15">
      <c r="A76" s="123" t="s">
        <v>845</v>
      </c>
      <c r="B76" s="123">
        <v>7</v>
      </c>
      <c r="C76" s="125">
        <v>0.0035629801559180574</v>
      </c>
      <c r="D76" s="123" t="s">
        <v>1172</v>
      </c>
      <c r="E76" s="123" t="b">
        <v>0</v>
      </c>
      <c r="F76" s="123" t="b">
        <v>0</v>
      </c>
      <c r="G76" s="123" t="b">
        <v>0</v>
      </c>
    </row>
    <row r="77" spans="1:7" ht="15">
      <c r="A77" s="123" t="s">
        <v>846</v>
      </c>
      <c r="B77" s="123">
        <v>7</v>
      </c>
      <c r="C77" s="125">
        <v>0.0035629801559180574</v>
      </c>
      <c r="D77" s="123" t="s">
        <v>1172</v>
      </c>
      <c r="E77" s="123" t="b">
        <v>0</v>
      </c>
      <c r="F77" s="123" t="b">
        <v>0</v>
      </c>
      <c r="G77" s="123" t="b">
        <v>0</v>
      </c>
    </row>
    <row r="78" spans="1:7" ht="15">
      <c r="A78" s="123" t="s">
        <v>610</v>
      </c>
      <c r="B78" s="123">
        <v>7</v>
      </c>
      <c r="C78" s="125">
        <v>0.0035629801559180574</v>
      </c>
      <c r="D78" s="123" t="s">
        <v>1172</v>
      </c>
      <c r="E78" s="123" t="b">
        <v>0</v>
      </c>
      <c r="F78" s="123" t="b">
        <v>0</v>
      </c>
      <c r="G78" s="123" t="b">
        <v>0</v>
      </c>
    </row>
    <row r="79" spans="1:7" ht="15">
      <c r="A79" s="123" t="s">
        <v>847</v>
      </c>
      <c r="B79" s="123">
        <v>7</v>
      </c>
      <c r="C79" s="125">
        <v>0.0026838547302995724</v>
      </c>
      <c r="D79" s="123" t="s">
        <v>1172</v>
      </c>
      <c r="E79" s="123" t="b">
        <v>0</v>
      </c>
      <c r="F79" s="123" t="b">
        <v>0</v>
      </c>
      <c r="G79" s="123" t="b">
        <v>0</v>
      </c>
    </row>
    <row r="80" spans="1:7" ht="15">
      <c r="A80" s="123" t="s">
        <v>848</v>
      </c>
      <c r="B80" s="123">
        <v>7</v>
      </c>
      <c r="C80" s="125">
        <v>0.0026838547302995724</v>
      </c>
      <c r="D80" s="123" t="s">
        <v>1172</v>
      </c>
      <c r="E80" s="123" t="b">
        <v>0</v>
      </c>
      <c r="F80" s="123" t="b">
        <v>0</v>
      </c>
      <c r="G80" s="123" t="b">
        <v>0</v>
      </c>
    </row>
    <row r="81" spans="1:7" ht="15">
      <c r="A81" s="123" t="s">
        <v>849</v>
      </c>
      <c r="B81" s="123">
        <v>6</v>
      </c>
      <c r="C81" s="125">
        <v>0.0024375393136592998</v>
      </c>
      <c r="D81" s="123" t="s">
        <v>1172</v>
      </c>
      <c r="E81" s="123" t="b">
        <v>0</v>
      </c>
      <c r="F81" s="123" t="b">
        <v>0</v>
      </c>
      <c r="G81" s="123" t="b">
        <v>0</v>
      </c>
    </row>
    <row r="82" spans="1:7" ht="15">
      <c r="A82" s="123" t="s">
        <v>850</v>
      </c>
      <c r="B82" s="123">
        <v>6</v>
      </c>
      <c r="C82" s="125">
        <v>0.0024375393136592998</v>
      </c>
      <c r="D82" s="123" t="s">
        <v>1172</v>
      </c>
      <c r="E82" s="123" t="b">
        <v>0</v>
      </c>
      <c r="F82" s="123" t="b">
        <v>0</v>
      </c>
      <c r="G82" s="123" t="b">
        <v>0</v>
      </c>
    </row>
    <row r="83" spans="1:7" ht="15">
      <c r="A83" s="123" t="s">
        <v>851</v>
      </c>
      <c r="B83" s="123">
        <v>6</v>
      </c>
      <c r="C83" s="125">
        <v>0.0030539829907869063</v>
      </c>
      <c r="D83" s="123" t="s">
        <v>1172</v>
      </c>
      <c r="E83" s="123" t="b">
        <v>0</v>
      </c>
      <c r="F83" s="123" t="b">
        <v>0</v>
      </c>
      <c r="G83" s="123" t="b">
        <v>0</v>
      </c>
    </row>
    <row r="84" spans="1:7" ht="15">
      <c r="A84" s="123" t="s">
        <v>852</v>
      </c>
      <c r="B84" s="123">
        <v>6</v>
      </c>
      <c r="C84" s="125">
        <v>0.0024375393136592998</v>
      </c>
      <c r="D84" s="123" t="s">
        <v>1172</v>
      </c>
      <c r="E84" s="123" t="b">
        <v>0</v>
      </c>
      <c r="F84" s="123" t="b">
        <v>0</v>
      </c>
      <c r="G84" s="123" t="b">
        <v>0</v>
      </c>
    </row>
    <row r="85" spans="1:7" ht="15">
      <c r="A85" s="123" t="s">
        <v>853</v>
      </c>
      <c r="B85" s="123">
        <v>6</v>
      </c>
      <c r="C85" s="125">
        <v>0.0025996852100025588</v>
      </c>
      <c r="D85" s="123" t="s">
        <v>1172</v>
      </c>
      <c r="E85" s="123" t="b">
        <v>0</v>
      </c>
      <c r="F85" s="123" t="b">
        <v>0</v>
      </c>
      <c r="G85" s="123" t="b">
        <v>0</v>
      </c>
    </row>
    <row r="86" spans="1:7" ht="15">
      <c r="A86" s="123" t="s">
        <v>854</v>
      </c>
      <c r="B86" s="123">
        <v>6</v>
      </c>
      <c r="C86" s="125">
        <v>0.0024375393136592998</v>
      </c>
      <c r="D86" s="123" t="s">
        <v>1172</v>
      </c>
      <c r="E86" s="123" t="b">
        <v>0</v>
      </c>
      <c r="F86" s="123" t="b">
        <v>0</v>
      </c>
      <c r="G86" s="123" t="b">
        <v>0</v>
      </c>
    </row>
    <row r="87" spans="1:7" ht="15">
      <c r="A87" s="123" t="s">
        <v>855</v>
      </c>
      <c r="B87" s="123">
        <v>6</v>
      </c>
      <c r="C87" s="125">
        <v>0.0025996852100025588</v>
      </c>
      <c r="D87" s="123" t="s">
        <v>1172</v>
      </c>
      <c r="E87" s="123" t="b">
        <v>0</v>
      </c>
      <c r="F87" s="123" t="b">
        <v>0</v>
      </c>
      <c r="G87" s="123" t="b">
        <v>0</v>
      </c>
    </row>
    <row r="88" spans="1:7" ht="15">
      <c r="A88" s="123" t="s">
        <v>856</v>
      </c>
      <c r="B88" s="123">
        <v>6</v>
      </c>
      <c r="C88" s="125">
        <v>0.0024375393136592998</v>
      </c>
      <c r="D88" s="123" t="s">
        <v>1172</v>
      </c>
      <c r="E88" s="123" t="b">
        <v>0</v>
      </c>
      <c r="F88" s="123" t="b">
        <v>0</v>
      </c>
      <c r="G88" s="123" t="b">
        <v>0</v>
      </c>
    </row>
    <row r="89" spans="1:7" ht="15">
      <c r="A89" s="123" t="s">
        <v>857</v>
      </c>
      <c r="B89" s="123">
        <v>6</v>
      </c>
      <c r="C89" s="125">
        <v>0.0034145794257132165</v>
      </c>
      <c r="D89" s="123" t="s">
        <v>1172</v>
      </c>
      <c r="E89" s="123" t="b">
        <v>0</v>
      </c>
      <c r="F89" s="123" t="b">
        <v>0</v>
      </c>
      <c r="G89" s="123" t="b">
        <v>0</v>
      </c>
    </row>
    <row r="90" spans="1:7" ht="15">
      <c r="A90" s="123" t="s">
        <v>858</v>
      </c>
      <c r="B90" s="123">
        <v>6</v>
      </c>
      <c r="C90" s="125">
        <v>0.0030539829907869063</v>
      </c>
      <c r="D90" s="123" t="s">
        <v>1172</v>
      </c>
      <c r="E90" s="123" t="b">
        <v>0</v>
      </c>
      <c r="F90" s="123" t="b">
        <v>0</v>
      </c>
      <c r="G90" s="123" t="b">
        <v>0</v>
      </c>
    </row>
    <row r="91" spans="1:7" ht="15">
      <c r="A91" s="123" t="s">
        <v>859</v>
      </c>
      <c r="B91" s="123">
        <v>6</v>
      </c>
      <c r="C91" s="125">
        <v>0.0024375393136592998</v>
      </c>
      <c r="D91" s="123" t="s">
        <v>1172</v>
      </c>
      <c r="E91" s="123" t="b">
        <v>0</v>
      </c>
      <c r="F91" s="123" t="b">
        <v>0</v>
      </c>
      <c r="G91" s="123" t="b">
        <v>0</v>
      </c>
    </row>
    <row r="92" spans="1:7" ht="15">
      <c r="A92" s="123" t="s">
        <v>860</v>
      </c>
      <c r="B92" s="123">
        <v>6</v>
      </c>
      <c r="C92" s="125">
        <v>0.0024375393136592998</v>
      </c>
      <c r="D92" s="123" t="s">
        <v>1172</v>
      </c>
      <c r="E92" s="123" t="b">
        <v>0</v>
      </c>
      <c r="F92" s="123" t="b">
        <v>0</v>
      </c>
      <c r="G92" s="123" t="b">
        <v>0</v>
      </c>
    </row>
    <row r="93" spans="1:7" ht="15">
      <c r="A93" s="123" t="s">
        <v>861</v>
      </c>
      <c r="B93" s="123">
        <v>6</v>
      </c>
      <c r="C93" s="125">
        <v>0.0024375393136592998</v>
      </c>
      <c r="D93" s="123" t="s">
        <v>1172</v>
      </c>
      <c r="E93" s="123" t="b">
        <v>0</v>
      </c>
      <c r="F93" s="123" t="b">
        <v>0</v>
      </c>
      <c r="G93" s="123" t="b">
        <v>0</v>
      </c>
    </row>
    <row r="94" spans="1:7" ht="15">
      <c r="A94" s="123" t="s">
        <v>862</v>
      </c>
      <c r="B94" s="123">
        <v>6</v>
      </c>
      <c r="C94" s="125">
        <v>0.00279813574858561</v>
      </c>
      <c r="D94" s="123" t="s">
        <v>1172</v>
      </c>
      <c r="E94" s="123" t="b">
        <v>0</v>
      </c>
      <c r="F94" s="123" t="b">
        <v>0</v>
      </c>
      <c r="G94" s="123" t="b">
        <v>0</v>
      </c>
    </row>
    <row r="95" spans="1:7" ht="15">
      <c r="A95" s="123" t="s">
        <v>863</v>
      </c>
      <c r="B95" s="123">
        <v>6</v>
      </c>
      <c r="C95" s="125">
        <v>0.0025996852100025588</v>
      </c>
      <c r="D95" s="123" t="s">
        <v>1172</v>
      </c>
      <c r="E95" s="123" t="b">
        <v>0</v>
      </c>
      <c r="F95" s="123" t="b">
        <v>0</v>
      </c>
      <c r="G95" s="123" t="b">
        <v>0</v>
      </c>
    </row>
    <row r="96" spans="1:7" ht="15">
      <c r="A96" s="123" t="s">
        <v>864</v>
      </c>
      <c r="B96" s="123">
        <v>6</v>
      </c>
      <c r="C96" s="125">
        <v>0.0030539829907869063</v>
      </c>
      <c r="D96" s="123" t="s">
        <v>1172</v>
      </c>
      <c r="E96" s="123" t="b">
        <v>0</v>
      </c>
      <c r="F96" s="123" t="b">
        <v>0</v>
      </c>
      <c r="G96" s="123" t="b">
        <v>0</v>
      </c>
    </row>
    <row r="97" spans="1:7" ht="15">
      <c r="A97" s="123" t="s">
        <v>865</v>
      </c>
      <c r="B97" s="123">
        <v>6</v>
      </c>
      <c r="C97" s="125">
        <v>0.0034145794257132165</v>
      </c>
      <c r="D97" s="123" t="s">
        <v>1172</v>
      </c>
      <c r="E97" s="123" t="b">
        <v>0</v>
      </c>
      <c r="F97" s="123" t="b">
        <v>0</v>
      </c>
      <c r="G97" s="123" t="b">
        <v>0</v>
      </c>
    </row>
    <row r="98" spans="1:7" ht="15">
      <c r="A98" s="123" t="s">
        <v>866</v>
      </c>
      <c r="B98" s="123">
        <v>6</v>
      </c>
      <c r="C98" s="125">
        <v>0.0024375393136592998</v>
      </c>
      <c r="D98" s="123" t="s">
        <v>1172</v>
      </c>
      <c r="E98" s="123" t="b">
        <v>0</v>
      </c>
      <c r="F98" s="123" t="b">
        <v>0</v>
      </c>
      <c r="G98" s="123" t="b">
        <v>0</v>
      </c>
    </row>
    <row r="99" spans="1:7" ht="15">
      <c r="A99" s="123" t="s">
        <v>867</v>
      </c>
      <c r="B99" s="123">
        <v>5</v>
      </c>
      <c r="C99" s="125">
        <v>0.002331779790488008</v>
      </c>
      <c r="D99" s="123" t="s">
        <v>1172</v>
      </c>
      <c r="E99" s="123" t="b">
        <v>0</v>
      </c>
      <c r="F99" s="123" t="b">
        <v>0</v>
      </c>
      <c r="G99" s="123" t="b">
        <v>0</v>
      </c>
    </row>
    <row r="100" spans="1:7" ht="15">
      <c r="A100" s="123" t="s">
        <v>868</v>
      </c>
      <c r="B100" s="123">
        <v>5</v>
      </c>
      <c r="C100" s="125">
        <v>0.002166404341668799</v>
      </c>
      <c r="D100" s="123" t="s">
        <v>1172</v>
      </c>
      <c r="E100" s="123" t="b">
        <v>0</v>
      </c>
      <c r="F100" s="123" t="b">
        <v>0</v>
      </c>
      <c r="G100" s="123" t="b">
        <v>0</v>
      </c>
    </row>
    <row r="101" spans="1:7" ht="15">
      <c r="A101" s="123" t="s">
        <v>869</v>
      </c>
      <c r="B101" s="123">
        <v>5</v>
      </c>
      <c r="C101" s="125">
        <v>0.002166404341668799</v>
      </c>
      <c r="D101" s="123" t="s">
        <v>1172</v>
      </c>
      <c r="E101" s="123" t="b">
        <v>0</v>
      </c>
      <c r="F101" s="123" t="b">
        <v>0</v>
      </c>
      <c r="G101" s="123" t="b">
        <v>0</v>
      </c>
    </row>
    <row r="102" spans="1:7" ht="15">
      <c r="A102" s="123" t="s">
        <v>870</v>
      </c>
      <c r="B102" s="123">
        <v>5</v>
      </c>
      <c r="C102" s="125">
        <v>0.002166404341668799</v>
      </c>
      <c r="D102" s="123" t="s">
        <v>1172</v>
      </c>
      <c r="E102" s="123" t="b">
        <v>0</v>
      </c>
      <c r="F102" s="123" t="b">
        <v>0</v>
      </c>
      <c r="G102" s="123" t="b">
        <v>0</v>
      </c>
    </row>
    <row r="103" spans="1:7" ht="15">
      <c r="A103" s="123" t="s">
        <v>871</v>
      </c>
      <c r="B103" s="123">
        <v>5</v>
      </c>
      <c r="C103" s="125">
        <v>0.002331779790488008</v>
      </c>
      <c r="D103" s="123" t="s">
        <v>1172</v>
      </c>
      <c r="E103" s="123" t="b">
        <v>0</v>
      </c>
      <c r="F103" s="123" t="b">
        <v>0</v>
      </c>
      <c r="G103" s="123" t="b">
        <v>0</v>
      </c>
    </row>
    <row r="104" spans="1:7" ht="15">
      <c r="A104" s="123" t="s">
        <v>872</v>
      </c>
      <c r="B104" s="123">
        <v>5</v>
      </c>
      <c r="C104" s="125">
        <v>0.002331779790488008</v>
      </c>
      <c r="D104" s="123" t="s">
        <v>1172</v>
      </c>
      <c r="E104" s="123" t="b">
        <v>0</v>
      </c>
      <c r="F104" s="123" t="b">
        <v>0</v>
      </c>
      <c r="G104" s="123" t="b">
        <v>0</v>
      </c>
    </row>
    <row r="105" spans="1:7" ht="15">
      <c r="A105" s="123" t="s">
        <v>873</v>
      </c>
      <c r="B105" s="123">
        <v>5</v>
      </c>
      <c r="C105" s="125">
        <v>0.003359185919034019</v>
      </c>
      <c r="D105" s="123" t="s">
        <v>1172</v>
      </c>
      <c r="E105" s="123" t="b">
        <v>0</v>
      </c>
      <c r="F105" s="123" t="b">
        <v>0</v>
      </c>
      <c r="G105" s="123" t="b">
        <v>0</v>
      </c>
    </row>
    <row r="106" spans="1:7" ht="15">
      <c r="A106" s="123" t="s">
        <v>874</v>
      </c>
      <c r="B106" s="123">
        <v>5</v>
      </c>
      <c r="C106" s="125">
        <v>0.002166404341668799</v>
      </c>
      <c r="D106" s="123" t="s">
        <v>1172</v>
      </c>
      <c r="E106" s="123" t="b">
        <v>0</v>
      </c>
      <c r="F106" s="123" t="b">
        <v>0</v>
      </c>
      <c r="G106" s="123" t="b">
        <v>0</v>
      </c>
    </row>
    <row r="107" spans="1:7" ht="15">
      <c r="A107" s="123" t="s">
        <v>875</v>
      </c>
      <c r="B107" s="123">
        <v>5</v>
      </c>
      <c r="C107" s="125">
        <v>0.002166404341668799</v>
      </c>
      <c r="D107" s="123" t="s">
        <v>1172</v>
      </c>
      <c r="E107" s="123" t="b">
        <v>0</v>
      </c>
      <c r="F107" s="123" t="b">
        <v>0</v>
      </c>
      <c r="G107" s="123" t="b">
        <v>0</v>
      </c>
    </row>
    <row r="108" spans="1:7" ht="15">
      <c r="A108" s="123" t="s">
        <v>876</v>
      </c>
      <c r="B108" s="123">
        <v>5</v>
      </c>
      <c r="C108" s="125">
        <v>0.002166404341668799</v>
      </c>
      <c r="D108" s="123" t="s">
        <v>1172</v>
      </c>
      <c r="E108" s="123" t="b">
        <v>0</v>
      </c>
      <c r="F108" s="123" t="b">
        <v>0</v>
      </c>
      <c r="G108" s="123" t="b">
        <v>0</v>
      </c>
    </row>
    <row r="109" spans="1:7" ht="15">
      <c r="A109" s="123" t="s">
        <v>877</v>
      </c>
      <c r="B109" s="123">
        <v>5</v>
      </c>
      <c r="C109" s="125">
        <v>0.002544985825655755</v>
      </c>
      <c r="D109" s="123" t="s">
        <v>1172</v>
      </c>
      <c r="E109" s="123" t="b">
        <v>0</v>
      </c>
      <c r="F109" s="123" t="b">
        <v>0</v>
      </c>
      <c r="G109" s="123" t="b">
        <v>0</v>
      </c>
    </row>
    <row r="110" spans="1:7" ht="15">
      <c r="A110" s="123" t="s">
        <v>878</v>
      </c>
      <c r="B110" s="123">
        <v>5</v>
      </c>
      <c r="C110" s="125">
        <v>0.002544985825655755</v>
      </c>
      <c r="D110" s="123" t="s">
        <v>1172</v>
      </c>
      <c r="E110" s="123" t="b">
        <v>0</v>
      </c>
      <c r="F110" s="123" t="b">
        <v>0</v>
      </c>
      <c r="G110" s="123" t="b">
        <v>0</v>
      </c>
    </row>
    <row r="111" spans="1:7" ht="15">
      <c r="A111" s="123" t="s">
        <v>879</v>
      </c>
      <c r="B111" s="123">
        <v>5</v>
      </c>
      <c r="C111" s="125">
        <v>0.003359185919034019</v>
      </c>
      <c r="D111" s="123" t="s">
        <v>1172</v>
      </c>
      <c r="E111" s="123" t="b">
        <v>0</v>
      </c>
      <c r="F111" s="123" t="b">
        <v>0</v>
      </c>
      <c r="G111" s="123" t="b">
        <v>0</v>
      </c>
    </row>
    <row r="112" spans="1:7" ht="15">
      <c r="A112" s="123" t="s">
        <v>880</v>
      </c>
      <c r="B112" s="123">
        <v>5</v>
      </c>
      <c r="C112" s="125">
        <v>0.002544985825655755</v>
      </c>
      <c r="D112" s="123" t="s">
        <v>1172</v>
      </c>
      <c r="E112" s="123" t="b">
        <v>0</v>
      </c>
      <c r="F112" s="123" t="b">
        <v>0</v>
      </c>
      <c r="G112" s="123" t="b">
        <v>0</v>
      </c>
    </row>
    <row r="113" spans="1:7" ht="15">
      <c r="A113" s="123" t="s">
        <v>881</v>
      </c>
      <c r="B113" s="123">
        <v>5</v>
      </c>
      <c r="C113" s="125">
        <v>0.002544985825655755</v>
      </c>
      <c r="D113" s="123" t="s">
        <v>1172</v>
      </c>
      <c r="E113" s="123" t="b">
        <v>0</v>
      </c>
      <c r="F113" s="123" t="b">
        <v>0</v>
      </c>
      <c r="G113" s="123" t="b">
        <v>0</v>
      </c>
    </row>
    <row r="114" spans="1:7" ht="15">
      <c r="A114" s="123" t="s">
        <v>882</v>
      </c>
      <c r="B114" s="123">
        <v>5</v>
      </c>
      <c r="C114" s="125">
        <v>0.002331779790488008</v>
      </c>
      <c r="D114" s="123" t="s">
        <v>1172</v>
      </c>
      <c r="E114" s="123" t="b">
        <v>0</v>
      </c>
      <c r="F114" s="123" t="b">
        <v>0</v>
      </c>
      <c r="G114" s="123" t="b">
        <v>0</v>
      </c>
    </row>
    <row r="115" spans="1:7" ht="15">
      <c r="A115" s="123" t="s">
        <v>883</v>
      </c>
      <c r="B115" s="123">
        <v>5</v>
      </c>
      <c r="C115" s="125">
        <v>0.002544985825655755</v>
      </c>
      <c r="D115" s="123" t="s">
        <v>1172</v>
      </c>
      <c r="E115" s="123" t="b">
        <v>0</v>
      </c>
      <c r="F115" s="123" t="b">
        <v>0</v>
      </c>
      <c r="G115" s="123" t="b">
        <v>0</v>
      </c>
    </row>
    <row r="116" spans="1:7" ht="15">
      <c r="A116" s="123" t="s">
        <v>884</v>
      </c>
      <c r="B116" s="123">
        <v>5</v>
      </c>
      <c r="C116" s="125">
        <v>0.002166404341668799</v>
      </c>
      <c r="D116" s="123" t="s">
        <v>1172</v>
      </c>
      <c r="E116" s="123" t="b">
        <v>0</v>
      </c>
      <c r="F116" s="123" t="b">
        <v>0</v>
      </c>
      <c r="G116" s="123" t="b">
        <v>0</v>
      </c>
    </row>
    <row r="117" spans="1:7" ht="15">
      <c r="A117" s="123" t="s">
        <v>885</v>
      </c>
      <c r="B117" s="123">
        <v>5</v>
      </c>
      <c r="C117" s="125">
        <v>0.0028454828547610136</v>
      </c>
      <c r="D117" s="123" t="s">
        <v>1172</v>
      </c>
      <c r="E117" s="123" t="b">
        <v>0</v>
      </c>
      <c r="F117" s="123" t="b">
        <v>0</v>
      </c>
      <c r="G117" s="123" t="b">
        <v>0</v>
      </c>
    </row>
    <row r="118" spans="1:7" ht="15">
      <c r="A118" s="123" t="s">
        <v>886</v>
      </c>
      <c r="B118" s="123">
        <v>4</v>
      </c>
      <c r="C118" s="125">
        <v>0.0020359886605246045</v>
      </c>
      <c r="D118" s="123" t="s">
        <v>1172</v>
      </c>
      <c r="E118" s="123" t="b">
        <v>0</v>
      </c>
      <c r="F118" s="123" t="b">
        <v>0</v>
      </c>
      <c r="G118" s="123" t="b">
        <v>0</v>
      </c>
    </row>
    <row r="119" spans="1:7" ht="15">
      <c r="A119" s="123" t="s">
        <v>887</v>
      </c>
      <c r="B119" s="123">
        <v>4</v>
      </c>
      <c r="C119" s="125">
        <v>0.0020359886605246045</v>
      </c>
      <c r="D119" s="123" t="s">
        <v>1172</v>
      </c>
      <c r="E119" s="123" t="b">
        <v>0</v>
      </c>
      <c r="F119" s="123" t="b">
        <v>0</v>
      </c>
      <c r="G119" s="123" t="b">
        <v>0</v>
      </c>
    </row>
    <row r="120" spans="1:7" ht="15">
      <c r="A120" s="123" t="s">
        <v>888</v>
      </c>
      <c r="B120" s="123">
        <v>4</v>
      </c>
      <c r="C120" s="125">
        <v>0.0018654238323904066</v>
      </c>
      <c r="D120" s="123" t="s">
        <v>1172</v>
      </c>
      <c r="E120" s="123" t="b">
        <v>0</v>
      </c>
      <c r="F120" s="123" t="b">
        <v>0</v>
      </c>
      <c r="G120" s="123" t="b">
        <v>0</v>
      </c>
    </row>
    <row r="121" spans="1:7" ht="15">
      <c r="A121" s="123" t="s">
        <v>889</v>
      </c>
      <c r="B121" s="123">
        <v>4</v>
      </c>
      <c r="C121" s="125">
        <v>0.0018654238323904066</v>
      </c>
      <c r="D121" s="123" t="s">
        <v>1172</v>
      </c>
      <c r="E121" s="123" t="b">
        <v>0</v>
      </c>
      <c r="F121" s="123" t="b">
        <v>0</v>
      </c>
      <c r="G121" s="123" t="b">
        <v>0</v>
      </c>
    </row>
    <row r="122" spans="1:7" ht="15">
      <c r="A122" s="123" t="s">
        <v>890</v>
      </c>
      <c r="B122" s="123">
        <v>4</v>
      </c>
      <c r="C122" s="125">
        <v>0.0018654238323904066</v>
      </c>
      <c r="D122" s="123" t="s">
        <v>1172</v>
      </c>
      <c r="E122" s="123" t="b">
        <v>0</v>
      </c>
      <c r="F122" s="123" t="b">
        <v>1</v>
      </c>
      <c r="G122" s="123" t="b">
        <v>0</v>
      </c>
    </row>
    <row r="123" spans="1:7" ht="15">
      <c r="A123" s="123" t="s">
        <v>891</v>
      </c>
      <c r="B123" s="123">
        <v>4</v>
      </c>
      <c r="C123" s="125">
        <v>0.0020359886605246045</v>
      </c>
      <c r="D123" s="123" t="s">
        <v>1172</v>
      </c>
      <c r="E123" s="123" t="b">
        <v>0</v>
      </c>
      <c r="F123" s="123" t="b">
        <v>0</v>
      </c>
      <c r="G123" s="123" t="b">
        <v>0</v>
      </c>
    </row>
    <row r="124" spans="1:7" ht="15">
      <c r="A124" s="123" t="s">
        <v>892</v>
      </c>
      <c r="B124" s="123">
        <v>4</v>
      </c>
      <c r="C124" s="125">
        <v>0.0018654238323904066</v>
      </c>
      <c r="D124" s="123" t="s">
        <v>1172</v>
      </c>
      <c r="E124" s="123" t="b">
        <v>0</v>
      </c>
      <c r="F124" s="123" t="b">
        <v>0</v>
      </c>
      <c r="G124" s="123" t="b">
        <v>0</v>
      </c>
    </row>
    <row r="125" spans="1:7" ht="15">
      <c r="A125" s="123" t="s">
        <v>893</v>
      </c>
      <c r="B125" s="123">
        <v>4</v>
      </c>
      <c r="C125" s="125">
        <v>0.0020359886605246045</v>
      </c>
      <c r="D125" s="123" t="s">
        <v>1172</v>
      </c>
      <c r="E125" s="123" t="b">
        <v>1</v>
      </c>
      <c r="F125" s="123" t="b">
        <v>0</v>
      </c>
      <c r="G125" s="123" t="b">
        <v>0</v>
      </c>
    </row>
    <row r="126" spans="1:7" ht="15">
      <c r="A126" s="123" t="s">
        <v>894</v>
      </c>
      <c r="B126" s="123">
        <v>4</v>
      </c>
      <c r="C126" s="125">
        <v>0.0018654238323904066</v>
      </c>
      <c r="D126" s="123" t="s">
        <v>1172</v>
      </c>
      <c r="E126" s="123" t="b">
        <v>0</v>
      </c>
      <c r="F126" s="123" t="b">
        <v>0</v>
      </c>
      <c r="G126" s="123" t="b">
        <v>0</v>
      </c>
    </row>
    <row r="127" spans="1:7" ht="15">
      <c r="A127" s="123" t="s">
        <v>895</v>
      </c>
      <c r="B127" s="123">
        <v>4</v>
      </c>
      <c r="C127" s="125">
        <v>0.0018654238323904066</v>
      </c>
      <c r="D127" s="123" t="s">
        <v>1172</v>
      </c>
      <c r="E127" s="123" t="b">
        <v>0</v>
      </c>
      <c r="F127" s="123" t="b">
        <v>0</v>
      </c>
      <c r="G127" s="123" t="b">
        <v>0</v>
      </c>
    </row>
    <row r="128" spans="1:7" ht="15">
      <c r="A128" s="123" t="s">
        <v>896</v>
      </c>
      <c r="B128" s="123">
        <v>4</v>
      </c>
      <c r="C128" s="125">
        <v>0.0018654238323904066</v>
      </c>
      <c r="D128" s="123" t="s">
        <v>1172</v>
      </c>
      <c r="E128" s="123" t="b">
        <v>0</v>
      </c>
      <c r="F128" s="123" t="b">
        <v>0</v>
      </c>
      <c r="G128" s="123" t="b">
        <v>0</v>
      </c>
    </row>
    <row r="129" spans="1:7" ht="15">
      <c r="A129" s="123" t="s">
        <v>897</v>
      </c>
      <c r="B129" s="123">
        <v>4</v>
      </c>
      <c r="C129" s="125">
        <v>0.0020359886605246045</v>
      </c>
      <c r="D129" s="123" t="s">
        <v>1172</v>
      </c>
      <c r="E129" s="123" t="b">
        <v>0</v>
      </c>
      <c r="F129" s="123" t="b">
        <v>0</v>
      </c>
      <c r="G129" s="123" t="b">
        <v>0</v>
      </c>
    </row>
    <row r="130" spans="1:7" ht="15">
      <c r="A130" s="123" t="s">
        <v>898</v>
      </c>
      <c r="B130" s="123">
        <v>4</v>
      </c>
      <c r="C130" s="125">
        <v>0.0018654238323904066</v>
      </c>
      <c r="D130" s="123" t="s">
        <v>1172</v>
      </c>
      <c r="E130" s="123" t="b">
        <v>0</v>
      </c>
      <c r="F130" s="123" t="b">
        <v>0</v>
      </c>
      <c r="G130" s="123" t="b">
        <v>0</v>
      </c>
    </row>
    <row r="131" spans="1:7" ht="15">
      <c r="A131" s="123" t="s">
        <v>899</v>
      </c>
      <c r="B131" s="123">
        <v>4</v>
      </c>
      <c r="C131" s="125">
        <v>0.0018654238323904066</v>
      </c>
      <c r="D131" s="123" t="s">
        <v>1172</v>
      </c>
      <c r="E131" s="123" t="b">
        <v>0</v>
      </c>
      <c r="F131" s="123" t="b">
        <v>0</v>
      </c>
      <c r="G131" s="123" t="b">
        <v>0</v>
      </c>
    </row>
    <row r="132" spans="1:7" ht="15">
      <c r="A132" s="123" t="s">
        <v>900</v>
      </c>
      <c r="B132" s="123">
        <v>4</v>
      </c>
      <c r="C132" s="125">
        <v>0.0018654238323904066</v>
      </c>
      <c r="D132" s="123" t="s">
        <v>1172</v>
      </c>
      <c r="E132" s="123" t="b">
        <v>0</v>
      </c>
      <c r="F132" s="123" t="b">
        <v>0</v>
      </c>
      <c r="G132" s="123" t="b">
        <v>0</v>
      </c>
    </row>
    <row r="133" spans="1:7" ht="15">
      <c r="A133" s="123" t="s">
        <v>901</v>
      </c>
      <c r="B133" s="123">
        <v>4</v>
      </c>
      <c r="C133" s="125">
        <v>0.002687348735227215</v>
      </c>
      <c r="D133" s="123" t="s">
        <v>1172</v>
      </c>
      <c r="E133" s="123" t="b">
        <v>0</v>
      </c>
      <c r="F133" s="123" t="b">
        <v>0</v>
      </c>
      <c r="G133" s="123" t="b">
        <v>0</v>
      </c>
    </row>
    <row r="134" spans="1:7" ht="15">
      <c r="A134" s="123" t="s">
        <v>902</v>
      </c>
      <c r="B134" s="123">
        <v>4</v>
      </c>
      <c r="C134" s="125">
        <v>0.002276386283808811</v>
      </c>
      <c r="D134" s="123" t="s">
        <v>1172</v>
      </c>
      <c r="E134" s="123" t="b">
        <v>0</v>
      </c>
      <c r="F134" s="123" t="b">
        <v>0</v>
      </c>
      <c r="G134" s="123" t="b">
        <v>0</v>
      </c>
    </row>
    <row r="135" spans="1:7" ht="15">
      <c r="A135" s="123" t="s">
        <v>903</v>
      </c>
      <c r="B135" s="123">
        <v>4</v>
      </c>
      <c r="C135" s="125">
        <v>0.002276386283808811</v>
      </c>
      <c r="D135" s="123" t="s">
        <v>1172</v>
      </c>
      <c r="E135" s="123" t="b">
        <v>0</v>
      </c>
      <c r="F135" s="123" t="b">
        <v>0</v>
      </c>
      <c r="G135" s="123" t="b">
        <v>0</v>
      </c>
    </row>
    <row r="136" spans="1:7" ht="15">
      <c r="A136" s="123" t="s">
        <v>904</v>
      </c>
      <c r="B136" s="123">
        <v>4</v>
      </c>
      <c r="C136" s="125">
        <v>0.0018654238323904066</v>
      </c>
      <c r="D136" s="123" t="s">
        <v>1172</v>
      </c>
      <c r="E136" s="123" t="b">
        <v>0</v>
      </c>
      <c r="F136" s="123" t="b">
        <v>0</v>
      </c>
      <c r="G136" s="123" t="b">
        <v>0</v>
      </c>
    </row>
    <row r="137" spans="1:7" ht="15">
      <c r="A137" s="123" t="s">
        <v>905</v>
      </c>
      <c r="B137" s="123">
        <v>4</v>
      </c>
      <c r="C137" s="125">
        <v>0.0020359886605246045</v>
      </c>
      <c r="D137" s="123" t="s">
        <v>1172</v>
      </c>
      <c r="E137" s="123" t="b">
        <v>0</v>
      </c>
      <c r="F137" s="123" t="b">
        <v>0</v>
      </c>
      <c r="G137" s="123" t="b">
        <v>0</v>
      </c>
    </row>
    <row r="138" spans="1:7" ht="15">
      <c r="A138" s="123" t="s">
        <v>906</v>
      </c>
      <c r="B138" s="123">
        <v>4</v>
      </c>
      <c r="C138" s="125">
        <v>0.0018654238323904066</v>
      </c>
      <c r="D138" s="123" t="s">
        <v>1172</v>
      </c>
      <c r="E138" s="123" t="b">
        <v>0</v>
      </c>
      <c r="F138" s="123" t="b">
        <v>0</v>
      </c>
      <c r="G138" s="123" t="b">
        <v>0</v>
      </c>
    </row>
    <row r="139" spans="1:7" ht="15">
      <c r="A139" s="123" t="s">
        <v>907</v>
      </c>
      <c r="B139" s="123">
        <v>4</v>
      </c>
      <c r="C139" s="125">
        <v>0.0020359886605246045</v>
      </c>
      <c r="D139" s="123" t="s">
        <v>1172</v>
      </c>
      <c r="E139" s="123" t="b">
        <v>0</v>
      </c>
      <c r="F139" s="123" t="b">
        <v>0</v>
      </c>
      <c r="G139" s="123" t="b">
        <v>0</v>
      </c>
    </row>
    <row r="140" spans="1:7" ht="15">
      <c r="A140" s="123" t="s">
        <v>908</v>
      </c>
      <c r="B140" s="123">
        <v>4</v>
      </c>
      <c r="C140" s="125">
        <v>0.0018654238323904066</v>
      </c>
      <c r="D140" s="123" t="s">
        <v>1172</v>
      </c>
      <c r="E140" s="123" t="b">
        <v>0</v>
      </c>
      <c r="F140" s="123" t="b">
        <v>0</v>
      </c>
      <c r="G140" s="123" t="b">
        <v>0</v>
      </c>
    </row>
    <row r="141" spans="1:7" ht="15">
      <c r="A141" s="123" t="s">
        <v>909</v>
      </c>
      <c r="B141" s="123">
        <v>4</v>
      </c>
      <c r="C141" s="125">
        <v>0.002276386283808811</v>
      </c>
      <c r="D141" s="123" t="s">
        <v>1172</v>
      </c>
      <c r="E141" s="123" t="b">
        <v>0</v>
      </c>
      <c r="F141" s="123" t="b">
        <v>0</v>
      </c>
      <c r="G141" s="123" t="b">
        <v>0</v>
      </c>
    </row>
    <row r="142" spans="1:7" ht="15">
      <c r="A142" s="123" t="s">
        <v>910</v>
      </c>
      <c r="B142" s="123">
        <v>4</v>
      </c>
      <c r="C142" s="125">
        <v>0.0020359886605246045</v>
      </c>
      <c r="D142" s="123" t="s">
        <v>1172</v>
      </c>
      <c r="E142" s="123" t="b">
        <v>1</v>
      </c>
      <c r="F142" s="123" t="b">
        <v>0</v>
      </c>
      <c r="G142" s="123" t="b">
        <v>0</v>
      </c>
    </row>
    <row r="143" spans="1:7" ht="15">
      <c r="A143" s="123" t="s">
        <v>911</v>
      </c>
      <c r="B143" s="123">
        <v>4</v>
      </c>
      <c r="C143" s="125">
        <v>0.0018654238323904066</v>
      </c>
      <c r="D143" s="123" t="s">
        <v>1172</v>
      </c>
      <c r="E143" s="123" t="b">
        <v>0</v>
      </c>
      <c r="F143" s="123" t="b">
        <v>0</v>
      </c>
      <c r="G143" s="123" t="b">
        <v>0</v>
      </c>
    </row>
    <row r="144" spans="1:7" ht="15">
      <c r="A144" s="123" t="s">
        <v>912</v>
      </c>
      <c r="B144" s="123">
        <v>4</v>
      </c>
      <c r="C144" s="125">
        <v>0.0018654238323904066</v>
      </c>
      <c r="D144" s="123" t="s">
        <v>1172</v>
      </c>
      <c r="E144" s="123" t="b">
        <v>0</v>
      </c>
      <c r="F144" s="123" t="b">
        <v>0</v>
      </c>
      <c r="G144" s="123" t="b">
        <v>0</v>
      </c>
    </row>
    <row r="145" spans="1:7" ht="15">
      <c r="A145" s="123" t="s">
        <v>913</v>
      </c>
      <c r="B145" s="123">
        <v>4</v>
      </c>
      <c r="C145" s="125">
        <v>0.0020359886605246045</v>
      </c>
      <c r="D145" s="123" t="s">
        <v>1172</v>
      </c>
      <c r="E145" s="123" t="b">
        <v>0</v>
      </c>
      <c r="F145" s="123" t="b">
        <v>0</v>
      </c>
      <c r="G145" s="123" t="b">
        <v>0</v>
      </c>
    </row>
    <row r="146" spans="1:7" ht="15">
      <c r="A146" s="123" t="s">
        <v>914</v>
      </c>
      <c r="B146" s="123">
        <v>3</v>
      </c>
      <c r="C146" s="125">
        <v>0.0015269914953934532</v>
      </c>
      <c r="D146" s="123" t="s">
        <v>1172</v>
      </c>
      <c r="E146" s="123" t="b">
        <v>0</v>
      </c>
      <c r="F146" s="123" t="b">
        <v>0</v>
      </c>
      <c r="G146" s="123" t="b">
        <v>0</v>
      </c>
    </row>
    <row r="147" spans="1:7" ht="15">
      <c r="A147" s="123" t="s">
        <v>915</v>
      </c>
      <c r="B147" s="123">
        <v>3</v>
      </c>
      <c r="C147" s="125">
        <v>0.0015269914953934532</v>
      </c>
      <c r="D147" s="123" t="s">
        <v>1172</v>
      </c>
      <c r="E147" s="123" t="b">
        <v>0</v>
      </c>
      <c r="F147" s="123" t="b">
        <v>0</v>
      </c>
      <c r="G147" s="123" t="b">
        <v>0</v>
      </c>
    </row>
    <row r="148" spans="1:7" ht="15">
      <c r="A148" s="123" t="s">
        <v>916</v>
      </c>
      <c r="B148" s="123">
        <v>3</v>
      </c>
      <c r="C148" s="125">
        <v>0.0015269914953934532</v>
      </c>
      <c r="D148" s="123" t="s">
        <v>1172</v>
      </c>
      <c r="E148" s="123" t="b">
        <v>0</v>
      </c>
      <c r="F148" s="123" t="b">
        <v>0</v>
      </c>
      <c r="G148" s="123" t="b">
        <v>0</v>
      </c>
    </row>
    <row r="149" spans="1:7" ht="15">
      <c r="A149" s="123" t="s">
        <v>917</v>
      </c>
      <c r="B149" s="123">
        <v>3</v>
      </c>
      <c r="C149" s="125">
        <v>0.0015269914953934532</v>
      </c>
      <c r="D149" s="123" t="s">
        <v>1172</v>
      </c>
      <c r="E149" s="123" t="b">
        <v>0</v>
      </c>
      <c r="F149" s="123" t="b">
        <v>0</v>
      </c>
      <c r="G149" s="123" t="b">
        <v>0</v>
      </c>
    </row>
    <row r="150" spans="1:7" ht="15">
      <c r="A150" s="123" t="s">
        <v>918</v>
      </c>
      <c r="B150" s="123">
        <v>3</v>
      </c>
      <c r="C150" s="125">
        <v>0.0015269914953934532</v>
      </c>
      <c r="D150" s="123" t="s">
        <v>1172</v>
      </c>
      <c r="E150" s="123" t="b">
        <v>0</v>
      </c>
      <c r="F150" s="123" t="b">
        <v>0</v>
      </c>
      <c r="G150" s="123" t="b">
        <v>0</v>
      </c>
    </row>
    <row r="151" spans="1:7" ht="15">
      <c r="A151" s="123" t="s">
        <v>919</v>
      </c>
      <c r="B151" s="123">
        <v>3</v>
      </c>
      <c r="C151" s="125">
        <v>0.0015269914953934532</v>
      </c>
      <c r="D151" s="123" t="s">
        <v>1172</v>
      </c>
      <c r="E151" s="123" t="b">
        <v>0</v>
      </c>
      <c r="F151" s="123" t="b">
        <v>0</v>
      </c>
      <c r="G151" s="123" t="b">
        <v>0</v>
      </c>
    </row>
    <row r="152" spans="1:7" ht="15">
      <c r="A152" s="123" t="s">
        <v>920</v>
      </c>
      <c r="B152" s="123">
        <v>3</v>
      </c>
      <c r="C152" s="125">
        <v>0.0015269914953934532</v>
      </c>
      <c r="D152" s="123" t="s">
        <v>1172</v>
      </c>
      <c r="E152" s="123" t="b">
        <v>0</v>
      </c>
      <c r="F152" s="123" t="b">
        <v>0</v>
      </c>
      <c r="G152" s="123" t="b">
        <v>0</v>
      </c>
    </row>
    <row r="153" spans="1:7" ht="15">
      <c r="A153" s="123" t="s">
        <v>921</v>
      </c>
      <c r="B153" s="123">
        <v>3</v>
      </c>
      <c r="C153" s="125">
        <v>0.0017072897128566082</v>
      </c>
      <c r="D153" s="123" t="s">
        <v>1172</v>
      </c>
      <c r="E153" s="123" t="b">
        <v>0</v>
      </c>
      <c r="F153" s="123" t="b">
        <v>0</v>
      </c>
      <c r="G153" s="123" t="b">
        <v>0</v>
      </c>
    </row>
    <row r="154" spans="1:7" ht="15">
      <c r="A154" s="123" t="s">
        <v>922</v>
      </c>
      <c r="B154" s="123">
        <v>3</v>
      </c>
      <c r="C154" s="125">
        <v>0.0015269914953934532</v>
      </c>
      <c r="D154" s="123" t="s">
        <v>1172</v>
      </c>
      <c r="E154" s="123" t="b">
        <v>0</v>
      </c>
      <c r="F154" s="123" t="b">
        <v>0</v>
      </c>
      <c r="G154" s="123" t="b">
        <v>0</v>
      </c>
    </row>
    <row r="155" spans="1:7" ht="15">
      <c r="A155" s="123" t="s">
        <v>923</v>
      </c>
      <c r="B155" s="123">
        <v>3</v>
      </c>
      <c r="C155" s="125">
        <v>0.0015269914953934532</v>
      </c>
      <c r="D155" s="123" t="s">
        <v>1172</v>
      </c>
      <c r="E155" s="123" t="b">
        <v>0</v>
      </c>
      <c r="F155" s="123" t="b">
        <v>0</v>
      </c>
      <c r="G155" s="123" t="b">
        <v>0</v>
      </c>
    </row>
    <row r="156" spans="1:7" ht="15">
      <c r="A156" s="123" t="s">
        <v>924</v>
      </c>
      <c r="B156" s="123">
        <v>3</v>
      </c>
      <c r="C156" s="125">
        <v>0.0015269914953934532</v>
      </c>
      <c r="D156" s="123" t="s">
        <v>1172</v>
      </c>
      <c r="E156" s="123" t="b">
        <v>0</v>
      </c>
      <c r="F156" s="123" t="b">
        <v>0</v>
      </c>
      <c r="G156" s="123" t="b">
        <v>0</v>
      </c>
    </row>
    <row r="157" spans="1:7" ht="15">
      <c r="A157" s="123" t="s">
        <v>925</v>
      </c>
      <c r="B157" s="123">
        <v>3</v>
      </c>
      <c r="C157" s="125">
        <v>0.0015269914953934532</v>
      </c>
      <c r="D157" s="123" t="s">
        <v>1172</v>
      </c>
      <c r="E157" s="123" t="b">
        <v>0</v>
      </c>
      <c r="F157" s="123" t="b">
        <v>0</v>
      </c>
      <c r="G157" s="123" t="b">
        <v>0</v>
      </c>
    </row>
    <row r="158" spans="1:7" ht="15">
      <c r="A158" s="123" t="s">
        <v>926</v>
      </c>
      <c r="B158" s="123">
        <v>3</v>
      </c>
      <c r="C158" s="125">
        <v>0.0015269914953934532</v>
      </c>
      <c r="D158" s="123" t="s">
        <v>1172</v>
      </c>
      <c r="E158" s="123" t="b">
        <v>0</v>
      </c>
      <c r="F158" s="123" t="b">
        <v>0</v>
      </c>
      <c r="G158" s="123" t="b">
        <v>0</v>
      </c>
    </row>
    <row r="159" spans="1:7" ht="15">
      <c r="A159" s="123" t="s">
        <v>927</v>
      </c>
      <c r="B159" s="123">
        <v>3</v>
      </c>
      <c r="C159" s="125">
        <v>0.0015269914953934532</v>
      </c>
      <c r="D159" s="123" t="s">
        <v>1172</v>
      </c>
      <c r="E159" s="123" t="b">
        <v>0</v>
      </c>
      <c r="F159" s="123" t="b">
        <v>0</v>
      </c>
      <c r="G159" s="123" t="b">
        <v>0</v>
      </c>
    </row>
    <row r="160" spans="1:7" ht="15">
      <c r="A160" s="123" t="s">
        <v>928</v>
      </c>
      <c r="B160" s="123">
        <v>3</v>
      </c>
      <c r="C160" s="125">
        <v>0.0017072897128566082</v>
      </c>
      <c r="D160" s="123" t="s">
        <v>1172</v>
      </c>
      <c r="E160" s="123" t="b">
        <v>0</v>
      </c>
      <c r="F160" s="123" t="b">
        <v>0</v>
      </c>
      <c r="G160" s="123" t="b">
        <v>0</v>
      </c>
    </row>
    <row r="161" spans="1:7" ht="15">
      <c r="A161" s="123" t="s">
        <v>929</v>
      </c>
      <c r="B161" s="123">
        <v>3</v>
      </c>
      <c r="C161" s="125">
        <v>0.0015269914953934532</v>
      </c>
      <c r="D161" s="123" t="s">
        <v>1172</v>
      </c>
      <c r="E161" s="123" t="b">
        <v>0</v>
      </c>
      <c r="F161" s="123" t="b">
        <v>0</v>
      </c>
      <c r="G161" s="123" t="b">
        <v>0</v>
      </c>
    </row>
    <row r="162" spans="1:7" ht="15">
      <c r="A162" s="123" t="s">
        <v>930</v>
      </c>
      <c r="B162" s="123">
        <v>3</v>
      </c>
      <c r="C162" s="125">
        <v>0.0015269914953934532</v>
      </c>
      <c r="D162" s="123" t="s">
        <v>1172</v>
      </c>
      <c r="E162" s="123" t="b">
        <v>0</v>
      </c>
      <c r="F162" s="123" t="b">
        <v>0</v>
      </c>
      <c r="G162" s="123" t="b">
        <v>0</v>
      </c>
    </row>
    <row r="163" spans="1:7" ht="15">
      <c r="A163" s="123" t="s">
        <v>931</v>
      </c>
      <c r="B163" s="123">
        <v>3</v>
      </c>
      <c r="C163" s="125">
        <v>0.0015269914953934532</v>
      </c>
      <c r="D163" s="123" t="s">
        <v>1172</v>
      </c>
      <c r="E163" s="123" t="b">
        <v>0</v>
      </c>
      <c r="F163" s="123" t="b">
        <v>0</v>
      </c>
      <c r="G163" s="123" t="b">
        <v>0</v>
      </c>
    </row>
    <row r="164" spans="1:7" ht="15">
      <c r="A164" s="123" t="s">
        <v>932</v>
      </c>
      <c r="B164" s="123">
        <v>3</v>
      </c>
      <c r="C164" s="125">
        <v>0.0017072897128566082</v>
      </c>
      <c r="D164" s="123" t="s">
        <v>1172</v>
      </c>
      <c r="E164" s="123" t="b">
        <v>0</v>
      </c>
      <c r="F164" s="123" t="b">
        <v>0</v>
      </c>
      <c r="G164" s="123" t="b">
        <v>0</v>
      </c>
    </row>
    <row r="165" spans="1:7" ht="15">
      <c r="A165" s="123" t="s">
        <v>933</v>
      </c>
      <c r="B165" s="123">
        <v>3</v>
      </c>
      <c r="C165" s="125">
        <v>0.0017072897128566082</v>
      </c>
      <c r="D165" s="123" t="s">
        <v>1172</v>
      </c>
      <c r="E165" s="123" t="b">
        <v>0</v>
      </c>
      <c r="F165" s="123" t="b">
        <v>0</v>
      </c>
      <c r="G165" s="123" t="b">
        <v>0</v>
      </c>
    </row>
    <row r="166" spans="1:7" ht="15">
      <c r="A166" s="123" t="s">
        <v>934</v>
      </c>
      <c r="B166" s="123">
        <v>3</v>
      </c>
      <c r="C166" s="125">
        <v>0.0015269914953934532</v>
      </c>
      <c r="D166" s="123" t="s">
        <v>1172</v>
      </c>
      <c r="E166" s="123" t="b">
        <v>0</v>
      </c>
      <c r="F166" s="123" t="b">
        <v>0</v>
      </c>
      <c r="G166" s="123" t="b">
        <v>0</v>
      </c>
    </row>
    <row r="167" spans="1:7" ht="15">
      <c r="A167" s="123" t="s">
        <v>935</v>
      </c>
      <c r="B167" s="123">
        <v>3</v>
      </c>
      <c r="C167" s="125">
        <v>0.0020155115514204113</v>
      </c>
      <c r="D167" s="123" t="s">
        <v>1172</v>
      </c>
      <c r="E167" s="123" t="b">
        <v>0</v>
      </c>
      <c r="F167" s="123" t="b">
        <v>0</v>
      </c>
      <c r="G167" s="123" t="b">
        <v>0</v>
      </c>
    </row>
    <row r="168" spans="1:7" ht="15">
      <c r="A168" s="123" t="s">
        <v>936</v>
      </c>
      <c r="B168" s="123">
        <v>3</v>
      </c>
      <c r="C168" s="125">
        <v>0.0015269914953934532</v>
      </c>
      <c r="D168" s="123" t="s">
        <v>1172</v>
      </c>
      <c r="E168" s="123" t="b">
        <v>0</v>
      </c>
      <c r="F168" s="123" t="b">
        <v>0</v>
      </c>
      <c r="G168" s="123" t="b">
        <v>0</v>
      </c>
    </row>
    <row r="169" spans="1:7" ht="15">
      <c r="A169" s="123" t="s">
        <v>937</v>
      </c>
      <c r="B169" s="123">
        <v>3</v>
      </c>
      <c r="C169" s="125">
        <v>0.0017072897128566082</v>
      </c>
      <c r="D169" s="123" t="s">
        <v>1172</v>
      </c>
      <c r="E169" s="123" t="b">
        <v>0</v>
      </c>
      <c r="F169" s="123" t="b">
        <v>0</v>
      </c>
      <c r="G169" s="123" t="b">
        <v>0</v>
      </c>
    </row>
    <row r="170" spans="1:7" ht="15">
      <c r="A170" s="123" t="s">
        <v>938</v>
      </c>
      <c r="B170" s="123">
        <v>3</v>
      </c>
      <c r="C170" s="125">
        <v>0.0015269914953934532</v>
      </c>
      <c r="D170" s="123" t="s">
        <v>1172</v>
      </c>
      <c r="E170" s="123" t="b">
        <v>0</v>
      </c>
      <c r="F170" s="123" t="b">
        <v>0</v>
      </c>
      <c r="G170" s="123" t="b">
        <v>0</v>
      </c>
    </row>
    <row r="171" spans="1:7" ht="15">
      <c r="A171" s="123" t="s">
        <v>939</v>
      </c>
      <c r="B171" s="123">
        <v>3</v>
      </c>
      <c r="C171" s="125">
        <v>0.0015269914953934532</v>
      </c>
      <c r="D171" s="123" t="s">
        <v>1172</v>
      </c>
      <c r="E171" s="123" t="b">
        <v>0</v>
      </c>
      <c r="F171" s="123" t="b">
        <v>0</v>
      </c>
      <c r="G171" s="123" t="b">
        <v>0</v>
      </c>
    </row>
    <row r="172" spans="1:7" ht="15">
      <c r="A172" s="123" t="s">
        <v>940</v>
      </c>
      <c r="B172" s="123">
        <v>3</v>
      </c>
      <c r="C172" s="125">
        <v>0.0015269914953934532</v>
      </c>
      <c r="D172" s="123" t="s">
        <v>1172</v>
      </c>
      <c r="E172" s="123" t="b">
        <v>0</v>
      </c>
      <c r="F172" s="123" t="b">
        <v>0</v>
      </c>
      <c r="G172" s="123" t="b">
        <v>0</v>
      </c>
    </row>
    <row r="173" spans="1:7" ht="15">
      <c r="A173" s="123" t="s">
        <v>941</v>
      </c>
      <c r="B173" s="123">
        <v>3</v>
      </c>
      <c r="C173" s="125">
        <v>0.0017072897128566082</v>
      </c>
      <c r="D173" s="123" t="s">
        <v>1172</v>
      </c>
      <c r="E173" s="123" t="b">
        <v>0</v>
      </c>
      <c r="F173" s="123" t="b">
        <v>0</v>
      </c>
      <c r="G173" s="123" t="b">
        <v>0</v>
      </c>
    </row>
    <row r="174" spans="1:7" ht="15">
      <c r="A174" s="123" t="s">
        <v>942</v>
      </c>
      <c r="B174" s="123">
        <v>3</v>
      </c>
      <c r="C174" s="125">
        <v>0.0015269914953934532</v>
      </c>
      <c r="D174" s="123" t="s">
        <v>1172</v>
      </c>
      <c r="E174" s="123" t="b">
        <v>0</v>
      </c>
      <c r="F174" s="123" t="b">
        <v>0</v>
      </c>
      <c r="G174" s="123" t="b">
        <v>0</v>
      </c>
    </row>
    <row r="175" spans="1:7" ht="15">
      <c r="A175" s="123" t="s">
        <v>943</v>
      </c>
      <c r="B175" s="123">
        <v>3</v>
      </c>
      <c r="C175" s="125">
        <v>0.0015269914953934532</v>
      </c>
      <c r="D175" s="123" t="s">
        <v>1172</v>
      </c>
      <c r="E175" s="123" t="b">
        <v>0</v>
      </c>
      <c r="F175" s="123" t="b">
        <v>0</v>
      </c>
      <c r="G175" s="123" t="b">
        <v>0</v>
      </c>
    </row>
    <row r="176" spans="1:7" ht="15">
      <c r="A176" s="123" t="s">
        <v>944</v>
      </c>
      <c r="B176" s="123">
        <v>3</v>
      </c>
      <c r="C176" s="125">
        <v>0.0015269914953934532</v>
      </c>
      <c r="D176" s="123" t="s">
        <v>1172</v>
      </c>
      <c r="E176" s="123" t="b">
        <v>0</v>
      </c>
      <c r="F176" s="123" t="b">
        <v>0</v>
      </c>
      <c r="G176" s="123" t="b">
        <v>0</v>
      </c>
    </row>
    <row r="177" spans="1:7" ht="15">
      <c r="A177" s="123" t="s">
        <v>945</v>
      </c>
      <c r="B177" s="123">
        <v>3</v>
      </c>
      <c r="C177" s="125">
        <v>0.0015269914953934532</v>
      </c>
      <c r="D177" s="123" t="s">
        <v>1172</v>
      </c>
      <c r="E177" s="123" t="b">
        <v>0</v>
      </c>
      <c r="F177" s="123" t="b">
        <v>0</v>
      </c>
      <c r="G177" s="123" t="b">
        <v>0</v>
      </c>
    </row>
    <row r="178" spans="1:7" ht="15">
      <c r="A178" s="123" t="s">
        <v>946</v>
      </c>
      <c r="B178" s="123">
        <v>3</v>
      </c>
      <c r="C178" s="125">
        <v>0.0015269914953934532</v>
      </c>
      <c r="D178" s="123" t="s">
        <v>1172</v>
      </c>
      <c r="E178" s="123" t="b">
        <v>0</v>
      </c>
      <c r="F178" s="123" t="b">
        <v>0</v>
      </c>
      <c r="G178" s="123" t="b">
        <v>0</v>
      </c>
    </row>
    <row r="179" spans="1:7" ht="15">
      <c r="A179" s="123" t="s">
        <v>947</v>
      </c>
      <c r="B179" s="123">
        <v>3</v>
      </c>
      <c r="C179" s="125">
        <v>0.0015269914953934532</v>
      </c>
      <c r="D179" s="123" t="s">
        <v>1172</v>
      </c>
      <c r="E179" s="123" t="b">
        <v>0</v>
      </c>
      <c r="F179" s="123" t="b">
        <v>0</v>
      </c>
      <c r="G179" s="123" t="b">
        <v>0</v>
      </c>
    </row>
    <row r="180" spans="1:7" ht="15">
      <c r="A180" s="123" t="s">
        <v>948</v>
      </c>
      <c r="B180" s="123">
        <v>3</v>
      </c>
      <c r="C180" s="125">
        <v>0.0017072897128566082</v>
      </c>
      <c r="D180" s="123" t="s">
        <v>1172</v>
      </c>
      <c r="E180" s="123" t="b">
        <v>0</v>
      </c>
      <c r="F180" s="123" t="b">
        <v>0</v>
      </c>
      <c r="G180" s="123" t="b">
        <v>0</v>
      </c>
    </row>
    <row r="181" spans="1:7" ht="15">
      <c r="A181" s="123" t="s">
        <v>949</v>
      </c>
      <c r="B181" s="123">
        <v>3</v>
      </c>
      <c r="C181" s="125">
        <v>0.0017072897128566082</v>
      </c>
      <c r="D181" s="123" t="s">
        <v>1172</v>
      </c>
      <c r="E181" s="123" t="b">
        <v>0</v>
      </c>
      <c r="F181" s="123" t="b">
        <v>0</v>
      </c>
      <c r="G181" s="123" t="b">
        <v>0</v>
      </c>
    </row>
    <row r="182" spans="1:7" ht="15">
      <c r="A182" s="123" t="s">
        <v>950</v>
      </c>
      <c r="B182" s="123">
        <v>3</v>
      </c>
      <c r="C182" s="125">
        <v>0.0015269914953934532</v>
      </c>
      <c r="D182" s="123" t="s">
        <v>1172</v>
      </c>
      <c r="E182" s="123" t="b">
        <v>0</v>
      </c>
      <c r="F182" s="123" t="b">
        <v>0</v>
      </c>
      <c r="G182" s="123" t="b">
        <v>0</v>
      </c>
    </row>
    <row r="183" spans="1:7" ht="15">
      <c r="A183" s="123" t="s">
        <v>951</v>
      </c>
      <c r="B183" s="123">
        <v>3</v>
      </c>
      <c r="C183" s="125">
        <v>0.0015269914953934532</v>
      </c>
      <c r="D183" s="123" t="s">
        <v>1172</v>
      </c>
      <c r="E183" s="123" t="b">
        <v>0</v>
      </c>
      <c r="F183" s="123" t="b">
        <v>1</v>
      </c>
      <c r="G183" s="123" t="b">
        <v>0</v>
      </c>
    </row>
    <row r="184" spans="1:7" ht="15">
      <c r="A184" s="123" t="s">
        <v>952</v>
      </c>
      <c r="B184" s="123">
        <v>3</v>
      </c>
      <c r="C184" s="125">
        <v>0.0017072897128566082</v>
      </c>
      <c r="D184" s="123" t="s">
        <v>1172</v>
      </c>
      <c r="E184" s="123" t="b">
        <v>0</v>
      </c>
      <c r="F184" s="123" t="b">
        <v>0</v>
      </c>
      <c r="G184" s="123" t="b">
        <v>0</v>
      </c>
    </row>
    <row r="185" spans="1:7" ht="15">
      <c r="A185" s="123" t="s">
        <v>953</v>
      </c>
      <c r="B185" s="123">
        <v>3</v>
      </c>
      <c r="C185" s="125">
        <v>0.0015269914953934532</v>
      </c>
      <c r="D185" s="123" t="s">
        <v>1172</v>
      </c>
      <c r="E185" s="123" t="b">
        <v>0</v>
      </c>
      <c r="F185" s="123" t="b">
        <v>0</v>
      </c>
      <c r="G185" s="123" t="b">
        <v>0</v>
      </c>
    </row>
    <row r="186" spans="1:7" ht="15">
      <c r="A186" s="123" t="s">
        <v>954</v>
      </c>
      <c r="B186" s="123">
        <v>3</v>
      </c>
      <c r="C186" s="125">
        <v>0.0015269914953934532</v>
      </c>
      <c r="D186" s="123" t="s">
        <v>1172</v>
      </c>
      <c r="E186" s="123" t="b">
        <v>0</v>
      </c>
      <c r="F186" s="123" t="b">
        <v>0</v>
      </c>
      <c r="G186" s="123" t="b">
        <v>0</v>
      </c>
    </row>
    <row r="187" spans="1:7" ht="15">
      <c r="A187" s="123" t="s">
        <v>955</v>
      </c>
      <c r="B187" s="123">
        <v>3</v>
      </c>
      <c r="C187" s="125">
        <v>0.0017072897128566082</v>
      </c>
      <c r="D187" s="123" t="s">
        <v>1172</v>
      </c>
      <c r="E187" s="123" t="b">
        <v>0</v>
      </c>
      <c r="F187" s="123" t="b">
        <v>0</v>
      </c>
      <c r="G187" s="123" t="b">
        <v>0</v>
      </c>
    </row>
    <row r="188" spans="1:7" ht="15">
      <c r="A188" s="123" t="s">
        <v>956</v>
      </c>
      <c r="B188" s="123">
        <v>3</v>
      </c>
      <c r="C188" s="125">
        <v>0.0015269914953934532</v>
      </c>
      <c r="D188" s="123" t="s">
        <v>1172</v>
      </c>
      <c r="E188" s="123" t="b">
        <v>0</v>
      </c>
      <c r="F188" s="123" t="b">
        <v>0</v>
      </c>
      <c r="G188" s="123" t="b">
        <v>0</v>
      </c>
    </row>
    <row r="189" spans="1:7" ht="15">
      <c r="A189" s="123" t="s">
        <v>957</v>
      </c>
      <c r="B189" s="123">
        <v>3</v>
      </c>
      <c r="C189" s="125">
        <v>0.0015269914953934532</v>
      </c>
      <c r="D189" s="123" t="s">
        <v>1172</v>
      </c>
      <c r="E189" s="123" t="b">
        <v>0</v>
      </c>
      <c r="F189" s="123" t="b">
        <v>0</v>
      </c>
      <c r="G189" s="123" t="b">
        <v>0</v>
      </c>
    </row>
    <row r="190" spans="1:7" ht="15">
      <c r="A190" s="123" t="s">
        <v>958</v>
      </c>
      <c r="B190" s="123">
        <v>3</v>
      </c>
      <c r="C190" s="125">
        <v>0.0015269914953934532</v>
      </c>
      <c r="D190" s="123" t="s">
        <v>1172</v>
      </c>
      <c r="E190" s="123" t="b">
        <v>0</v>
      </c>
      <c r="F190" s="123" t="b">
        <v>0</v>
      </c>
      <c r="G190" s="123" t="b">
        <v>0</v>
      </c>
    </row>
    <row r="191" spans="1:7" ht="15">
      <c r="A191" s="123" t="s">
        <v>959</v>
      </c>
      <c r="B191" s="123">
        <v>3</v>
      </c>
      <c r="C191" s="125">
        <v>0.0020155115514204113</v>
      </c>
      <c r="D191" s="123" t="s">
        <v>1172</v>
      </c>
      <c r="E191" s="123" t="b">
        <v>0</v>
      </c>
      <c r="F191" s="123" t="b">
        <v>0</v>
      </c>
      <c r="G191" s="123" t="b">
        <v>0</v>
      </c>
    </row>
    <row r="192" spans="1:7" ht="15">
      <c r="A192" s="123" t="s">
        <v>960</v>
      </c>
      <c r="B192" s="123">
        <v>3</v>
      </c>
      <c r="C192" s="125">
        <v>0.0015269914953934532</v>
      </c>
      <c r="D192" s="123" t="s">
        <v>1172</v>
      </c>
      <c r="E192" s="123" t="b">
        <v>0</v>
      </c>
      <c r="F192" s="123" t="b">
        <v>0</v>
      </c>
      <c r="G192" s="123" t="b">
        <v>0</v>
      </c>
    </row>
    <row r="193" spans="1:7" ht="15">
      <c r="A193" s="123" t="s">
        <v>961</v>
      </c>
      <c r="B193" s="123">
        <v>3</v>
      </c>
      <c r="C193" s="125">
        <v>0.0015269914953934532</v>
      </c>
      <c r="D193" s="123" t="s">
        <v>1172</v>
      </c>
      <c r="E193" s="123" t="b">
        <v>0</v>
      </c>
      <c r="F193" s="123" t="b">
        <v>0</v>
      </c>
      <c r="G193" s="123" t="b">
        <v>0</v>
      </c>
    </row>
    <row r="194" spans="1:7" ht="15">
      <c r="A194" s="123" t="s">
        <v>962</v>
      </c>
      <c r="B194" s="123">
        <v>3</v>
      </c>
      <c r="C194" s="125">
        <v>0.0015269914953934532</v>
      </c>
      <c r="D194" s="123" t="s">
        <v>1172</v>
      </c>
      <c r="E194" s="123" t="b">
        <v>0</v>
      </c>
      <c r="F194" s="123" t="b">
        <v>0</v>
      </c>
      <c r="G194" s="123" t="b">
        <v>0</v>
      </c>
    </row>
    <row r="195" spans="1:7" ht="15">
      <c r="A195" s="123" t="s">
        <v>963</v>
      </c>
      <c r="B195" s="123">
        <v>3</v>
      </c>
      <c r="C195" s="125">
        <v>0.0015269914953934532</v>
      </c>
      <c r="D195" s="123" t="s">
        <v>1172</v>
      </c>
      <c r="E195" s="123" t="b">
        <v>0</v>
      </c>
      <c r="F195" s="123" t="b">
        <v>0</v>
      </c>
      <c r="G195" s="123" t="b">
        <v>0</v>
      </c>
    </row>
    <row r="196" spans="1:7" ht="15">
      <c r="A196" s="123" t="s">
        <v>964</v>
      </c>
      <c r="B196" s="123">
        <v>3</v>
      </c>
      <c r="C196" s="125">
        <v>0.0015269914953934532</v>
      </c>
      <c r="D196" s="123" t="s">
        <v>1172</v>
      </c>
      <c r="E196" s="123" t="b">
        <v>0</v>
      </c>
      <c r="F196" s="123" t="b">
        <v>0</v>
      </c>
      <c r="G196" s="123" t="b">
        <v>0</v>
      </c>
    </row>
    <row r="197" spans="1:7" ht="15">
      <c r="A197" s="123" t="s">
        <v>965</v>
      </c>
      <c r="B197" s="123">
        <v>3</v>
      </c>
      <c r="C197" s="125">
        <v>0.0015269914953934532</v>
      </c>
      <c r="D197" s="123" t="s">
        <v>1172</v>
      </c>
      <c r="E197" s="123" t="b">
        <v>0</v>
      </c>
      <c r="F197" s="123" t="b">
        <v>0</v>
      </c>
      <c r="G197" s="123" t="b">
        <v>0</v>
      </c>
    </row>
    <row r="198" spans="1:7" ht="15">
      <c r="A198" s="123" t="s">
        <v>966</v>
      </c>
      <c r="B198" s="123">
        <v>3</v>
      </c>
      <c r="C198" s="125">
        <v>0.0017072897128566082</v>
      </c>
      <c r="D198" s="123" t="s">
        <v>1172</v>
      </c>
      <c r="E198" s="123" t="b">
        <v>0</v>
      </c>
      <c r="F198" s="123" t="b">
        <v>0</v>
      </c>
      <c r="G198" s="123" t="b">
        <v>0</v>
      </c>
    </row>
    <row r="199" spans="1:7" ht="15">
      <c r="A199" s="123" t="s">
        <v>967</v>
      </c>
      <c r="B199" s="123">
        <v>3</v>
      </c>
      <c r="C199" s="125">
        <v>0.0017072897128566082</v>
      </c>
      <c r="D199" s="123" t="s">
        <v>1172</v>
      </c>
      <c r="E199" s="123" t="b">
        <v>0</v>
      </c>
      <c r="F199" s="123" t="b">
        <v>0</v>
      </c>
      <c r="G199" s="123" t="b">
        <v>0</v>
      </c>
    </row>
    <row r="200" spans="1:7" ht="15">
      <c r="A200" s="123" t="s">
        <v>968</v>
      </c>
      <c r="B200" s="123">
        <v>3</v>
      </c>
      <c r="C200" s="125">
        <v>0.0017072897128566082</v>
      </c>
      <c r="D200" s="123" t="s">
        <v>1172</v>
      </c>
      <c r="E200" s="123" t="b">
        <v>0</v>
      </c>
      <c r="F200" s="123" t="b">
        <v>0</v>
      </c>
      <c r="G200" s="123" t="b">
        <v>0</v>
      </c>
    </row>
    <row r="201" spans="1:7" ht="15">
      <c r="A201" s="123" t="s">
        <v>969</v>
      </c>
      <c r="B201" s="123">
        <v>3</v>
      </c>
      <c r="C201" s="125">
        <v>0.0015269914953934532</v>
      </c>
      <c r="D201" s="123" t="s">
        <v>1172</v>
      </c>
      <c r="E201" s="123" t="b">
        <v>0</v>
      </c>
      <c r="F201" s="123" t="b">
        <v>0</v>
      </c>
      <c r="G201" s="123" t="b">
        <v>0</v>
      </c>
    </row>
    <row r="202" spans="1:7" ht="15">
      <c r="A202" s="123" t="s">
        <v>970</v>
      </c>
      <c r="B202" s="123">
        <v>3</v>
      </c>
      <c r="C202" s="125">
        <v>0.0017072897128566082</v>
      </c>
      <c r="D202" s="123" t="s">
        <v>1172</v>
      </c>
      <c r="E202" s="123" t="b">
        <v>0</v>
      </c>
      <c r="F202" s="123" t="b">
        <v>0</v>
      </c>
      <c r="G202" s="123" t="b">
        <v>0</v>
      </c>
    </row>
    <row r="203" spans="1:7" ht="15">
      <c r="A203" s="123" t="s">
        <v>971</v>
      </c>
      <c r="B203" s="123">
        <v>3</v>
      </c>
      <c r="C203" s="125">
        <v>0.0015269914953934532</v>
      </c>
      <c r="D203" s="123" t="s">
        <v>1172</v>
      </c>
      <c r="E203" s="123" t="b">
        <v>0</v>
      </c>
      <c r="F203" s="123" t="b">
        <v>0</v>
      </c>
      <c r="G203" s="123" t="b">
        <v>0</v>
      </c>
    </row>
    <row r="204" spans="1:7" ht="15">
      <c r="A204" s="123" t="s">
        <v>972</v>
      </c>
      <c r="B204" s="123">
        <v>3</v>
      </c>
      <c r="C204" s="125">
        <v>0.0015269914953934532</v>
      </c>
      <c r="D204" s="123" t="s">
        <v>1172</v>
      </c>
      <c r="E204" s="123" t="b">
        <v>0</v>
      </c>
      <c r="F204" s="123" t="b">
        <v>0</v>
      </c>
      <c r="G204" s="123" t="b">
        <v>0</v>
      </c>
    </row>
    <row r="205" spans="1:7" ht="15">
      <c r="A205" s="123" t="s">
        <v>973</v>
      </c>
      <c r="B205" s="123">
        <v>3</v>
      </c>
      <c r="C205" s="125">
        <v>0.0015269914953934532</v>
      </c>
      <c r="D205" s="123" t="s">
        <v>1172</v>
      </c>
      <c r="E205" s="123" t="b">
        <v>0</v>
      </c>
      <c r="F205" s="123" t="b">
        <v>0</v>
      </c>
      <c r="G205" s="123" t="b">
        <v>0</v>
      </c>
    </row>
    <row r="206" spans="1:7" ht="15">
      <c r="A206" s="123" t="s">
        <v>974</v>
      </c>
      <c r="B206" s="123">
        <v>3</v>
      </c>
      <c r="C206" s="125">
        <v>0.0015269914953934532</v>
      </c>
      <c r="D206" s="123" t="s">
        <v>1172</v>
      </c>
      <c r="E206" s="123" t="b">
        <v>0</v>
      </c>
      <c r="F206" s="123" t="b">
        <v>0</v>
      </c>
      <c r="G206" s="123" t="b">
        <v>0</v>
      </c>
    </row>
    <row r="207" spans="1:7" ht="15">
      <c r="A207" s="123" t="s">
        <v>975</v>
      </c>
      <c r="B207" s="123">
        <v>3</v>
      </c>
      <c r="C207" s="125">
        <v>0.0015269914953934532</v>
      </c>
      <c r="D207" s="123" t="s">
        <v>1172</v>
      </c>
      <c r="E207" s="123" t="b">
        <v>0</v>
      </c>
      <c r="F207" s="123" t="b">
        <v>0</v>
      </c>
      <c r="G207" s="123" t="b">
        <v>0</v>
      </c>
    </row>
    <row r="208" spans="1:7" ht="15">
      <c r="A208" s="123" t="s">
        <v>976</v>
      </c>
      <c r="B208" s="123">
        <v>3</v>
      </c>
      <c r="C208" s="125">
        <v>0.0017072897128566082</v>
      </c>
      <c r="D208" s="123" t="s">
        <v>1172</v>
      </c>
      <c r="E208" s="123" t="b">
        <v>0</v>
      </c>
      <c r="F208" s="123" t="b">
        <v>0</v>
      </c>
      <c r="G208" s="123" t="b">
        <v>0</v>
      </c>
    </row>
    <row r="209" spans="1:7" ht="15">
      <c r="A209" s="123" t="s">
        <v>977</v>
      </c>
      <c r="B209" s="123">
        <v>3</v>
      </c>
      <c r="C209" s="125">
        <v>0.0015269914953934532</v>
      </c>
      <c r="D209" s="123" t="s">
        <v>1172</v>
      </c>
      <c r="E209" s="123" t="b">
        <v>0</v>
      </c>
      <c r="F209" s="123" t="b">
        <v>0</v>
      </c>
      <c r="G209" s="123" t="b">
        <v>0</v>
      </c>
    </row>
    <row r="210" spans="1:7" ht="15">
      <c r="A210" s="123" t="s">
        <v>978</v>
      </c>
      <c r="B210" s="123">
        <v>3</v>
      </c>
      <c r="C210" s="125">
        <v>0.0020155115514204113</v>
      </c>
      <c r="D210" s="123" t="s">
        <v>1172</v>
      </c>
      <c r="E210" s="123" t="b">
        <v>0</v>
      </c>
      <c r="F210" s="123" t="b">
        <v>0</v>
      </c>
      <c r="G210" s="123" t="b">
        <v>0</v>
      </c>
    </row>
    <row r="211" spans="1:7" ht="15">
      <c r="A211" s="123" t="s">
        <v>979</v>
      </c>
      <c r="B211" s="123">
        <v>3</v>
      </c>
      <c r="C211" s="125">
        <v>0.0015269914953934532</v>
      </c>
      <c r="D211" s="123" t="s">
        <v>1172</v>
      </c>
      <c r="E211" s="123" t="b">
        <v>1</v>
      </c>
      <c r="F211" s="123" t="b">
        <v>0</v>
      </c>
      <c r="G211" s="123" t="b">
        <v>0</v>
      </c>
    </row>
    <row r="212" spans="1:7" ht="15">
      <c r="A212" s="123" t="s">
        <v>980</v>
      </c>
      <c r="B212" s="123">
        <v>3</v>
      </c>
      <c r="C212" s="125">
        <v>0.0015269914953934532</v>
      </c>
      <c r="D212" s="123" t="s">
        <v>1172</v>
      </c>
      <c r="E212" s="123" t="b">
        <v>0</v>
      </c>
      <c r="F212" s="123" t="b">
        <v>1</v>
      </c>
      <c r="G212" s="123" t="b">
        <v>0</v>
      </c>
    </row>
    <row r="213" spans="1:7" ht="15">
      <c r="A213" s="123" t="s">
        <v>981</v>
      </c>
      <c r="B213" s="123">
        <v>3</v>
      </c>
      <c r="C213" s="125">
        <v>0.0017072897128566082</v>
      </c>
      <c r="D213" s="123" t="s">
        <v>1172</v>
      </c>
      <c r="E213" s="123" t="b">
        <v>0</v>
      </c>
      <c r="F213" s="123" t="b">
        <v>0</v>
      </c>
      <c r="G213" s="123" t="b">
        <v>0</v>
      </c>
    </row>
    <row r="214" spans="1:7" ht="15">
      <c r="A214" s="123" t="s">
        <v>982</v>
      </c>
      <c r="B214" s="123">
        <v>3</v>
      </c>
      <c r="C214" s="125">
        <v>0.0020155115514204113</v>
      </c>
      <c r="D214" s="123" t="s">
        <v>1172</v>
      </c>
      <c r="E214" s="123" t="b">
        <v>0</v>
      </c>
      <c r="F214" s="123" t="b">
        <v>0</v>
      </c>
      <c r="G214" s="123" t="b">
        <v>0</v>
      </c>
    </row>
    <row r="215" spans="1:7" ht="15">
      <c r="A215" s="123" t="s">
        <v>983</v>
      </c>
      <c r="B215" s="123">
        <v>3</v>
      </c>
      <c r="C215" s="125">
        <v>0.0020155115514204113</v>
      </c>
      <c r="D215" s="123" t="s">
        <v>1172</v>
      </c>
      <c r="E215" s="123" t="b">
        <v>0</v>
      </c>
      <c r="F215" s="123" t="b">
        <v>0</v>
      </c>
      <c r="G215" s="123" t="b">
        <v>0</v>
      </c>
    </row>
    <row r="216" spans="1:7" ht="15">
      <c r="A216" s="123" t="s">
        <v>984</v>
      </c>
      <c r="B216" s="123">
        <v>3</v>
      </c>
      <c r="C216" s="125">
        <v>0.0017072897128566082</v>
      </c>
      <c r="D216" s="123" t="s">
        <v>1172</v>
      </c>
      <c r="E216" s="123" t="b">
        <v>0</v>
      </c>
      <c r="F216" s="123" t="b">
        <v>1</v>
      </c>
      <c r="G216" s="123" t="b">
        <v>0</v>
      </c>
    </row>
    <row r="217" spans="1:7" ht="15">
      <c r="A217" s="123" t="s">
        <v>985</v>
      </c>
      <c r="B217" s="123">
        <v>3</v>
      </c>
      <c r="C217" s="125">
        <v>0.0020155115514204113</v>
      </c>
      <c r="D217" s="123" t="s">
        <v>1172</v>
      </c>
      <c r="E217" s="123" t="b">
        <v>0</v>
      </c>
      <c r="F217" s="123" t="b">
        <v>0</v>
      </c>
      <c r="G217" s="123" t="b">
        <v>0</v>
      </c>
    </row>
    <row r="218" spans="1:7" ht="15">
      <c r="A218" s="123" t="s">
        <v>986</v>
      </c>
      <c r="B218" s="123">
        <v>3</v>
      </c>
      <c r="C218" s="125">
        <v>0.0015269914953934532</v>
      </c>
      <c r="D218" s="123" t="s">
        <v>1172</v>
      </c>
      <c r="E218" s="123" t="b">
        <v>0</v>
      </c>
      <c r="F218" s="123" t="b">
        <v>0</v>
      </c>
      <c r="G218" s="123" t="b">
        <v>0</v>
      </c>
    </row>
    <row r="219" spans="1:7" ht="15">
      <c r="A219" s="123" t="s">
        <v>987</v>
      </c>
      <c r="B219" s="123">
        <v>3</v>
      </c>
      <c r="C219" s="125">
        <v>0.0015269914953934532</v>
      </c>
      <c r="D219" s="123" t="s">
        <v>1172</v>
      </c>
      <c r="E219" s="123" t="b">
        <v>0</v>
      </c>
      <c r="F219" s="123" t="b">
        <v>0</v>
      </c>
      <c r="G219" s="123" t="b">
        <v>0</v>
      </c>
    </row>
    <row r="220" spans="1:7" ht="15">
      <c r="A220" s="123" t="s">
        <v>988</v>
      </c>
      <c r="B220" s="123">
        <v>3</v>
      </c>
      <c r="C220" s="125">
        <v>0.0015269914953934532</v>
      </c>
      <c r="D220" s="123" t="s">
        <v>1172</v>
      </c>
      <c r="E220" s="123" t="b">
        <v>0</v>
      </c>
      <c r="F220" s="123" t="b">
        <v>0</v>
      </c>
      <c r="G220" s="123" t="b">
        <v>0</v>
      </c>
    </row>
    <row r="221" spans="1:7" ht="15">
      <c r="A221" s="123" t="s">
        <v>989</v>
      </c>
      <c r="B221" s="123">
        <v>3</v>
      </c>
      <c r="C221" s="125">
        <v>0.0015269914953934532</v>
      </c>
      <c r="D221" s="123" t="s">
        <v>1172</v>
      </c>
      <c r="E221" s="123" t="b">
        <v>0</v>
      </c>
      <c r="F221" s="123" t="b">
        <v>0</v>
      </c>
      <c r="G221" s="123" t="b">
        <v>0</v>
      </c>
    </row>
    <row r="222" spans="1:7" ht="15">
      <c r="A222" s="123" t="s">
        <v>990</v>
      </c>
      <c r="B222" s="123">
        <v>3</v>
      </c>
      <c r="C222" s="125">
        <v>0.0015269914953934532</v>
      </c>
      <c r="D222" s="123" t="s">
        <v>1172</v>
      </c>
      <c r="E222" s="123" t="b">
        <v>0</v>
      </c>
      <c r="F222" s="123" t="b">
        <v>0</v>
      </c>
      <c r="G222" s="123" t="b">
        <v>0</v>
      </c>
    </row>
    <row r="223" spans="1:7" ht="15">
      <c r="A223" s="123" t="s">
        <v>991</v>
      </c>
      <c r="B223" s="123">
        <v>3</v>
      </c>
      <c r="C223" s="125">
        <v>0.0015269914953934532</v>
      </c>
      <c r="D223" s="123" t="s">
        <v>1172</v>
      </c>
      <c r="E223" s="123" t="b">
        <v>0</v>
      </c>
      <c r="F223" s="123" t="b">
        <v>0</v>
      </c>
      <c r="G223" s="123" t="b">
        <v>0</v>
      </c>
    </row>
    <row r="224" spans="1:7" ht="15">
      <c r="A224" s="123" t="s">
        <v>992</v>
      </c>
      <c r="B224" s="123">
        <v>3</v>
      </c>
      <c r="C224" s="125">
        <v>0.0017072897128566082</v>
      </c>
      <c r="D224" s="123" t="s">
        <v>1172</v>
      </c>
      <c r="E224" s="123" t="b">
        <v>0</v>
      </c>
      <c r="F224" s="123" t="b">
        <v>0</v>
      </c>
      <c r="G224" s="123" t="b">
        <v>0</v>
      </c>
    </row>
    <row r="225" spans="1:7" ht="15">
      <c r="A225" s="123" t="s">
        <v>993</v>
      </c>
      <c r="B225" s="123">
        <v>3</v>
      </c>
      <c r="C225" s="125">
        <v>0.0017072897128566082</v>
      </c>
      <c r="D225" s="123" t="s">
        <v>1172</v>
      </c>
      <c r="E225" s="123" t="b">
        <v>0</v>
      </c>
      <c r="F225" s="123" t="b">
        <v>0</v>
      </c>
      <c r="G225" s="123" t="b">
        <v>0</v>
      </c>
    </row>
    <row r="226" spans="1:7" ht="15">
      <c r="A226" s="123" t="s">
        <v>994</v>
      </c>
      <c r="B226" s="123">
        <v>3</v>
      </c>
      <c r="C226" s="125">
        <v>0.0017072897128566082</v>
      </c>
      <c r="D226" s="123" t="s">
        <v>1172</v>
      </c>
      <c r="E226" s="123" t="b">
        <v>0</v>
      </c>
      <c r="F226" s="123" t="b">
        <v>0</v>
      </c>
      <c r="G226" s="123" t="b">
        <v>0</v>
      </c>
    </row>
    <row r="227" spans="1:7" ht="15">
      <c r="A227" s="123" t="s">
        <v>995</v>
      </c>
      <c r="B227" s="123">
        <v>3</v>
      </c>
      <c r="C227" s="125">
        <v>0.0020155115514204113</v>
      </c>
      <c r="D227" s="123" t="s">
        <v>1172</v>
      </c>
      <c r="E227" s="123" t="b">
        <v>0</v>
      </c>
      <c r="F227" s="123" t="b">
        <v>0</v>
      </c>
      <c r="G227" s="123" t="b">
        <v>0</v>
      </c>
    </row>
    <row r="228" spans="1:7" ht="15">
      <c r="A228" s="123" t="s">
        <v>996</v>
      </c>
      <c r="B228" s="123">
        <v>2</v>
      </c>
      <c r="C228" s="125">
        <v>0.0011381931419044056</v>
      </c>
      <c r="D228" s="123" t="s">
        <v>1172</v>
      </c>
      <c r="E228" s="123" t="b">
        <v>0</v>
      </c>
      <c r="F228" s="123" t="b">
        <v>0</v>
      </c>
      <c r="G228" s="123" t="b">
        <v>0</v>
      </c>
    </row>
    <row r="229" spans="1:7" ht="15">
      <c r="A229" s="123" t="s">
        <v>997</v>
      </c>
      <c r="B229" s="123">
        <v>2</v>
      </c>
      <c r="C229" s="125">
        <v>0.0011381931419044056</v>
      </c>
      <c r="D229" s="123" t="s">
        <v>1172</v>
      </c>
      <c r="E229" s="123" t="b">
        <v>0</v>
      </c>
      <c r="F229" s="123" t="b">
        <v>0</v>
      </c>
      <c r="G229" s="123" t="b">
        <v>0</v>
      </c>
    </row>
    <row r="230" spans="1:7" ht="15">
      <c r="A230" s="123" t="s">
        <v>998</v>
      </c>
      <c r="B230" s="123">
        <v>2</v>
      </c>
      <c r="C230" s="125">
        <v>0.0011381931419044056</v>
      </c>
      <c r="D230" s="123" t="s">
        <v>1172</v>
      </c>
      <c r="E230" s="123" t="b">
        <v>0</v>
      </c>
      <c r="F230" s="123" t="b">
        <v>0</v>
      </c>
      <c r="G230" s="123" t="b">
        <v>0</v>
      </c>
    </row>
    <row r="231" spans="1:7" ht="15">
      <c r="A231" s="123" t="s">
        <v>999</v>
      </c>
      <c r="B231" s="123">
        <v>2</v>
      </c>
      <c r="C231" s="125">
        <v>0.0011381931419044056</v>
      </c>
      <c r="D231" s="123" t="s">
        <v>1172</v>
      </c>
      <c r="E231" s="123" t="b">
        <v>0</v>
      </c>
      <c r="F231" s="123" t="b">
        <v>0</v>
      </c>
      <c r="G231" s="123" t="b">
        <v>0</v>
      </c>
    </row>
    <row r="232" spans="1:7" ht="15">
      <c r="A232" s="123" t="s">
        <v>1000</v>
      </c>
      <c r="B232" s="123">
        <v>2</v>
      </c>
      <c r="C232" s="125">
        <v>0.0013436743676136075</v>
      </c>
      <c r="D232" s="123" t="s">
        <v>1172</v>
      </c>
      <c r="E232" s="123" t="b">
        <v>0</v>
      </c>
      <c r="F232" s="123" t="b">
        <v>0</v>
      </c>
      <c r="G232" s="123" t="b">
        <v>0</v>
      </c>
    </row>
    <row r="233" spans="1:7" ht="15">
      <c r="A233" s="123" t="s">
        <v>1001</v>
      </c>
      <c r="B233" s="123">
        <v>2</v>
      </c>
      <c r="C233" s="125">
        <v>0.0011381931419044056</v>
      </c>
      <c r="D233" s="123" t="s">
        <v>1172</v>
      </c>
      <c r="E233" s="123" t="b">
        <v>0</v>
      </c>
      <c r="F233" s="123" t="b">
        <v>0</v>
      </c>
      <c r="G233" s="123" t="b">
        <v>0</v>
      </c>
    </row>
    <row r="234" spans="1:7" ht="15">
      <c r="A234" s="123" t="s">
        <v>1002</v>
      </c>
      <c r="B234" s="123">
        <v>2</v>
      </c>
      <c r="C234" s="125">
        <v>0.0011381931419044056</v>
      </c>
      <c r="D234" s="123" t="s">
        <v>1172</v>
      </c>
      <c r="E234" s="123" t="b">
        <v>0</v>
      </c>
      <c r="F234" s="123" t="b">
        <v>0</v>
      </c>
      <c r="G234" s="123" t="b">
        <v>0</v>
      </c>
    </row>
    <row r="235" spans="1:7" ht="15">
      <c r="A235" s="123" t="s">
        <v>1003</v>
      </c>
      <c r="B235" s="123">
        <v>2</v>
      </c>
      <c r="C235" s="125">
        <v>0.0011381931419044056</v>
      </c>
      <c r="D235" s="123" t="s">
        <v>1172</v>
      </c>
      <c r="E235" s="123" t="b">
        <v>0</v>
      </c>
      <c r="F235" s="123" t="b">
        <v>0</v>
      </c>
      <c r="G235" s="123" t="b">
        <v>0</v>
      </c>
    </row>
    <row r="236" spans="1:7" ht="15">
      <c r="A236" s="123" t="s">
        <v>1004</v>
      </c>
      <c r="B236" s="123">
        <v>2</v>
      </c>
      <c r="C236" s="125">
        <v>0.0013436743676136075</v>
      </c>
      <c r="D236" s="123" t="s">
        <v>1172</v>
      </c>
      <c r="E236" s="123" t="b">
        <v>0</v>
      </c>
      <c r="F236" s="123" t="b">
        <v>0</v>
      </c>
      <c r="G236" s="123" t="b">
        <v>0</v>
      </c>
    </row>
    <row r="237" spans="1:7" ht="15">
      <c r="A237" s="123" t="s">
        <v>1005</v>
      </c>
      <c r="B237" s="123">
        <v>2</v>
      </c>
      <c r="C237" s="125">
        <v>0.0013436743676136075</v>
      </c>
      <c r="D237" s="123" t="s">
        <v>1172</v>
      </c>
      <c r="E237" s="123" t="b">
        <v>0</v>
      </c>
      <c r="F237" s="123" t="b">
        <v>0</v>
      </c>
      <c r="G237" s="123" t="b">
        <v>0</v>
      </c>
    </row>
    <row r="238" spans="1:7" ht="15">
      <c r="A238" s="123" t="s">
        <v>1006</v>
      </c>
      <c r="B238" s="123">
        <v>2</v>
      </c>
      <c r="C238" s="125">
        <v>0.0011381931419044056</v>
      </c>
      <c r="D238" s="123" t="s">
        <v>1172</v>
      </c>
      <c r="E238" s="123" t="b">
        <v>0</v>
      </c>
      <c r="F238" s="123" t="b">
        <v>0</v>
      </c>
      <c r="G238" s="123" t="b">
        <v>0</v>
      </c>
    </row>
    <row r="239" spans="1:7" ht="15">
      <c r="A239" s="123" t="s">
        <v>1007</v>
      </c>
      <c r="B239" s="123">
        <v>2</v>
      </c>
      <c r="C239" s="125">
        <v>0.0011381931419044056</v>
      </c>
      <c r="D239" s="123" t="s">
        <v>1172</v>
      </c>
      <c r="E239" s="123" t="b">
        <v>0</v>
      </c>
      <c r="F239" s="123" t="b">
        <v>0</v>
      </c>
      <c r="G239" s="123" t="b">
        <v>0</v>
      </c>
    </row>
    <row r="240" spans="1:7" ht="15">
      <c r="A240" s="123" t="s">
        <v>1008</v>
      </c>
      <c r="B240" s="123">
        <v>2</v>
      </c>
      <c r="C240" s="125">
        <v>0.0011381931419044056</v>
      </c>
      <c r="D240" s="123" t="s">
        <v>1172</v>
      </c>
      <c r="E240" s="123" t="b">
        <v>0</v>
      </c>
      <c r="F240" s="123" t="b">
        <v>0</v>
      </c>
      <c r="G240" s="123" t="b">
        <v>0</v>
      </c>
    </row>
    <row r="241" spans="1:7" ht="15">
      <c r="A241" s="123" t="s">
        <v>1009</v>
      </c>
      <c r="B241" s="123">
        <v>2</v>
      </c>
      <c r="C241" s="125">
        <v>0.0011381931419044056</v>
      </c>
      <c r="D241" s="123" t="s">
        <v>1172</v>
      </c>
      <c r="E241" s="123" t="b">
        <v>0</v>
      </c>
      <c r="F241" s="123" t="b">
        <v>0</v>
      </c>
      <c r="G241" s="123" t="b">
        <v>0</v>
      </c>
    </row>
    <row r="242" spans="1:7" ht="15">
      <c r="A242" s="123" t="s">
        <v>1010</v>
      </c>
      <c r="B242" s="123">
        <v>2</v>
      </c>
      <c r="C242" s="125">
        <v>0.0011381931419044056</v>
      </c>
      <c r="D242" s="123" t="s">
        <v>1172</v>
      </c>
      <c r="E242" s="123" t="b">
        <v>0</v>
      </c>
      <c r="F242" s="123" t="b">
        <v>0</v>
      </c>
      <c r="G242" s="123" t="b">
        <v>0</v>
      </c>
    </row>
    <row r="243" spans="1:7" ht="15">
      <c r="A243" s="123" t="s">
        <v>1011</v>
      </c>
      <c r="B243" s="123">
        <v>2</v>
      </c>
      <c r="C243" s="125">
        <v>0.0013436743676136075</v>
      </c>
      <c r="D243" s="123" t="s">
        <v>1172</v>
      </c>
      <c r="E243" s="123" t="b">
        <v>0</v>
      </c>
      <c r="F243" s="123" t="b">
        <v>0</v>
      </c>
      <c r="G243" s="123" t="b">
        <v>0</v>
      </c>
    </row>
    <row r="244" spans="1:7" ht="15">
      <c r="A244" s="123" t="s">
        <v>1012</v>
      </c>
      <c r="B244" s="123">
        <v>2</v>
      </c>
      <c r="C244" s="125">
        <v>0.0013436743676136075</v>
      </c>
      <c r="D244" s="123" t="s">
        <v>1172</v>
      </c>
      <c r="E244" s="123" t="b">
        <v>0</v>
      </c>
      <c r="F244" s="123" t="b">
        <v>0</v>
      </c>
      <c r="G244" s="123" t="b">
        <v>0</v>
      </c>
    </row>
    <row r="245" spans="1:7" ht="15">
      <c r="A245" s="123" t="s">
        <v>1013</v>
      </c>
      <c r="B245" s="123">
        <v>2</v>
      </c>
      <c r="C245" s="125">
        <v>0.0011381931419044056</v>
      </c>
      <c r="D245" s="123" t="s">
        <v>1172</v>
      </c>
      <c r="E245" s="123" t="b">
        <v>0</v>
      </c>
      <c r="F245" s="123" t="b">
        <v>0</v>
      </c>
      <c r="G245" s="123" t="b">
        <v>0</v>
      </c>
    </row>
    <row r="246" spans="1:7" ht="15">
      <c r="A246" s="123" t="s">
        <v>1014</v>
      </c>
      <c r="B246" s="123">
        <v>2</v>
      </c>
      <c r="C246" s="125">
        <v>0.0011381931419044056</v>
      </c>
      <c r="D246" s="123" t="s">
        <v>1172</v>
      </c>
      <c r="E246" s="123" t="b">
        <v>0</v>
      </c>
      <c r="F246" s="123" t="b">
        <v>0</v>
      </c>
      <c r="G246" s="123" t="b">
        <v>0</v>
      </c>
    </row>
    <row r="247" spans="1:7" ht="15">
      <c r="A247" s="123" t="s">
        <v>1015</v>
      </c>
      <c r="B247" s="123">
        <v>2</v>
      </c>
      <c r="C247" s="125">
        <v>0.0011381931419044056</v>
      </c>
      <c r="D247" s="123" t="s">
        <v>1172</v>
      </c>
      <c r="E247" s="123" t="b">
        <v>0</v>
      </c>
      <c r="F247" s="123" t="b">
        <v>0</v>
      </c>
      <c r="G247" s="123" t="b">
        <v>0</v>
      </c>
    </row>
    <row r="248" spans="1:7" ht="15">
      <c r="A248" s="123" t="s">
        <v>1016</v>
      </c>
      <c r="B248" s="123">
        <v>2</v>
      </c>
      <c r="C248" s="125">
        <v>0.0011381931419044056</v>
      </c>
      <c r="D248" s="123" t="s">
        <v>1172</v>
      </c>
      <c r="E248" s="123" t="b">
        <v>0</v>
      </c>
      <c r="F248" s="123" t="b">
        <v>0</v>
      </c>
      <c r="G248" s="123" t="b">
        <v>0</v>
      </c>
    </row>
    <row r="249" spans="1:7" ht="15">
      <c r="A249" s="123" t="s">
        <v>1017</v>
      </c>
      <c r="B249" s="123">
        <v>2</v>
      </c>
      <c r="C249" s="125">
        <v>0.0011381931419044056</v>
      </c>
      <c r="D249" s="123" t="s">
        <v>1172</v>
      </c>
      <c r="E249" s="123" t="b">
        <v>0</v>
      </c>
      <c r="F249" s="123" t="b">
        <v>0</v>
      </c>
      <c r="G249" s="123" t="b">
        <v>0</v>
      </c>
    </row>
    <row r="250" spans="1:7" ht="15">
      <c r="A250" s="123" t="s">
        <v>1018</v>
      </c>
      <c r="B250" s="123">
        <v>2</v>
      </c>
      <c r="C250" s="125">
        <v>0.0011381931419044056</v>
      </c>
      <c r="D250" s="123" t="s">
        <v>1172</v>
      </c>
      <c r="E250" s="123" t="b">
        <v>0</v>
      </c>
      <c r="F250" s="123" t="b">
        <v>0</v>
      </c>
      <c r="G250" s="123" t="b">
        <v>0</v>
      </c>
    </row>
    <row r="251" spans="1:7" ht="15">
      <c r="A251" s="123" t="s">
        <v>1019</v>
      </c>
      <c r="B251" s="123">
        <v>2</v>
      </c>
      <c r="C251" s="125">
        <v>0.0011381931419044056</v>
      </c>
      <c r="D251" s="123" t="s">
        <v>1172</v>
      </c>
      <c r="E251" s="123" t="b">
        <v>0</v>
      </c>
      <c r="F251" s="123" t="b">
        <v>0</v>
      </c>
      <c r="G251" s="123" t="b">
        <v>0</v>
      </c>
    </row>
    <row r="252" spans="1:7" ht="15">
      <c r="A252" s="123" t="s">
        <v>1020</v>
      </c>
      <c r="B252" s="123">
        <v>2</v>
      </c>
      <c r="C252" s="125">
        <v>0.0013436743676136075</v>
      </c>
      <c r="D252" s="123" t="s">
        <v>1172</v>
      </c>
      <c r="E252" s="123" t="b">
        <v>0</v>
      </c>
      <c r="F252" s="123" t="b">
        <v>0</v>
      </c>
      <c r="G252" s="123" t="b">
        <v>0</v>
      </c>
    </row>
    <row r="253" spans="1:7" ht="15">
      <c r="A253" s="123" t="s">
        <v>1021</v>
      </c>
      <c r="B253" s="123">
        <v>2</v>
      </c>
      <c r="C253" s="125">
        <v>0.0013436743676136075</v>
      </c>
      <c r="D253" s="123" t="s">
        <v>1172</v>
      </c>
      <c r="E253" s="123" t="b">
        <v>1</v>
      </c>
      <c r="F253" s="123" t="b">
        <v>0</v>
      </c>
      <c r="G253" s="123" t="b">
        <v>0</v>
      </c>
    </row>
    <row r="254" spans="1:7" ht="15">
      <c r="A254" s="123" t="s">
        <v>1022</v>
      </c>
      <c r="B254" s="123">
        <v>2</v>
      </c>
      <c r="C254" s="125">
        <v>0.0011381931419044056</v>
      </c>
      <c r="D254" s="123" t="s">
        <v>1172</v>
      </c>
      <c r="E254" s="123" t="b">
        <v>0</v>
      </c>
      <c r="F254" s="123" t="b">
        <v>0</v>
      </c>
      <c r="G254" s="123" t="b">
        <v>0</v>
      </c>
    </row>
    <row r="255" spans="1:7" ht="15">
      <c r="A255" s="123" t="s">
        <v>1023</v>
      </c>
      <c r="B255" s="123">
        <v>2</v>
      </c>
      <c r="C255" s="125">
        <v>0.0013436743676136075</v>
      </c>
      <c r="D255" s="123" t="s">
        <v>1172</v>
      </c>
      <c r="E255" s="123" t="b">
        <v>0</v>
      </c>
      <c r="F255" s="123" t="b">
        <v>0</v>
      </c>
      <c r="G255" s="123" t="b">
        <v>0</v>
      </c>
    </row>
    <row r="256" spans="1:7" ht="15">
      <c r="A256" s="123" t="s">
        <v>1024</v>
      </c>
      <c r="B256" s="123">
        <v>2</v>
      </c>
      <c r="C256" s="125">
        <v>0.0011381931419044056</v>
      </c>
      <c r="D256" s="123" t="s">
        <v>1172</v>
      </c>
      <c r="E256" s="123" t="b">
        <v>0</v>
      </c>
      <c r="F256" s="123" t="b">
        <v>0</v>
      </c>
      <c r="G256" s="123" t="b">
        <v>0</v>
      </c>
    </row>
    <row r="257" spans="1:7" ht="15">
      <c r="A257" s="123" t="s">
        <v>1025</v>
      </c>
      <c r="B257" s="123">
        <v>2</v>
      </c>
      <c r="C257" s="125">
        <v>0.0013436743676136075</v>
      </c>
      <c r="D257" s="123" t="s">
        <v>1172</v>
      </c>
      <c r="E257" s="123" t="b">
        <v>0</v>
      </c>
      <c r="F257" s="123" t="b">
        <v>0</v>
      </c>
      <c r="G257" s="123" t="b">
        <v>0</v>
      </c>
    </row>
    <row r="258" spans="1:7" ht="15">
      <c r="A258" s="123" t="s">
        <v>1026</v>
      </c>
      <c r="B258" s="123">
        <v>2</v>
      </c>
      <c r="C258" s="125">
        <v>0.0011381931419044056</v>
      </c>
      <c r="D258" s="123" t="s">
        <v>1172</v>
      </c>
      <c r="E258" s="123" t="b">
        <v>0</v>
      </c>
      <c r="F258" s="123" t="b">
        <v>0</v>
      </c>
      <c r="G258" s="123" t="b">
        <v>0</v>
      </c>
    </row>
    <row r="259" spans="1:7" ht="15">
      <c r="A259" s="123" t="s">
        <v>1027</v>
      </c>
      <c r="B259" s="123">
        <v>2</v>
      </c>
      <c r="C259" s="125">
        <v>0.0013436743676136075</v>
      </c>
      <c r="D259" s="123" t="s">
        <v>1172</v>
      </c>
      <c r="E259" s="123" t="b">
        <v>0</v>
      </c>
      <c r="F259" s="123" t="b">
        <v>0</v>
      </c>
      <c r="G259" s="123" t="b">
        <v>0</v>
      </c>
    </row>
    <row r="260" spans="1:7" ht="15">
      <c r="A260" s="123" t="s">
        <v>1028</v>
      </c>
      <c r="B260" s="123">
        <v>2</v>
      </c>
      <c r="C260" s="125">
        <v>0.0013436743676136075</v>
      </c>
      <c r="D260" s="123" t="s">
        <v>1172</v>
      </c>
      <c r="E260" s="123" t="b">
        <v>0</v>
      </c>
      <c r="F260" s="123" t="b">
        <v>0</v>
      </c>
      <c r="G260" s="123" t="b">
        <v>0</v>
      </c>
    </row>
    <row r="261" spans="1:7" ht="15">
      <c r="A261" s="123" t="s">
        <v>1029</v>
      </c>
      <c r="B261" s="123">
        <v>2</v>
      </c>
      <c r="C261" s="125">
        <v>0.0013436743676136075</v>
      </c>
      <c r="D261" s="123" t="s">
        <v>1172</v>
      </c>
      <c r="E261" s="123" t="b">
        <v>0</v>
      </c>
      <c r="F261" s="123" t="b">
        <v>0</v>
      </c>
      <c r="G261" s="123" t="b">
        <v>0</v>
      </c>
    </row>
    <row r="262" spans="1:7" ht="15">
      <c r="A262" s="123" t="s">
        <v>1030</v>
      </c>
      <c r="B262" s="123">
        <v>2</v>
      </c>
      <c r="C262" s="125">
        <v>0.0011381931419044056</v>
      </c>
      <c r="D262" s="123" t="s">
        <v>1172</v>
      </c>
      <c r="E262" s="123" t="b">
        <v>0</v>
      </c>
      <c r="F262" s="123" t="b">
        <v>0</v>
      </c>
      <c r="G262" s="123" t="b">
        <v>0</v>
      </c>
    </row>
    <row r="263" spans="1:7" ht="15">
      <c r="A263" s="123" t="s">
        <v>1031</v>
      </c>
      <c r="B263" s="123">
        <v>2</v>
      </c>
      <c r="C263" s="125">
        <v>0.0011381931419044056</v>
      </c>
      <c r="D263" s="123" t="s">
        <v>1172</v>
      </c>
      <c r="E263" s="123" t="b">
        <v>0</v>
      </c>
      <c r="F263" s="123" t="b">
        <v>0</v>
      </c>
      <c r="G263" s="123" t="b">
        <v>0</v>
      </c>
    </row>
    <row r="264" spans="1:7" ht="15">
      <c r="A264" s="123" t="s">
        <v>1032</v>
      </c>
      <c r="B264" s="123">
        <v>2</v>
      </c>
      <c r="C264" s="125">
        <v>0.0011381931419044056</v>
      </c>
      <c r="D264" s="123" t="s">
        <v>1172</v>
      </c>
      <c r="E264" s="123" t="b">
        <v>0</v>
      </c>
      <c r="F264" s="123" t="b">
        <v>0</v>
      </c>
      <c r="G264" s="123" t="b">
        <v>0</v>
      </c>
    </row>
    <row r="265" spans="1:7" ht="15">
      <c r="A265" s="123" t="s">
        <v>1033</v>
      </c>
      <c r="B265" s="123">
        <v>2</v>
      </c>
      <c r="C265" s="125">
        <v>0.0013436743676136075</v>
      </c>
      <c r="D265" s="123" t="s">
        <v>1172</v>
      </c>
      <c r="E265" s="123" t="b">
        <v>0</v>
      </c>
      <c r="F265" s="123" t="b">
        <v>1</v>
      </c>
      <c r="G265" s="123" t="b">
        <v>0</v>
      </c>
    </row>
    <row r="266" spans="1:7" ht="15">
      <c r="A266" s="123" t="s">
        <v>1034</v>
      </c>
      <c r="B266" s="123">
        <v>2</v>
      </c>
      <c r="C266" s="125">
        <v>0.0011381931419044056</v>
      </c>
      <c r="D266" s="123" t="s">
        <v>1172</v>
      </c>
      <c r="E266" s="123" t="b">
        <v>0</v>
      </c>
      <c r="F266" s="123" t="b">
        <v>0</v>
      </c>
      <c r="G266" s="123" t="b">
        <v>0</v>
      </c>
    </row>
    <row r="267" spans="1:7" ht="15">
      <c r="A267" s="123" t="s">
        <v>1035</v>
      </c>
      <c r="B267" s="123">
        <v>2</v>
      </c>
      <c r="C267" s="125">
        <v>0.0013436743676136075</v>
      </c>
      <c r="D267" s="123" t="s">
        <v>1172</v>
      </c>
      <c r="E267" s="123" t="b">
        <v>0</v>
      </c>
      <c r="F267" s="123" t="b">
        <v>0</v>
      </c>
      <c r="G267" s="123" t="b">
        <v>0</v>
      </c>
    </row>
    <row r="268" spans="1:7" ht="15">
      <c r="A268" s="123" t="s">
        <v>1036</v>
      </c>
      <c r="B268" s="123">
        <v>2</v>
      </c>
      <c r="C268" s="125">
        <v>0.0011381931419044056</v>
      </c>
      <c r="D268" s="123" t="s">
        <v>1172</v>
      </c>
      <c r="E268" s="123" t="b">
        <v>0</v>
      </c>
      <c r="F268" s="123" t="b">
        <v>1</v>
      </c>
      <c r="G268" s="123" t="b">
        <v>0</v>
      </c>
    </row>
    <row r="269" spans="1:7" ht="15">
      <c r="A269" s="123" t="s">
        <v>1037</v>
      </c>
      <c r="B269" s="123">
        <v>2</v>
      </c>
      <c r="C269" s="125">
        <v>0.0011381931419044056</v>
      </c>
      <c r="D269" s="123" t="s">
        <v>1172</v>
      </c>
      <c r="E269" s="123" t="b">
        <v>0</v>
      </c>
      <c r="F269" s="123" t="b">
        <v>0</v>
      </c>
      <c r="G269" s="123" t="b">
        <v>0</v>
      </c>
    </row>
    <row r="270" spans="1:7" ht="15">
      <c r="A270" s="123" t="s">
        <v>1038</v>
      </c>
      <c r="B270" s="123">
        <v>2</v>
      </c>
      <c r="C270" s="125">
        <v>0.0013436743676136075</v>
      </c>
      <c r="D270" s="123" t="s">
        <v>1172</v>
      </c>
      <c r="E270" s="123" t="b">
        <v>0</v>
      </c>
      <c r="F270" s="123" t="b">
        <v>1</v>
      </c>
      <c r="G270" s="123" t="b">
        <v>0</v>
      </c>
    </row>
    <row r="271" spans="1:7" ht="15">
      <c r="A271" s="123" t="s">
        <v>1039</v>
      </c>
      <c r="B271" s="123">
        <v>2</v>
      </c>
      <c r="C271" s="125">
        <v>0.0011381931419044056</v>
      </c>
      <c r="D271" s="123" t="s">
        <v>1172</v>
      </c>
      <c r="E271" s="123" t="b">
        <v>0</v>
      </c>
      <c r="F271" s="123" t="b">
        <v>0</v>
      </c>
      <c r="G271" s="123" t="b">
        <v>0</v>
      </c>
    </row>
    <row r="272" spans="1:7" ht="15">
      <c r="A272" s="123" t="s">
        <v>1040</v>
      </c>
      <c r="B272" s="123">
        <v>2</v>
      </c>
      <c r="C272" s="125">
        <v>0.0011381931419044056</v>
      </c>
      <c r="D272" s="123" t="s">
        <v>1172</v>
      </c>
      <c r="E272" s="123" t="b">
        <v>0</v>
      </c>
      <c r="F272" s="123" t="b">
        <v>1</v>
      </c>
      <c r="G272" s="123" t="b">
        <v>0</v>
      </c>
    </row>
    <row r="273" spans="1:7" ht="15">
      <c r="A273" s="123" t="s">
        <v>1041</v>
      </c>
      <c r="B273" s="123">
        <v>2</v>
      </c>
      <c r="C273" s="125">
        <v>0.0011381931419044056</v>
      </c>
      <c r="D273" s="123" t="s">
        <v>1172</v>
      </c>
      <c r="E273" s="123" t="b">
        <v>0</v>
      </c>
      <c r="F273" s="123" t="b">
        <v>0</v>
      </c>
      <c r="G273" s="123" t="b">
        <v>0</v>
      </c>
    </row>
    <row r="274" spans="1:7" ht="15">
      <c r="A274" s="123" t="s">
        <v>1042</v>
      </c>
      <c r="B274" s="123">
        <v>2</v>
      </c>
      <c r="C274" s="125">
        <v>0.0011381931419044056</v>
      </c>
      <c r="D274" s="123" t="s">
        <v>1172</v>
      </c>
      <c r="E274" s="123" t="b">
        <v>0</v>
      </c>
      <c r="F274" s="123" t="b">
        <v>1</v>
      </c>
      <c r="G274" s="123" t="b">
        <v>0</v>
      </c>
    </row>
    <row r="275" spans="1:7" ht="15">
      <c r="A275" s="123" t="s">
        <v>1043</v>
      </c>
      <c r="B275" s="123">
        <v>2</v>
      </c>
      <c r="C275" s="125">
        <v>0.0011381931419044056</v>
      </c>
      <c r="D275" s="123" t="s">
        <v>1172</v>
      </c>
      <c r="E275" s="123" t="b">
        <v>0</v>
      </c>
      <c r="F275" s="123" t="b">
        <v>0</v>
      </c>
      <c r="G275" s="123" t="b">
        <v>0</v>
      </c>
    </row>
    <row r="276" spans="1:7" ht="15">
      <c r="A276" s="123" t="s">
        <v>1044</v>
      </c>
      <c r="B276" s="123">
        <v>2</v>
      </c>
      <c r="C276" s="125">
        <v>0.0011381931419044056</v>
      </c>
      <c r="D276" s="123" t="s">
        <v>1172</v>
      </c>
      <c r="E276" s="123" t="b">
        <v>0</v>
      </c>
      <c r="F276" s="123" t="b">
        <v>0</v>
      </c>
      <c r="G276" s="123" t="b">
        <v>0</v>
      </c>
    </row>
    <row r="277" spans="1:7" ht="15">
      <c r="A277" s="123" t="s">
        <v>1045</v>
      </c>
      <c r="B277" s="123">
        <v>2</v>
      </c>
      <c r="C277" s="125">
        <v>0.0013436743676136075</v>
      </c>
      <c r="D277" s="123" t="s">
        <v>1172</v>
      </c>
      <c r="E277" s="123" t="b">
        <v>0</v>
      </c>
      <c r="F277" s="123" t="b">
        <v>0</v>
      </c>
      <c r="G277" s="123" t="b">
        <v>0</v>
      </c>
    </row>
    <row r="278" spans="1:7" ht="15">
      <c r="A278" s="123" t="s">
        <v>1046</v>
      </c>
      <c r="B278" s="123">
        <v>2</v>
      </c>
      <c r="C278" s="125">
        <v>0.0013436743676136075</v>
      </c>
      <c r="D278" s="123" t="s">
        <v>1172</v>
      </c>
      <c r="E278" s="123" t="b">
        <v>0</v>
      </c>
      <c r="F278" s="123" t="b">
        <v>0</v>
      </c>
      <c r="G278" s="123" t="b">
        <v>0</v>
      </c>
    </row>
    <row r="279" spans="1:7" ht="15">
      <c r="A279" s="123" t="s">
        <v>1047</v>
      </c>
      <c r="B279" s="123">
        <v>2</v>
      </c>
      <c r="C279" s="125">
        <v>0.0011381931419044056</v>
      </c>
      <c r="D279" s="123" t="s">
        <v>1172</v>
      </c>
      <c r="E279" s="123" t="b">
        <v>0</v>
      </c>
      <c r="F279" s="123" t="b">
        <v>1</v>
      </c>
      <c r="G279" s="123" t="b">
        <v>0</v>
      </c>
    </row>
    <row r="280" spans="1:7" ht="15">
      <c r="A280" s="123" t="s">
        <v>1048</v>
      </c>
      <c r="B280" s="123">
        <v>2</v>
      </c>
      <c r="C280" s="125">
        <v>0.0011381931419044056</v>
      </c>
      <c r="D280" s="123" t="s">
        <v>1172</v>
      </c>
      <c r="E280" s="123" t="b">
        <v>0</v>
      </c>
      <c r="F280" s="123" t="b">
        <v>0</v>
      </c>
      <c r="G280" s="123" t="b">
        <v>0</v>
      </c>
    </row>
    <row r="281" spans="1:7" ht="15">
      <c r="A281" s="123" t="s">
        <v>1049</v>
      </c>
      <c r="B281" s="123">
        <v>2</v>
      </c>
      <c r="C281" s="125">
        <v>0.0013436743676136075</v>
      </c>
      <c r="D281" s="123" t="s">
        <v>1172</v>
      </c>
      <c r="E281" s="123" t="b">
        <v>0</v>
      </c>
      <c r="F281" s="123" t="b">
        <v>0</v>
      </c>
      <c r="G281" s="123" t="b">
        <v>0</v>
      </c>
    </row>
    <row r="282" spans="1:7" ht="15">
      <c r="A282" s="123" t="s">
        <v>1050</v>
      </c>
      <c r="B282" s="123">
        <v>2</v>
      </c>
      <c r="C282" s="125">
        <v>0.0011381931419044056</v>
      </c>
      <c r="D282" s="123" t="s">
        <v>1172</v>
      </c>
      <c r="E282" s="123" t="b">
        <v>0</v>
      </c>
      <c r="F282" s="123" t="b">
        <v>0</v>
      </c>
      <c r="G282" s="123" t="b">
        <v>0</v>
      </c>
    </row>
    <row r="283" spans="1:7" ht="15">
      <c r="A283" s="123" t="s">
        <v>1051</v>
      </c>
      <c r="B283" s="123">
        <v>2</v>
      </c>
      <c r="C283" s="125">
        <v>0.0013436743676136075</v>
      </c>
      <c r="D283" s="123" t="s">
        <v>1172</v>
      </c>
      <c r="E283" s="123" t="b">
        <v>0</v>
      </c>
      <c r="F283" s="123" t="b">
        <v>0</v>
      </c>
      <c r="G283" s="123" t="b">
        <v>0</v>
      </c>
    </row>
    <row r="284" spans="1:7" ht="15">
      <c r="A284" s="123" t="s">
        <v>1052</v>
      </c>
      <c r="B284" s="123">
        <v>2</v>
      </c>
      <c r="C284" s="125">
        <v>0.0013436743676136075</v>
      </c>
      <c r="D284" s="123" t="s">
        <v>1172</v>
      </c>
      <c r="E284" s="123" t="b">
        <v>0</v>
      </c>
      <c r="F284" s="123" t="b">
        <v>0</v>
      </c>
      <c r="G284" s="123" t="b">
        <v>0</v>
      </c>
    </row>
    <row r="285" spans="1:7" ht="15">
      <c r="A285" s="123" t="s">
        <v>1053</v>
      </c>
      <c r="B285" s="123">
        <v>2</v>
      </c>
      <c r="C285" s="125">
        <v>0.0013436743676136075</v>
      </c>
      <c r="D285" s="123" t="s">
        <v>1172</v>
      </c>
      <c r="E285" s="123" t="b">
        <v>0</v>
      </c>
      <c r="F285" s="123" t="b">
        <v>0</v>
      </c>
      <c r="G285" s="123" t="b">
        <v>0</v>
      </c>
    </row>
    <row r="286" spans="1:7" ht="15">
      <c r="A286" s="123" t="s">
        <v>1054</v>
      </c>
      <c r="B286" s="123">
        <v>2</v>
      </c>
      <c r="C286" s="125">
        <v>0.0011381931419044056</v>
      </c>
      <c r="D286" s="123" t="s">
        <v>1172</v>
      </c>
      <c r="E286" s="123" t="b">
        <v>0</v>
      </c>
      <c r="F286" s="123" t="b">
        <v>0</v>
      </c>
      <c r="G286" s="123" t="b">
        <v>0</v>
      </c>
    </row>
    <row r="287" spans="1:7" ht="15">
      <c r="A287" s="123" t="s">
        <v>1055</v>
      </c>
      <c r="B287" s="123">
        <v>2</v>
      </c>
      <c r="C287" s="125">
        <v>0.0011381931419044056</v>
      </c>
      <c r="D287" s="123" t="s">
        <v>1172</v>
      </c>
      <c r="E287" s="123" t="b">
        <v>1</v>
      </c>
      <c r="F287" s="123" t="b">
        <v>0</v>
      </c>
      <c r="G287" s="123" t="b">
        <v>0</v>
      </c>
    </row>
    <row r="288" spans="1:7" ht="15">
      <c r="A288" s="123" t="s">
        <v>1056</v>
      </c>
      <c r="B288" s="123">
        <v>2</v>
      </c>
      <c r="C288" s="125">
        <v>0.0011381931419044056</v>
      </c>
      <c r="D288" s="123" t="s">
        <v>1172</v>
      </c>
      <c r="E288" s="123" t="b">
        <v>0</v>
      </c>
      <c r="F288" s="123" t="b">
        <v>1</v>
      </c>
      <c r="G288" s="123" t="b">
        <v>0</v>
      </c>
    </row>
    <row r="289" spans="1:7" ht="15">
      <c r="A289" s="123" t="s">
        <v>1057</v>
      </c>
      <c r="B289" s="123">
        <v>2</v>
      </c>
      <c r="C289" s="125">
        <v>0.0011381931419044056</v>
      </c>
      <c r="D289" s="123" t="s">
        <v>1172</v>
      </c>
      <c r="E289" s="123" t="b">
        <v>0</v>
      </c>
      <c r="F289" s="123" t="b">
        <v>0</v>
      </c>
      <c r="G289" s="123" t="b">
        <v>0</v>
      </c>
    </row>
    <row r="290" spans="1:7" ht="15">
      <c r="A290" s="123" t="s">
        <v>1058</v>
      </c>
      <c r="B290" s="123">
        <v>2</v>
      </c>
      <c r="C290" s="125">
        <v>0.0011381931419044056</v>
      </c>
      <c r="D290" s="123" t="s">
        <v>1172</v>
      </c>
      <c r="E290" s="123" t="b">
        <v>0</v>
      </c>
      <c r="F290" s="123" t="b">
        <v>0</v>
      </c>
      <c r="G290" s="123" t="b">
        <v>0</v>
      </c>
    </row>
    <row r="291" spans="1:7" ht="15">
      <c r="A291" s="123" t="s">
        <v>1059</v>
      </c>
      <c r="B291" s="123">
        <v>2</v>
      </c>
      <c r="C291" s="125">
        <v>0.0013436743676136075</v>
      </c>
      <c r="D291" s="123" t="s">
        <v>1172</v>
      </c>
      <c r="E291" s="123" t="b">
        <v>0</v>
      </c>
      <c r="F291" s="123" t="b">
        <v>0</v>
      </c>
      <c r="G291" s="123" t="b">
        <v>0</v>
      </c>
    </row>
    <row r="292" spans="1:7" ht="15">
      <c r="A292" s="123" t="s">
        <v>1060</v>
      </c>
      <c r="B292" s="123">
        <v>2</v>
      </c>
      <c r="C292" s="125">
        <v>0.0011381931419044056</v>
      </c>
      <c r="D292" s="123" t="s">
        <v>1172</v>
      </c>
      <c r="E292" s="123" t="b">
        <v>0</v>
      </c>
      <c r="F292" s="123" t="b">
        <v>0</v>
      </c>
      <c r="G292" s="123" t="b">
        <v>0</v>
      </c>
    </row>
    <row r="293" spans="1:7" ht="15">
      <c r="A293" s="123" t="s">
        <v>1061</v>
      </c>
      <c r="B293" s="123">
        <v>2</v>
      </c>
      <c r="C293" s="125">
        <v>0.0011381931419044056</v>
      </c>
      <c r="D293" s="123" t="s">
        <v>1172</v>
      </c>
      <c r="E293" s="123" t="b">
        <v>0</v>
      </c>
      <c r="F293" s="123" t="b">
        <v>0</v>
      </c>
      <c r="G293" s="123" t="b">
        <v>0</v>
      </c>
    </row>
    <row r="294" spans="1:7" ht="15">
      <c r="A294" s="123" t="s">
        <v>1062</v>
      </c>
      <c r="B294" s="123">
        <v>2</v>
      </c>
      <c r="C294" s="125">
        <v>0.0013436743676136075</v>
      </c>
      <c r="D294" s="123" t="s">
        <v>1172</v>
      </c>
      <c r="E294" s="123" t="b">
        <v>0</v>
      </c>
      <c r="F294" s="123" t="b">
        <v>0</v>
      </c>
      <c r="G294" s="123" t="b">
        <v>0</v>
      </c>
    </row>
    <row r="295" spans="1:7" ht="15">
      <c r="A295" s="123" t="s">
        <v>1063</v>
      </c>
      <c r="B295" s="123">
        <v>2</v>
      </c>
      <c r="C295" s="125">
        <v>0.0013436743676136075</v>
      </c>
      <c r="D295" s="123" t="s">
        <v>1172</v>
      </c>
      <c r="E295" s="123" t="b">
        <v>0</v>
      </c>
      <c r="F295" s="123" t="b">
        <v>0</v>
      </c>
      <c r="G295" s="123" t="b">
        <v>0</v>
      </c>
    </row>
    <row r="296" spans="1:7" ht="15">
      <c r="A296" s="123" t="s">
        <v>1064</v>
      </c>
      <c r="B296" s="123">
        <v>2</v>
      </c>
      <c r="C296" s="125">
        <v>0.0011381931419044056</v>
      </c>
      <c r="D296" s="123" t="s">
        <v>1172</v>
      </c>
      <c r="E296" s="123" t="b">
        <v>0</v>
      </c>
      <c r="F296" s="123" t="b">
        <v>0</v>
      </c>
      <c r="G296" s="123" t="b">
        <v>0</v>
      </c>
    </row>
    <row r="297" spans="1:7" ht="15">
      <c r="A297" s="123" t="s">
        <v>1065</v>
      </c>
      <c r="B297" s="123">
        <v>2</v>
      </c>
      <c r="C297" s="125">
        <v>0.0011381931419044056</v>
      </c>
      <c r="D297" s="123" t="s">
        <v>1172</v>
      </c>
      <c r="E297" s="123" t="b">
        <v>0</v>
      </c>
      <c r="F297" s="123" t="b">
        <v>0</v>
      </c>
      <c r="G297" s="123" t="b">
        <v>0</v>
      </c>
    </row>
    <row r="298" spans="1:7" ht="15">
      <c r="A298" s="123" t="s">
        <v>1066</v>
      </c>
      <c r="B298" s="123">
        <v>2</v>
      </c>
      <c r="C298" s="125">
        <v>0.0011381931419044056</v>
      </c>
      <c r="D298" s="123" t="s">
        <v>1172</v>
      </c>
      <c r="E298" s="123" t="b">
        <v>0</v>
      </c>
      <c r="F298" s="123" t="b">
        <v>0</v>
      </c>
      <c r="G298" s="123" t="b">
        <v>0</v>
      </c>
    </row>
    <row r="299" spans="1:7" ht="15">
      <c r="A299" s="123" t="s">
        <v>1067</v>
      </c>
      <c r="B299" s="123">
        <v>2</v>
      </c>
      <c r="C299" s="125">
        <v>0.0011381931419044056</v>
      </c>
      <c r="D299" s="123" t="s">
        <v>1172</v>
      </c>
      <c r="E299" s="123" t="b">
        <v>0</v>
      </c>
      <c r="F299" s="123" t="b">
        <v>0</v>
      </c>
      <c r="G299" s="123" t="b">
        <v>0</v>
      </c>
    </row>
    <row r="300" spans="1:7" ht="15">
      <c r="A300" s="123" t="s">
        <v>1068</v>
      </c>
      <c r="B300" s="123">
        <v>2</v>
      </c>
      <c r="C300" s="125">
        <v>0.0011381931419044056</v>
      </c>
      <c r="D300" s="123" t="s">
        <v>1172</v>
      </c>
      <c r="E300" s="123" t="b">
        <v>0</v>
      </c>
      <c r="F300" s="123" t="b">
        <v>0</v>
      </c>
      <c r="G300" s="123" t="b">
        <v>0</v>
      </c>
    </row>
    <row r="301" spans="1:7" ht="15">
      <c r="A301" s="123" t="s">
        <v>1069</v>
      </c>
      <c r="B301" s="123">
        <v>2</v>
      </c>
      <c r="C301" s="125">
        <v>0.0011381931419044056</v>
      </c>
      <c r="D301" s="123" t="s">
        <v>1172</v>
      </c>
      <c r="E301" s="123" t="b">
        <v>0</v>
      </c>
      <c r="F301" s="123" t="b">
        <v>0</v>
      </c>
      <c r="G301" s="123" t="b">
        <v>0</v>
      </c>
    </row>
    <row r="302" spans="1:7" ht="15">
      <c r="A302" s="123" t="s">
        <v>1070</v>
      </c>
      <c r="B302" s="123">
        <v>2</v>
      </c>
      <c r="C302" s="125">
        <v>0.0011381931419044056</v>
      </c>
      <c r="D302" s="123" t="s">
        <v>1172</v>
      </c>
      <c r="E302" s="123" t="b">
        <v>0</v>
      </c>
      <c r="F302" s="123" t="b">
        <v>0</v>
      </c>
      <c r="G302" s="123" t="b">
        <v>0</v>
      </c>
    </row>
    <row r="303" spans="1:7" ht="15">
      <c r="A303" s="123" t="s">
        <v>1071</v>
      </c>
      <c r="B303" s="123">
        <v>2</v>
      </c>
      <c r="C303" s="125">
        <v>0.0011381931419044056</v>
      </c>
      <c r="D303" s="123" t="s">
        <v>1172</v>
      </c>
      <c r="E303" s="123" t="b">
        <v>0</v>
      </c>
      <c r="F303" s="123" t="b">
        <v>0</v>
      </c>
      <c r="G303" s="123" t="b">
        <v>0</v>
      </c>
    </row>
    <row r="304" spans="1:7" ht="15">
      <c r="A304" s="123" t="s">
        <v>1072</v>
      </c>
      <c r="B304" s="123">
        <v>2</v>
      </c>
      <c r="C304" s="125">
        <v>0.0011381931419044056</v>
      </c>
      <c r="D304" s="123" t="s">
        <v>1172</v>
      </c>
      <c r="E304" s="123" t="b">
        <v>0</v>
      </c>
      <c r="F304" s="123" t="b">
        <v>0</v>
      </c>
      <c r="G304" s="123" t="b">
        <v>0</v>
      </c>
    </row>
    <row r="305" spans="1:7" ht="15">
      <c r="A305" s="123" t="s">
        <v>1073</v>
      </c>
      <c r="B305" s="123">
        <v>2</v>
      </c>
      <c r="C305" s="125">
        <v>0.0011381931419044056</v>
      </c>
      <c r="D305" s="123" t="s">
        <v>1172</v>
      </c>
      <c r="E305" s="123" t="b">
        <v>0</v>
      </c>
      <c r="F305" s="123" t="b">
        <v>0</v>
      </c>
      <c r="G305" s="123" t="b">
        <v>0</v>
      </c>
    </row>
    <row r="306" spans="1:7" ht="15">
      <c r="A306" s="123" t="s">
        <v>1074</v>
      </c>
      <c r="B306" s="123">
        <v>2</v>
      </c>
      <c r="C306" s="125">
        <v>0.0011381931419044056</v>
      </c>
      <c r="D306" s="123" t="s">
        <v>1172</v>
      </c>
      <c r="E306" s="123" t="b">
        <v>0</v>
      </c>
      <c r="F306" s="123" t="b">
        <v>0</v>
      </c>
      <c r="G306" s="123" t="b">
        <v>0</v>
      </c>
    </row>
    <row r="307" spans="1:7" ht="15">
      <c r="A307" s="123" t="s">
        <v>1075</v>
      </c>
      <c r="B307" s="123">
        <v>2</v>
      </c>
      <c r="C307" s="125">
        <v>0.0011381931419044056</v>
      </c>
      <c r="D307" s="123" t="s">
        <v>1172</v>
      </c>
      <c r="E307" s="123" t="b">
        <v>0</v>
      </c>
      <c r="F307" s="123" t="b">
        <v>0</v>
      </c>
      <c r="G307" s="123" t="b">
        <v>0</v>
      </c>
    </row>
    <row r="308" spans="1:7" ht="15">
      <c r="A308" s="123" t="s">
        <v>1076</v>
      </c>
      <c r="B308" s="123">
        <v>2</v>
      </c>
      <c r="C308" s="125">
        <v>0.0013436743676136075</v>
      </c>
      <c r="D308" s="123" t="s">
        <v>1172</v>
      </c>
      <c r="E308" s="123" t="b">
        <v>0</v>
      </c>
      <c r="F308" s="123" t="b">
        <v>0</v>
      </c>
      <c r="G308" s="123" t="b">
        <v>0</v>
      </c>
    </row>
    <row r="309" spans="1:7" ht="15">
      <c r="A309" s="123" t="s">
        <v>1077</v>
      </c>
      <c r="B309" s="123">
        <v>2</v>
      </c>
      <c r="C309" s="125">
        <v>0.0011381931419044056</v>
      </c>
      <c r="D309" s="123" t="s">
        <v>1172</v>
      </c>
      <c r="E309" s="123" t="b">
        <v>0</v>
      </c>
      <c r="F309" s="123" t="b">
        <v>0</v>
      </c>
      <c r="G309" s="123" t="b">
        <v>0</v>
      </c>
    </row>
    <row r="310" spans="1:7" ht="15">
      <c r="A310" s="123" t="s">
        <v>1078</v>
      </c>
      <c r="B310" s="123">
        <v>2</v>
      </c>
      <c r="C310" s="125">
        <v>0.0011381931419044056</v>
      </c>
      <c r="D310" s="123" t="s">
        <v>1172</v>
      </c>
      <c r="E310" s="123" t="b">
        <v>0</v>
      </c>
      <c r="F310" s="123" t="b">
        <v>0</v>
      </c>
      <c r="G310" s="123" t="b">
        <v>0</v>
      </c>
    </row>
    <row r="311" spans="1:7" ht="15">
      <c r="A311" s="123" t="s">
        <v>1079</v>
      </c>
      <c r="B311" s="123">
        <v>2</v>
      </c>
      <c r="C311" s="125">
        <v>0.0011381931419044056</v>
      </c>
      <c r="D311" s="123" t="s">
        <v>1172</v>
      </c>
      <c r="E311" s="123" t="b">
        <v>0</v>
      </c>
      <c r="F311" s="123" t="b">
        <v>0</v>
      </c>
      <c r="G311" s="123" t="b">
        <v>0</v>
      </c>
    </row>
    <row r="312" spans="1:7" ht="15">
      <c r="A312" s="123" t="s">
        <v>1080</v>
      </c>
      <c r="B312" s="123">
        <v>2</v>
      </c>
      <c r="C312" s="125">
        <v>0.0011381931419044056</v>
      </c>
      <c r="D312" s="123" t="s">
        <v>1172</v>
      </c>
      <c r="E312" s="123" t="b">
        <v>0</v>
      </c>
      <c r="F312" s="123" t="b">
        <v>0</v>
      </c>
      <c r="G312" s="123" t="b">
        <v>0</v>
      </c>
    </row>
    <row r="313" spans="1:7" ht="15">
      <c r="A313" s="123" t="s">
        <v>1081</v>
      </c>
      <c r="B313" s="123">
        <v>2</v>
      </c>
      <c r="C313" s="125">
        <v>0.0011381931419044056</v>
      </c>
      <c r="D313" s="123" t="s">
        <v>1172</v>
      </c>
      <c r="E313" s="123" t="b">
        <v>0</v>
      </c>
      <c r="F313" s="123" t="b">
        <v>0</v>
      </c>
      <c r="G313" s="123" t="b">
        <v>0</v>
      </c>
    </row>
    <row r="314" spans="1:7" ht="15">
      <c r="A314" s="123" t="s">
        <v>1082</v>
      </c>
      <c r="B314" s="123">
        <v>2</v>
      </c>
      <c r="C314" s="125">
        <v>0.0013436743676136075</v>
      </c>
      <c r="D314" s="123" t="s">
        <v>1172</v>
      </c>
      <c r="E314" s="123" t="b">
        <v>0</v>
      </c>
      <c r="F314" s="123" t="b">
        <v>0</v>
      </c>
      <c r="G314" s="123" t="b">
        <v>0</v>
      </c>
    </row>
    <row r="315" spans="1:7" ht="15">
      <c r="A315" s="123" t="s">
        <v>1083</v>
      </c>
      <c r="B315" s="123">
        <v>2</v>
      </c>
      <c r="C315" s="125">
        <v>0.0011381931419044056</v>
      </c>
      <c r="D315" s="123" t="s">
        <v>1172</v>
      </c>
      <c r="E315" s="123" t="b">
        <v>0</v>
      </c>
      <c r="F315" s="123" t="b">
        <v>1</v>
      </c>
      <c r="G315" s="123" t="b">
        <v>0</v>
      </c>
    </row>
    <row r="316" spans="1:7" ht="15">
      <c r="A316" s="123" t="s">
        <v>1084</v>
      </c>
      <c r="B316" s="123">
        <v>2</v>
      </c>
      <c r="C316" s="125">
        <v>0.0011381931419044056</v>
      </c>
      <c r="D316" s="123" t="s">
        <v>1172</v>
      </c>
      <c r="E316" s="123" t="b">
        <v>0</v>
      </c>
      <c r="F316" s="123" t="b">
        <v>1</v>
      </c>
      <c r="G316" s="123" t="b">
        <v>0</v>
      </c>
    </row>
    <row r="317" spans="1:7" ht="15">
      <c r="A317" s="123" t="s">
        <v>1085</v>
      </c>
      <c r="B317" s="123">
        <v>2</v>
      </c>
      <c r="C317" s="125">
        <v>0.0011381931419044056</v>
      </c>
      <c r="D317" s="123" t="s">
        <v>1172</v>
      </c>
      <c r="E317" s="123" t="b">
        <v>0</v>
      </c>
      <c r="F317" s="123" t="b">
        <v>0</v>
      </c>
      <c r="G317" s="123" t="b">
        <v>0</v>
      </c>
    </row>
    <row r="318" spans="1:7" ht="15">
      <c r="A318" s="123" t="s">
        <v>1086</v>
      </c>
      <c r="B318" s="123">
        <v>2</v>
      </c>
      <c r="C318" s="125">
        <v>0.0011381931419044056</v>
      </c>
      <c r="D318" s="123" t="s">
        <v>1172</v>
      </c>
      <c r="E318" s="123" t="b">
        <v>0</v>
      </c>
      <c r="F318" s="123" t="b">
        <v>0</v>
      </c>
      <c r="G318" s="123" t="b">
        <v>0</v>
      </c>
    </row>
    <row r="319" spans="1:7" ht="15">
      <c r="A319" s="123" t="s">
        <v>1087</v>
      </c>
      <c r="B319" s="123">
        <v>2</v>
      </c>
      <c r="C319" s="125">
        <v>0.0011381931419044056</v>
      </c>
      <c r="D319" s="123" t="s">
        <v>1172</v>
      </c>
      <c r="E319" s="123" t="b">
        <v>0</v>
      </c>
      <c r="F319" s="123" t="b">
        <v>1</v>
      </c>
      <c r="G319" s="123" t="b">
        <v>0</v>
      </c>
    </row>
    <row r="320" spans="1:7" ht="15">
      <c r="A320" s="123" t="s">
        <v>1088</v>
      </c>
      <c r="B320" s="123">
        <v>2</v>
      </c>
      <c r="C320" s="125">
        <v>0.0011381931419044056</v>
      </c>
      <c r="D320" s="123" t="s">
        <v>1172</v>
      </c>
      <c r="E320" s="123" t="b">
        <v>0</v>
      </c>
      <c r="F320" s="123" t="b">
        <v>0</v>
      </c>
      <c r="G320" s="123" t="b">
        <v>0</v>
      </c>
    </row>
    <row r="321" spans="1:7" ht="15">
      <c r="A321" s="123" t="s">
        <v>1089</v>
      </c>
      <c r="B321" s="123">
        <v>2</v>
      </c>
      <c r="C321" s="125">
        <v>0.0013436743676136075</v>
      </c>
      <c r="D321" s="123" t="s">
        <v>1172</v>
      </c>
      <c r="E321" s="123" t="b">
        <v>0</v>
      </c>
      <c r="F321" s="123" t="b">
        <v>0</v>
      </c>
      <c r="G321" s="123" t="b">
        <v>0</v>
      </c>
    </row>
    <row r="322" spans="1:7" ht="15">
      <c r="A322" s="123" t="s">
        <v>1090</v>
      </c>
      <c r="B322" s="123">
        <v>2</v>
      </c>
      <c r="C322" s="125">
        <v>0.0013436743676136075</v>
      </c>
      <c r="D322" s="123" t="s">
        <v>1172</v>
      </c>
      <c r="E322" s="123" t="b">
        <v>0</v>
      </c>
      <c r="F322" s="123" t="b">
        <v>0</v>
      </c>
      <c r="G322" s="123" t="b">
        <v>0</v>
      </c>
    </row>
    <row r="323" spans="1:7" ht="15">
      <c r="A323" s="123" t="s">
        <v>1091</v>
      </c>
      <c r="B323" s="123">
        <v>2</v>
      </c>
      <c r="C323" s="125">
        <v>0.0013436743676136075</v>
      </c>
      <c r="D323" s="123" t="s">
        <v>1172</v>
      </c>
      <c r="E323" s="123" t="b">
        <v>0</v>
      </c>
      <c r="F323" s="123" t="b">
        <v>0</v>
      </c>
      <c r="G323" s="123" t="b">
        <v>0</v>
      </c>
    </row>
    <row r="324" spans="1:7" ht="15">
      <c r="A324" s="123" t="s">
        <v>1092</v>
      </c>
      <c r="B324" s="123">
        <v>2</v>
      </c>
      <c r="C324" s="125">
        <v>0.0011381931419044056</v>
      </c>
      <c r="D324" s="123" t="s">
        <v>1172</v>
      </c>
      <c r="E324" s="123" t="b">
        <v>0</v>
      </c>
      <c r="F324" s="123" t="b">
        <v>0</v>
      </c>
      <c r="G324" s="123" t="b">
        <v>0</v>
      </c>
    </row>
    <row r="325" spans="1:7" ht="15">
      <c r="A325" s="123" t="s">
        <v>1093</v>
      </c>
      <c r="B325" s="123">
        <v>2</v>
      </c>
      <c r="C325" s="125">
        <v>0.0011381931419044056</v>
      </c>
      <c r="D325" s="123" t="s">
        <v>1172</v>
      </c>
      <c r="E325" s="123" t="b">
        <v>0</v>
      </c>
      <c r="F325" s="123" t="b">
        <v>0</v>
      </c>
      <c r="G325" s="123" t="b">
        <v>0</v>
      </c>
    </row>
    <row r="326" spans="1:7" ht="15">
      <c r="A326" s="123" t="s">
        <v>1094</v>
      </c>
      <c r="B326" s="123">
        <v>2</v>
      </c>
      <c r="C326" s="125">
        <v>0.0011381931419044056</v>
      </c>
      <c r="D326" s="123" t="s">
        <v>1172</v>
      </c>
      <c r="E326" s="123" t="b">
        <v>0</v>
      </c>
      <c r="F326" s="123" t="b">
        <v>0</v>
      </c>
      <c r="G326" s="123" t="b">
        <v>0</v>
      </c>
    </row>
    <row r="327" spans="1:7" ht="15">
      <c r="A327" s="123" t="s">
        <v>1095</v>
      </c>
      <c r="B327" s="123">
        <v>2</v>
      </c>
      <c r="C327" s="125">
        <v>0.0011381931419044056</v>
      </c>
      <c r="D327" s="123" t="s">
        <v>1172</v>
      </c>
      <c r="E327" s="123" t="b">
        <v>0</v>
      </c>
      <c r="F327" s="123" t="b">
        <v>0</v>
      </c>
      <c r="G327" s="123" t="b">
        <v>0</v>
      </c>
    </row>
    <row r="328" spans="1:7" ht="15">
      <c r="A328" s="123" t="s">
        <v>1096</v>
      </c>
      <c r="B328" s="123">
        <v>2</v>
      </c>
      <c r="C328" s="125">
        <v>0.0011381931419044056</v>
      </c>
      <c r="D328" s="123" t="s">
        <v>1172</v>
      </c>
      <c r="E328" s="123" t="b">
        <v>0</v>
      </c>
      <c r="F328" s="123" t="b">
        <v>0</v>
      </c>
      <c r="G328" s="123" t="b">
        <v>0</v>
      </c>
    </row>
    <row r="329" spans="1:7" ht="15">
      <c r="A329" s="123" t="s">
        <v>1097</v>
      </c>
      <c r="B329" s="123">
        <v>2</v>
      </c>
      <c r="C329" s="125">
        <v>0.0011381931419044056</v>
      </c>
      <c r="D329" s="123" t="s">
        <v>1172</v>
      </c>
      <c r="E329" s="123" t="b">
        <v>0</v>
      </c>
      <c r="F329" s="123" t="b">
        <v>0</v>
      </c>
      <c r="G329" s="123" t="b">
        <v>0</v>
      </c>
    </row>
    <row r="330" spans="1:7" ht="15">
      <c r="A330" s="123" t="s">
        <v>1098</v>
      </c>
      <c r="B330" s="123">
        <v>2</v>
      </c>
      <c r="C330" s="125">
        <v>0.0011381931419044056</v>
      </c>
      <c r="D330" s="123" t="s">
        <v>1172</v>
      </c>
      <c r="E330" s="123" t="b">
        <v>0</v>
      </c>
      <c r="F330" s="123" t="b">
        <v>0</v>
      </c>
      <c r="G330" s="123" t="b">
        <v>0</v>
      </c>
    </row>
    <row r="331" spans="1:7" ht="15">
      <c r="A331" s="123" t="s">
        <v>1099</v>
      </c>
      <c r="B331" s="123">
        <v>2</v>
      </c>
      <c r="C331" s="125">
        <v>0.0011381931419044056</v>
      </c>
      <c r="D331" s="123" t="s">
        <v>1172</v>
      </c>
      <c r="E331" s="123" t="b">
        <v>0</v>
      </c>
      <c r="F331" s="123" t="b">
        <v>0</v>
      </c>
      <c r="G331" s="123" t="b">
        <v>0</v>
      </c>
    </row>
    <row r="332" spans="1:7" ht="15">
      <c r="A332" s="123" t="s">
        <v>1100</v>
      </c>
      <c r="B332" s="123">
        <v>2</v>
      </c>
      <c r="C332" s="125">
        <v>0.0011381931419044056</v>
      </c>
      <c r="D332" s="123" t="s">
        <v>1172</v>
      </c>
      <c r="E332" s="123" t="b">
        <v>0</v>
      </c>
      <c r="F332" s="123" t="b">
        <v>0</v>
      </c>
      <c r="G332" s="123" t="b">
        <v>0</v>
      </c>
    </row>
    <row r="333" spans="1:7" ht="15">
      <c r="A333" s="123" t="s">
        <v>1101</v>
      </c>
      <c r="B333" s="123">
        <v>2</v>
      </c>
      <c r="C333" s="125">
        <v>0.0013436743676136075</v>
      </c>
      <c r="D333" s="123" t="s">
        <v>1172</v>
      </c>
      <c r="E333" s="123" t="b">
        <v>0</v>
      </c>
      <c r="F333" s="123" t="b">
        <v>0</v>
      </c>
      <c r="G333" s="123" t="b">
        <v>0</v>
      </c>
    </row>
    <row r="334" spans="1:7" ht="15">
      <c r="A334" s="123" t="s">
        <v>1102</v>
      </c>
      <c r="B334" s="123">
        <v>2</v>
      </c>
      <c r="C334" s="125">
        <v>0.0013436743676136075</v>
      </c>
      <c r="D334" s="123" t="s">
        <v>1172</v>
      </c>
      <c r="E334" s="123" t="b">
        <v>0</v>
      </c>
      <c r="F334" s="123" t="b">
        <v>0</v>
      </c>
      <c r="G334" s="123" t="b">
        <v>0</v>
      </c>
    </row>
    <row r="335" spans="1:7" ht="15">
      <c r="A335" s="123" t="s">
        <v>1103</v>
      </c>
      <c r="B335" s="123">
        <v>2</v>
      </c>
      <c r="C335" s="125">
        <v>0.0011381931419044056</v>
      </c>
      <c r="D335" s="123" t="s">
        <v>1172</v>
      </c>
      <c r="E335" s="123" t="b">
        <v>0</v>
      </c>
      <c r="F335" s="123" t="b">
        <v>0</v>
      </c>
      <c r="G335" s="123" t="b">
        <v>0</v>
      </c>
    </row>
    <row r="336" spans="1:7" ht="15">
      <c r="A336" s="123" t="s">
        <v>1104</v>
      </c>
      <c r="B336" s="123">
        <v>2</v>
      </c>
      <c r="C336" s="125">
        <v>0.0011381931419044056</v>
      </c>
      <c r="D336" s="123" t="s">
        <v>1172</v>
      </c>
      <c r="E336" s="123" t="b">
        <v>0</v>
      </c>
      <c r="F336" s="123" t="b">
        <v>0</v>
      </c>
      <c r="G336" s="123" t="b">
        <v>0</v>
      </c>
    </row>
    <row r="337" spans="1:7" ht="15">
      <c r="A337" s="123" t="s">
        <v>1105</v>
      </c>
      <c r="B337" s="123">
        <v>2</v>
      </c>
      <c r="C337" s="125">
        <v>0.0013436743676136075</v>
      </c>
      <c r="D337" s="123" t="s">
        <v>1172</v>
      </c>
      <c r="E337" s="123" t="b">
        <v>0</v>
      </c>
      <c r="F337" s="123" t="b">
        <v>0</v>
      </c>
      <c r="G337" s="123" t="b">
        <v>0</v>
      </c>
    </row>
    <row r="338" spans="1:7" ht="15">
      <c r="A338" s="123" t="s">
        <v>1106</v>
      </c>
      <c r="B338" s="123">
        <v>2</v>
      </c>
      <c r="C338" s="125">
        <v>0.0013436743676136075</v>
      </c>
      <c r="D338" s="123" t="s">
        <v>1172</v>
      </c>
      <c r="E338" s="123" t="b">
        <v>0</v>
      </c>
      <c r="F338" s="123" t="b">
        <v>0</v>
      </c>
      <c r="G338" s="123" t="b">
        <v>0</v>
      </c>
    </row>
    <row r="339" spans="1:7" ht="15">
      <c r="A339" s="123" t="s">
        <v>1107</v>
      </c>
      <c r="B339" s="123">
        <v>2</v>
      </c>
      <c r="C339" s="125">
        <v>0.0011381931419044056</v>
      </c>
      <c r="D339" s="123" t="s">
        <v>1172</v>
      </c>
      <c r="E339" s="123" t="b">
        <v>0</v>
      </c>
      <c r="F339" s="123" t="b">
        <v>0</v>
      </c>
      <c r="G339" s="123" t="b">
        <v>0</v>
      </c>
    </row>
    <row r="340" spans="1:7" ht="15">
      <c r="A340" s="123" t="s">
        <v>1108</v>
      </c>
      <c r="B340" s="123">
        <v>2</v>
      </c>
      <c r="C340" s="125">
        <v>0.0013436743676136075</v>
      </c>
      <c r="D340" s="123" t="s">
        <v>1172</v>
      </c>
      <c r="E340" s="123" t="b">
        <v>0</v>
      </c>
      <c r="F340" s="123" t="b">
        <v>0</v>
      </c>
      <c r="G340" s="123" t="b">
        <v>0</v>
      </c>
    </row>
    <row r="341" spans="1:7" ht="15">
      <c r="A341" s="123" t="s">
        <v>1109</v>
      </c>
      <c r="B341" s="123">
        <v>2</v>
      </c>
      <c r="C341" s="125">
        <v>0.0013436743676136075</v>
      </c>
      <c r="D341" s="123" t="s">
        <v>1172</v>
      </c>
      <c r="E341" s="123" t="b">
        <v>0</v>
      </c>
      <c r="F341" s="123" t="b">
        <v>0</v>
      </c>
      <c r="G341" s="123" t="b">
        <v>0</v>
      </c>
    </row>
    <row r="342" spans="1:7" ht="15">
      <c r="A342" s="123" t="s">
        <v>1110</v>
      </c>
      <c r="B342" s="123">
        <v>2</v>
      </c>
      <c r="C342" s="125">
        <v>0.0011381931419044056</v>
      </c>
      <c r="D342" s="123" t="s">
        <v>1172</v>
      </c>
      <c r="E342" s="123" t="b">
        <v>0</v>
      </c>
      <c r="F342" s="123" t="b">
        <v>0</v>
      </c>
      <c r="G342" s="123" t="b">
        <v>0</v>
      </c>
    </row>
    <row r="343" spans="1:7" ht="15">
      <c r="A343" s="123" t="s">
        <v>1111</v>
      </c>
      <c r="B343" s="123">
        <v>2</v>
      </c>
      <c r="C343" s="125">
        <v>0.0013436743676136075</v>
      </c>
      <c r="D343" s="123" t="s">
        <v>1172</v>
      </c>
      <c r="E343" s="123" t="b">
        <v>0</v>
      </c>
      <c r="F343" s="123" t="b">
        <v>0</v>
      </c>
      <c r="G343" s="123" t="b">
        <v>0</v>
      </c>
    </row>
    <row r="344" spans="1:7" ht="15">
      <c r="A344" s="123" t="s">
        <v>1112</v>
      </c>
      <c r="B344" s="123">
        <v>2</v>
      </c>
      <c r="C344" s="125">
        <v>0.0013436743676136075</v>
      </c>
      <c r="D344" s="123" t="s">
        <v>1172</v>
      </c>
      <c r="E344" s="123" t="b">
        <v>0</v>
      </c>
      <c r="F344" s="123" t="b">
        <v>0</v>
      </c>
      <c r="G344" s="123" t="b">
        <v>0</v>
      </c>
    </row>
    <row r="345" spans="1:7" ht="15">
      <c r="A345" s="123" t="s">
        <v>1113</v>
      </c>
      <c r="B345" s="123">
        <v>2</v>
      </c>
      <c r="C345" s="125">
        <v>0.0011381931419044056</v>
      </c>
      <c r="D345" s="123" t="s">
        <v>1172</v>
      </c>
      <c r="E345" s="123" t="b">
        <v>0</v>
      </c>
      <c r="F345" s="123" t="b">
        <v>0</v>
      </c>
      <c r="G345" s="123" t="b">
        <v>0</v>
      </c>
    </row>
    <row r="346" spans="1:7" ht="15">
      <c r="A346" s="123" t="s">
        <v>1114</v>
      </c>
      <c r="B346" s="123">
        <v>2</v>
      </c>
      <c r="C346" s="125">
        <v>0.0011381931419044056</v>
      </c>
      <c r="D346" s="123" t="s">
        <v>1172</v>
      </c>
      <c r="E346" s="123" t="b">
        <v>0</v>
      </c>
      <c r="F346" s="123" t="b">
        <v>0</v>
      </c>
      <c r="G346" s="123" t="b">
        <v>0</v>
      </c>
    </row>
    <row r="347" spans="1:7" ht="15">
      <c r="A347" s="123" t="s">
        <v>1115</v>
      </c>
      <c r="B347" s="123">
        <v>2</v>
      </c>
      <c r="C347" s="125">
        <v>0.0011381931419044056</v>
      </c>
      <c r="D347" s="123" t="s">
        <v>1172</v>
      </c>
      <c r="E347" s="123" t="b">
        <v>0</v>
      </c>
      <c r="F347" s="123" t="b">
        <v>0</v>
      </c>
      <c r="G347" s="123" t="b">
        <v>0</v>
      </c>
    </row>
    <row r="348" spans="1:7" ht="15">
      <c r="A348" s="123" t="s">
        <v>1116</v>
      </c>
      <c r="B348" s="123">
        <v>2</v>
      </c>
      <c r="C348" s="125">
        <v>0.0011381931419044056</v>
      </c>
      <c r="D348" s="123" t="s">
        <v>1172</v>
      </c>
      <c r="E348" s="123" t="b">
        <v>0</v>
      </c>
      <c r="F348" s="123" t="b">
        <v>0</v>
      </c>
      <c r="G348" s="123" t="b">
        <v>0</v>
      </c>
    </row>
    <row r="349" spans="1:7" ht="15">
      <c r="A349" s="123" t="s">
        <v>1117</v>
      </c>
      <c r="B349" s="123">
        <v>2</v>
      </c>
      <c r="C349" s="125">
        <v>0.0011381931419044056</v>
      </c>
      <c r="D349" s="123" t="s">
        <v>1172</v>
      </c>
      <c r="E349" s="123" t="b">
        <v>0</v>
      </c>
      <c r="F349" s="123" t="b">
        <v>1</v>
      </c>
      <c r="G349" s="123" t="b">
        <v>0</v>
      </c>
    </row>
    <row r="350" spans="1:7" ht="15">
      <c r="A350" s="123" t="s">
        <v>1118</v>
      </c>
      <c r="B350" s="123">
        <v>2</v>
      </c>
      <c r="C350" s="125">
        <v>0.0011381931419044056</v>
      </c>
      <c r="D350" s="123" t="s">
        <v>1172</v>
      </c>
      <c r="E350" s="123" t="b">
        <v>0</v>
      </c>
      <c r="F350" s="123" t="b">
        <v>0</v>
      </c>
      <c r="G350" s="123" t="b">
        <v>0</v>
      </c>
    </row>
    <row r="351" spans="1:7" ht="15">
      <c r="A351" s="123" t="s">
        <v>1119</v>
      </c>
      <c r="B351" s="123">
        <v>2</v>
      </c>
      <c r="C351" s="125">
        <v>0.0013436743676136075</v>
      </c>
      <c r="D351" s="123" t="s">
        <v>1172</v>
      </c>
      <c r="E351" s="123" t="b">
        <v>0</v>
      </c>
      <c r="F351" s="123" t="b">
        <v>0</v>
      </c>
      <c r="G351" s="123" t="b">
        <v>0</v>
      </c>
    </row>
    <row r="352" spans="1:7" ht="15">
      <c r="A352" s="123" t="s">
        <v>1120</v>
      </c>
      <c r="B352" s="123">
        <v>2</v>
      </c>
      <c r="C352" s="125">
        <v>0.0011381931419044056</v>
      </c>
      <c r="D352" s="123" t="s">
        <v>1172</v>
      </c>
      <c r="E352" s="123" t="b">
        <v>0</v>
      </c>
      <c r="F352" s="123" t="b">
        <v>0</v>
      </c>
      <c r="G352" s="123" t="b">
        <v>0</v>
      </c>
    </row>
    <row r="353" spans="1:7" ht="15">
      <c r="A353" s="123" t="s">
        <v>1121</v>
      </c>
      <c r="B353" s="123">
        <v>2</v>
      </c>
      <c r="C353" s="125">
        <v>0.0011381931419044056</v>
      </c>
      <c r="D353" s="123" t="s">
        <v>1172</v>
      </c>
      <c r="E353" s="123" t="b">
        <v>0</v>
      </c>
      <c r="F353" s="123" t="b">
        <v>0</v>
      </c>
      <c r="G353" s="123" t="b">
        <v>0</v>
      </c>
    </row>
    <row r="354" spans="1:7" ht="15">
      <c r="A354" s="123" t="s">
        <v>1122</v>
      </c>
      <c r="B354" s="123">
        <v>2</v>
      </c>
      <c r="C354" s="125">
        <v>0.0013436743676136075</v>
      </c>
      <c r="D354" s="123" t="s">
        <v>1172</v>
      </c>
      <c r="E354" s="123" t="b">
        <v>1</v>
      </c>
      <c r="F354" s="123" t="b">
        <v>0</v>
      </c>
      <c r="G354" s="123" t="b">
        <v>0</v>
      </c>
    </row>
    <row r="355" spans="1:7" ht="15">
      <c r="A355" s="123" t="s">
        <v>1123</v>
      </c>
      <c r="B355" s="123">
        <v>2</v>
      </c>
      <c r="C355" s="125">
        <v>0.0011381931419044056</v>
      </c>
      <c r="D355" s="123" t="s">
        <v>1172</v>
      </c>
      <c r="E355" s="123" t="b">
        <v>0</v>
      </c>
      <c r="F355" s="123" t="b">
        <v>0</v>
      </c>
      <c r="G355" s="123" t="b">
        <v>0</v>
      </c>
    </row>
    <row r="356" spans="1:7" ht="15">
      <c r="A356" s="123" t="s">
        <v>1124</v>
      </c>
      <c r="B356" s="123">
        <v>2</v>
      </c>
      <c r="C356" s="125">
        <v>0.0013436743676136075</v>
      </c>
      <c r="D356" s="123" t="s">
        <v>1172</v>
      </c>
      <c r="E356" s="123" t="b">
        <v>0</v>
      </c>
      <c r="F356" s="123" t="b">
        <v>0</v>
      </c>
      <c r="G356" s="123" t="b">
        <v>0</v>
      </c>
    </row>
    <row r="357" spans="1:7" ht="15">
      <c r="A357" s="123" t="s">
        <v>1125</v>
      </c>
      <c r="B357" s="123">
        <v>2</v>
      </c>
      <c r="C357" s="125">
        <v>0.0011381931419044056</v>
      </c>
      <c r="D357" s="123" t="s">
        <v>1172</v>
      </c>
      <c r="E357" s="123" t="b">
        <v>0</v>
      </c>
      <c r="F357" s="123" t="b">
        <v>1</v>
      </c>
      <c r="G357" s="123" t="b">
        <v>0</v>
      </c>
    </row>
    <row r="358" spans="1:7" ht="15">
      <c r="A358" s="123" t="s">
        <v>1126</v>
      </c>
      <c r="B358" s="123">
        <v>2</v>
      </c>
      <c r="C358" s="125">
        <v>0.0013436743676136075</v>
      </c>
      <c r="D358" s="123" t="s">
        <v>1172</v>
      </c>
      <c r="E358" s="123" t="b">
        <v>0</v>
      </c>
      <c r="F358" s="123" t="b">
        <v>0</v>
      </c>
      <c r="G358" s="123" t="b">
        <v>0</v>
      </c>
    </row>
    <row r="359" spans="1:7" ht="15">
      <c r="A359" s="123" t="s">
        <v>1127</v>
      </c>
      <c r="B359" s="123">
        <v>2</v>
      </c>
      <c r="C359" s="125">
        <v>0.0013436743676136075</v>
      </c>
      <c r="D359" s="123" t="s">
        <v>1172</v>
      </c>
      <c r="E359" s="123" t="b">
        <v>0</v>
      </c>
      <c r="F359" s="123" t="b">
        <v>0</v>
      </c>
      <c r="G359" s="123" t="b">
        <v>0</v>
      </c>
    </row>
    <row r="360" spans="1:7" ht="15">
      <c r="A360" s="123" t="s">
        <v>1128</v>
      </c>
      <c r="B360" s="123">
        <v>2</v>
      </c>
      <c r="C360" s="125">
        <v>0.0013436743676136075</v>
      </c>
      <c r="D360" s="123" t="s">
        <v>1172</v>
      </c>
      <c r="E360" s="123" t="b">
        <v>0</v>
      </c>
      <c r="F360" s="123" t="b">
        <v>0</v>
      </c>
      <c r="G360" s="123" t="b">
        <v>0</v>
      </c>
    </row>
    <row r="361" spans="1:7" ht="15">
      <c r="A361" s="123" t="s">
        <v>1129</v>
      </c>
      <c r="B361" s="123">
        <v>2</v>
      </c>
      <c r="C361" s="125">
        <v>0.0011381931419044056</v>
      </c>
      <c r="D361" s="123" t="s">
        <v>1172</v>
      </c>
      <c r="E361" s="123" t="b">
        <v>0</v>
      </c>
      <c r="F361" s="123" t="b">
        <v>0</v>
      </c>
      <c r="G361" s="123" t="b">
        <v>0</v>
      </c>
    </row>
    <row r="362" spans="1:7" ht="15">
      <c r="A362" s="123" t="s">
        <v>1130</v>
      </c>
      <c r="B362" s="123">
        <v>2</v>
      </c>
      <c r="C362" s="125">
        <v>0.0011381931419044056</v>
      </c>
      <c r="D362" s="123" t="s">
        <v>1172</v>
      </c>
      <c r="E362" s="123" t="b">
        <v>0</v>
      </c>
      <c r="F362" s="123" t="b">
        <v>0</v>
      </c>
      <c r="G362" s="123" t="b">
        <v>0</v>
      </c>
    </row>
    <row r="363" spans="1:7" ht="15">
      <c r="A363" s="123" t="s">
        <v>1131</v>
      </c>
      <c r="B363" s="123">
        <v>2</v>
      </c>
      <c r="C363" s="125">
        <v>0.0013436743676136075</v>
      </c>
      <c r="D363" s="123" t="s">
        <v>1172</v>
      </c>
      <c r="E363" s="123" t="b">
        <v>0</v>
      </c>
      <c r="F363" s="123" t="b">
        <v>0</v>
      </c>
      <c r="G363" s="123" t="b">
        <v>0</v>
      </c>
    </row>
    <row r="364" spans="1:7" ht="15">
      <c r="A364" s="123" t="s">
        <v>1132</v>
      </c>
      <c r="B364" s="123">
        <v>2</v>
      </c>
      <c r="C364" s="125">
        <v>0.0013436743676136075</v>
      </c>
      <c r="D364" s="123" t="s">
        <v>1172</v>
      </c>
      <c r="E364" s="123" t="b">
        <v>0</v>
      </c>
      <c r="F364" s="123" t="b">
        <v>0</v>
      </c>
      <c r="G364" s="123" t="b">
        <v>0</v>
      </c>
    </row>
    <row r="365" spans="1:7" ht="15">
      <c r="A365" s="123" t="s">
        <v>1133</v>
      </c>
      <c r="B365" s="123">
        <v>2</v>
      </c>
      <c r="C365" s="125">
        <v>0.0013436743676136075</v>
      </c>
      <c r="D365" s="123" t="s">
        <v>1172</v>
      </c>
      <c r="E365" s="123" t="b">
        <v>0</v>
      </c>
      <c r="F365" s="123" t="b">
        <v>0</v>
      </c>
      <c r="G365" s="123" t="b">
        <v>0</v>
      </c>
    </row>
    <row r="366" spans="1:7" ht="15">
      <c r="A366" s="123" t="s">
        <v>1134</v>
      </c>
      <c r="B366" s="123">
        <v>2</v>
      </c>
      <c r="C366" s="125">
        <v>0.0011381931419044056</v>
      </c>
      <c r="D366" s="123" t="s">
        <v>1172</v>
      </c>
      <c r="E366" s="123" t="b">
        <v>0</v>
      </c>
      <c r="F366" s="123" t="b">
        <v>0</v>
      </c>
      <c r="G366" s="123" t="b">
        <v>0</v>
      </c>
    </row>
    <row r="367" spans="1:7" ht="15">
      <c r="A367" s="123" t="s">
        <v>1135</v>
      </c>
      <c r="B367" s="123">
        <v>2</v>
      </c>
      <c r="C367" s="125">
        <v>0.0011381931419044056</v>
      </c>
      <c r="D367" s="123" t="s">
        <v>1172</v>
      </c>
      <c r="E367" s="123" t="b">
        <v>0</v>
      </c>
      <c r="F367" s="123" t="b">
        <v>1</v>
      </c>
      <c r="G367" s="123" t="b">
        <v>0</v>
      </c>
    </row>
    <row r="368" spans="1:7" ht="15">
      <c r="A368" s="123" t="s">
        <v>1136</v>
      </c>
      <c r="B368" s="123">
        <v>2</v>
      </c>
      <c r="C368" s="125">
        <v>0.0011381931419044056</v>
      </c>
      <c r="D368" s="123" t="s">
        <v>1172</v>
      </c>
      <c r="E368" s="123" t="b">
        <v>0</v>
      </c>
      <c r="F368" s="123" t="b">
        <v>0</v>
      </c>
      <c r="G368" s="123" t="b">
        <v>0</v>
      </c>
    </row>
    <row r="369" spans="1:7" ht="15">
      <c r="A369" s="123" t="s">
        <v>1137</v>
      </c>
      <c r="B369" s="123">
        <v>2</v>
      </c>
      <c r="C369" s="125">
        <v>0.0013436743676136075</v>
      </c>
      <c r="D369" s="123" t="s">
        <v>1172</v>
      </c>
      <c r="E369" s="123" t="b">
        <v>0</v>
      </c>
      <c r="F369" s="123" t="b">
        <v>0</v>
      </c>
      <c r="G369" s="123" t="b">
        <v>0</v>
      </c>
    </row>
    <row r="370" spans="1:7" ht="15">
      <c r="A370" s="123" t="s">
        <v>1138</v>
      </c>
      <c r="B370" s="123">
        <v>2</v>
      </c>
      <c r="C370" s="125">
        <v>0.0013436743676136075</v>
      </c>
      <c r="D370" s="123" t="s">
        <v>1172</v>
      </c>
      <c r="E370" s="123" t="b">
        <v>0</v>
      </c>
      <c r="F370" s="123" t="b">
        <v>0</v>
      </c>
      <c r="G370" s="123" t="b">
        <v>0</v>
      </c>
    </row>
    <row r="371" spans="1:7" ht="15">
      <c r="A371" s="123" t="s">
        <v>1139</v>
      </c>
      <c r="B371" s="123">
        <v>2</v>
      </c>
      <c r="C371" s="125">
        <v>0.0013436743676136075</v>
      </c>
      <c r="D371" s="123" t="s">
        <v>1172</v>
      </c>
      <c r="E371" s="123" t="b">
        <v>0</v>
      </c>
      <c r="F371" s="123" t="b">
        <v>0</v>
      </c>
      <c r="G371" s="123" t="b">
        <v>0</v>
      </c>
    </row>
    <row r="372" spans="1:7" ht="15">
      <c r="A372" s="123" t="s">
        <v>1140</v>
      </c>
      <c r="B372" s="123">
        <v>2</v>
      </c>
      <c r="C372" s="125">
        <v>0.0013436743676136075</v>
      </c>
      <c r="D372" s="123" t="s">
        <v>1172</v>
      </c>
      <c r="E372" s="123" t="b">
        <v>0</v>
      </c>
      <c r="F372" s="123" t="b">
        <v>1</v>
      </c>
      <c r="G372" s="123" t="b">
        <v>0</v>
      </c>
    </row>
    <row r="373" spans="1:7" ht="15">
      <c r="A373" s="123" t="s">
        <v>1141</v>
      </c>
      <c r="B373" s="123">
        <v>2</v>
      </c>
      <c r="C373" s="125">
        <v>0.0011381931419044056</v>
      </c>
      <c r="D373" s="123" t="s">
        <v>1172</v>
      </c>
      <c r="E373" s="123" t="b">
        <v>0</v>
      </c>
      <c r="F373" s="123" t="b">
        <v>0</v>
      </c>
      <c r="G373" s="123" t="b">
        <v>0</v>
      </c>
    </row>
    <row r="374" spans="1:7" ht="15">
      <c r="A374" s="123" t="s">
        <v>1142</v>
      </c>
      <c r="B374" s="123">
        <v>2</v>
      </c>
      <c r="C374" s="125">
        <v>0.0013436743676136075</v>
      </c>
      <c r="D374" s="123" t="s">
        <v>1172</v>
      </c>
      <c r="E374" s="123" t="b">
        <v>0</v>
      </c>
      <c r="F374" s="123" t="b">
        <v>0</v>
      </c>
      <c r="G374" s="123" t="b">
        <v>0</v>
      </c>
    </row>
    <row r="375" spans="1:7" ht="15">
      <c r="A375" s="123" t="s">
        <v>1143</v>
      </c>
      <c r="B375" s="123">
        <v>2</v>
      </c>
      <c r="C375" s="125">
        <v>0.0013436743676136075</v>
      </c>
      <c r="D375" s="123" t="s">
        <v>1172</v>
      </c>
      <c r="E375" s="123" t="b">
        <v>0</v>
      </c>
      <c r="F375" s="123" t="b">
        <v>0</v>
      </c>
      <c r="G375" s="123" t="b">
        <v>0</v>
      </c>
    </row>
    <row r="376" spans="1:7" ht="15">
      <c r="A376" s="123" t="s">
        <v>1144</v>
      </c>
      <c r="B376" s="123">
        <v>2</v>
      </c>
      <c r="C376" s="125">
        <v>0.0013436743676136075</v>
      </c>
      <c r="D376" s="123" t="s">
        <v>1172</v>
      </c>
      <c r="E376" s="123" t="b">
        <v>0</v>
      </c>
      <c r="F376" s="123" t="b">
        <v>0</v>
      </c>
      <c r="G376" s="123" t="b">
        <v>0</v>
      </c>
    </row>
    <row r="377" spans="1:7" ht="15">
      <c r="A377" s="123" t="s">
        <v>1145</v>
      </c>
      <c r="B377" s="123">
        <v>2</v>
      </c>
      <c r="C377" s="125">
        <v>0.0011381931419044056</v>
      </c>
      <c r="D377" s="123" t="s">
        <v>1172</v>
      </c>
      <c r="E377" s="123" t="b">
        <v>0</v>
      </c>
      <c r="F377" s="123" t="b">
        <v>0</v>
      </c>
      <c r="G377" s="123" t="b">
        <v>0</v>
      </c>
    </row>
    <row r="378" spans="1:7" ht="15">
      <c r="A378" s="123" t="s">
        <v>1146</v>
      </c>
      <c r="B378" s="123">
        <v>2</v>
      </c>
      <c r="C378" s="125">
        <v>0.0011381931419044056</v>
      </c>
      <c r="D378" s="123" t="s">
        <v>1172</v>
      </c>
      <c r="E378" s="123" t="b">
        <v>0</v>
      </c>
      <c r="F378" s="123" t="b">
        <v>1</v>
      </c>
      <c r="G378" s="123" t="b">
        <v>0</v>
      </c>
    </row>
    <row r="379" spans="1:7" ht="15">
      <c r="A379" s="123" t="s">
        <v>1147</v>
      </c>
      <c r="B379" s="123">
        <v>2</v>
      </c>
      <c r="C379" s="125">
        <v>0.0011381931419044056</v>
      </c>
      <c r="D379" s="123" t="s">
        <v>1172</v>
      </c>
      <c r="E379" s="123" t="b">
        <v>0</v>
      </c>
      <c r="F379" s="123" t="b">
        <v>0</v>
      </c>
      <c r="G379" s="123" t="b">
        <v>0</v>
      </c>
    </row>
    <row r="380" spans="1:7" ht="15">
      <c r="A380" s="123" t="s">
        <v>1148</v>
      </c>
      <c r="B380" s="123">
        <v>2</v>
      </c>
      <c r="C380" s="125">
        <v>0.0011381931419044056</v>
      </c>
      <c r="D380" s="123" t="s">
        <v>1172</v>
      </c>
      <c r="E380" s="123" t="b">
        <v>0</v>
      </c>
      <c r="F380" s="123" t="b">
        <v>0</v>
      </c>
      <c r="G380" s="123" t="b">
        <v>0</v>
      </c>
    </row>
    <row r="381" spans="1:7" ht="15">
      <c r="A381" s="123" t="s">
        <v>1149</v>
      </c>
      <c r="B381" s="123">
        <v>2</v>
      </c>
      <c r="C381" s="125">
        <v>0.0011381931419044056</v>
      </c>
      <c r="D381" s="123" t="s">
        <v>1172</v>
      </c>
      <c r="E381" s="123" t="b">
        <v>0</v>
      </c>
      <c r="F381" s="123" t="b">
        <v>0</v>
      </c>
      <c r="G381" s="123" t="b">
        <v>0</v>
      </c>
    </row>
    <row r="382" spans="1:7" ht="15">
      <c r="A382" s="123" t="s">
        <v>1150</v>
      </c>
      <c r="B382" s="123">
        <v>2</v>
      </c>
      <c r="C382" s="125">
        <v>0.0011381931419044056</v>
      </c>
      <c r="D382" s="123" t="s">
        <v>1172</v>
      </c>
      <c r="E382" s="123" t="b">
        <v>0</v>
      </c>
      <c r="F382" s="123" t="b">
        <v>0</v>
      </c>
      <c r="G382" s="123" t="b">
        <v>0</v>
      </c>
    </row>
    <row r="383" spans="1:7" ht="15">
      <c r="A383" s="123" t="s">
        <v>1151</v>
      </c>
      <c r="B383" s="123">
        <v>2</v>
      </c>
      <c r="C383" s="125">
        <v>0.0011381931419044056</v>
      </c>
      <c r="D383" s="123" t="s">
        <v>1172</v>
      </c>
      <c r="E383" s="123" t="b">
        <v>0</v>
      </c>
      <c r="F383" s="123" t="b">
        <v>0</v>
      </c>
      <c r="G383" s="123" t="b">
        <v>0</v>
      </c>
    </row>
    <row r="384" spans="1:7" ht="15">
      <c r="A384" s="123" t="s">
        <v>1152</v>
      </c>
      <c r="B384" s="123">
        <v>2</v>
      </c>
      <c r="C384" s="125">
        <v>0.0013436743676136075</v>
      </c>
      <c r="D384" s="123" t="s">
        <v>1172</v>
      </c>
      <c r="E384" s="123" t="b">
        <v>0</v>
      </c>
      <c r="F384" s="123" t="b">
        <v>0</v>
      </c>
      <c r="G384" s="123" t="b">
        <v>0</v>
      </c>
    </row>
    <row r="385" spans="1:7" ht="15">
      <c r="A385" s="123" t="s">
        <v>1153</v>
      </c>
      <c r="B385" s="123">
        <v>2</v>
      </c>
      <c r="C385" s="125">
        <v>0.0011381931419044056</v>
      </c>
      <c r="D385" s="123" t="s">
        <v>1172</v>
      </c>
      <c r="E385" s="123" t="b">
        <v>0</v>
      </c>
      <c r="F385" s="123" t="b">
        <v>0</v>
      </c>
      <c r="G385" s="123" t="b">
        <v>0</v>
      </c>
    </row>
    <row r="386" spans="1:7" ht="15">
      <c r="A386" s="123" t="s">
        <v>1154</v>
      </c>
      <c r="B386" s="123">
        <v>2</v>
      </c>
      <c r="C386" s="125">
        <v>0.0013436743676136075</v>
      </c>
      <c r="D386" s="123" t="s">
        <v>1172</v>
      </c>
      <c r="E386" s="123" t="b">
        <v>0</v>
      </c>
      <c r="F386" s="123" t="b">
        <v>0</v>
      </c>
      <c r="G386" s="123" t="b">
        <v>0</v>
      </c>
    </row>
    <row r="387" spans="1:7" ht="15">
      <c r="A387" s="123" t="s">
        <v>1155</v>
      </c>
      <c r="B387" s="123">
        <v>2</v>
      </c>
      <c r="C387" s="125">
        <v>0.0011381931419044056</v>
      </c>
      <c r="D387" s="123" t="s">
        <v>1172</v>
      </c>
      <c r="E387" s="123" t="b">
        <v>0</v>
      </c>
      <c r="F387" s="123" t="b">
        <v>0</v>
      </c>
      <c r="G387" s="123" t="b">
        <v>0</v>
      </c>
    </row>
    <row r="388" spans="1:7" ht="15">
      <c r="A388" s="123" t="s">
        <v>1156</v>
      </c>
      <c r="B388" s="123">
        <v>2</v>
      </c>
      <c r="C388" s="125">
        <v>0.0011381931419044056</v>
      </c>
      <c r="D388" s="123" t="s">
        <v>1172</v>
      </c>
      <c r="E388" s="123" t="b">
        <v>0</v>
      </c>
      <c r="F388" s="123" t="b">
        <v>0</v>
      </c>
      <c r="G388" s="123" t="b">
        <v>0</v>
      </c>
    </row>
    <row r="389" spans="1:7" ht="15">
      <c r="A389" s="123" t="s">
        <v>1157</v>
      </c>
      <c r="B389" s="123">
        <v>2</v>
      </c>
      <c r="C389" s="125">
        <v>0.0011381931419044056</v>
      </c>
      <c r="D389" s="123" t="s">
        <v>1172</v>
      </c>
      <c r="E389" s="123" t="b">
        <v>0</v>
      </c>
      <c r="F389" s="123" t="b">
        <v>0</v>
      </c>
      <c r="G389" s="123" t="b">
        <v>0</v>
      </c>
    </row>
    <row r="390" spans="1:7" ht="15">
      <c r="A390" s="123" t="s">
        <v>1158</v>
      </c>
      <c r="B390" s="123">
        <v>2</v>
      </c>
      <c r="C390" s="125">
        <v>0.0013436743676136075</v>
      </c>
      <c r="D390" s="123" t="s">
        <v>1172</v>
      </c>
      <c r="E390" s="123" t="b">
        <v>0</v>
      </c>
      <c r="F390" s="123" t="b">
        <v>0</v>
      </c>
      <c r="G390" s="123" t="b">
        <v>0</v>
      </c>
    </row>
    <row r="391" spans="1:7" ht="15">
      <c r="A391" s="123" t="s">
        <v>1159</v>
      </c>
      <c r="B391" s="123">
        <v>2</v>
      </c>
      <c r="C391" s="125">
        <v>0.0011381931419044056</v>
      </c>
      <c r="D391" s="123" t="s">
        <v>1172</v>
      </c>
      <c r="E391" s="123" t="b">
        <v>0</v>
      </c>
      <c r="F391" s="123" t="b">
        <v>0</v>
      </c>
      <c r="G391" s="123" t="b">
        <v>0</v>
      </c>
    </row>
    <row r="392" spans="1:7" ht="15">
      <c r="A392" s="123" t="s">
        <v>1160</v>
      </c>
      <c r="B392" s="123">
        <v>2</v>
      </c>
      <c r="C392" s="125">
        <v>0.0011381931419044056</v>
      </c>
      <c r="D392" s="123" t="s">
        <v>1172</v>
      </c>
      <c r="E392" s="123" t="b">
        <v>0</v>
      </c>
      <c r="F392" s="123" t="b">
        <v>0</v>
      </c>
      <c r="G392" s="123" t="b">
        <v>0</v>
      </c>
    </row>
    <row r="393" spans="1:7" ht="15">
      <c r="A393" s="123" t="s">
        <v>1161</v>
      </c>
      <c r="B393" s="123">
        <v>2</v>
      </c>
      <c r="C393" s="125">
        <v>0.0011381931419044056</v>
      </c>
      <c r="D393" s="123" t="s">
        <v>1172</v>
      </c>
      <c r="E393" s="123" t="b">
        <v>0</v>
      </c>
      <c r="F393" s="123" t="b">
        <v>0</v>
      </c>
      <c r="G393" s="123" t="b">
        <v>0</v>
      </c>
    </row>
    <row r="394" spans="1:7" ht="15">
      <c r="A394" s="123" t="s">
        <v>1162</v>
      </c>
      <c r="B394" s="123">
        <v>2</v>
      </c>
      <c r="C394" s="125">
        <v>0.0011381931419044056</v>
      </c>
      <c r="D394" s="123" t="s">
        <v>1172</v>
      </c>
      <c r="E394" s="123" t="b">
        <v>0</v>
      </c>
      <c r="F394" s="123" t="b">
        <v>0</v>
      </c>
      <c r="G394" s="123" t="b">
        <v>0</v>
      </c>
    </row>
    <row r="395" spans="1:7" ht="15">
      <c r="A395" s="123" t="s">
        <v>1163</v>
      </c>
      <c r="B395" s="123">
        <v>2</v>
      </c>
      <c r="C395" s="125">
        <v>0.0011381931419044056</v>
      </c>
      <c r="D395" s="123" t="s">
        <v>1172</v>
      </c>
      <c r="E395" s="123" t="b">
        <v>0</v>
      </c>
      <c r="F395" s="123" t="b">
        <v>0</v>
      </c>
      <c r="G395" s="123" t="b">
        <v>0</v>
      </c>
    </row>
    <row r="396" spans="1:7" ht="15">
      <c r="A396" s="123" t="s">
        <v>1164</v>
      </c>
      <c r="B396" s="123">
        <v>2</v>
      </c>
      <c r="C396" s="125">
        <v>0.0013436743676136075</v>
      </c>
      <c r="D396" s="123" t="s">
        <v>1172</v>
      </c>
      <c r="E396" s="123" t="b">
        <v>0</v>
      </c>
      <c r="F396" s="123" t="b">
        <v>0</v>
      </c>
      <c r="G396" s="123" t="b">
        <v>0</v>
      </c>
    </row>
    <row r="397" spans="1:7" ht="15">
      <c r="A397" s="123" t="s">
        <v>1165</v>
      </c>
      <c r="B397" s="123">
        <v>2</v>
      </c>
      <c r="C397" s="125">
        <v>0.0013436743676136075</v>
      </c>
      <c r="D397" s="123" t="s">
        <v>1172</v>
      </c>
      <c r="E397" s="123" t="b">
        <v>0</v>
      </c>
      <c r="F397" s="123" t="b">
        <v>0</v>
      </c>
      <c r="G397" s="123" t="b">
        <v>0</v>
      </c>
    </row>
    <row r="398" spans="1:7" ht="15">
      <c r="A398" s="123" t="s">
        <v>1166</v>
      </c>
      <c r="B398" s="123">
        <v>2</v>
      </c>
      <c r="C398" s="125">
        <v>0.0013436743676136075</v>
      </c>
      <c r="D398" s="123" t="s">
        <v>1172</v>
      </c>
      <c r="E398" s="123" t="b">
        <v>0</v>
      </c>
      <c r="F398" s="123" t="b">
        <v>0</v>
      </c>
      <c r="G398" s="123" t="b">
        <v>0</v>
      </c>
    </row>
    <row r="399" spans="1:7" ht="15">
      <c r="A399" s="123" t="s">
        <v>794</v>
      </c>
      <c r="B399" s="123">
        <v>17</v>
      </c>
      <c r="C399" s="125">
        <v>0.019784816972895157</v>
      </c>
      <c r="D399" s="123" t="s">
        <v>749</v>
      </c>
      <c r="E399" s="123" t="b">
        <v>0</v>
      </c>
      <c r="F399" s="123" t="b">
        <v>0</v>
      </c>
      <c r="G399" s="123" t="b">
        <v>0</v>
      </c>
    </row>
    <row r="400" spans="1:7" ht="15">
      <c r="A400" s="123" t="s">
        <v>806</v>
      </c>
      <c r="B400" s="123">
        <v>13</v>
      </c>
      <c r="C400" s="125">
        <v>0.021163109320057254</v>
      </c>
      <c r="D400" s="123" t="s">
        <v>749</v>
      </c>
      <c r="E400" s="123" t="b">
        <v>0</v>
      </c>
      <c r="F400" s="123" t="b">
        <v>0</v>
      </c>
      <c r="G400" s="123" t="b">
        <v>0</v>
      </c>
    </row>
    <row r="401" spans="1:7" ht="15">
      <c r="A401" s="123" t="s">
        <v>779</v>
      </c>
      <c r="B401" s="123">
        <v>12</v>
      </c>
      <c r="C401" s="125">
        <v>0.010297266906001237</v>
      </c>
      <c r="D401" s="123" t="s">
        <v>749</v>
      </c>
      <c r="E401" s="123" t="b">
        <v>0</v>
      </c>
      <c r="F401" s="123" t="b">
        <v>0</v>
      </c>
      <c r="G401" s="123" t="b">
        <v>0</v>
      </c>
    </row>
    <row r="402" spans="1:7" ht="15">
      <c r="A402" s="123" t="s">
        <v>802</v>
      </c>
      <c r="B402" s="123">
        <v>12</v>
      </c>
      <c r="C402" s="125">
        <v>0.011977939449029182</v>
      </c>
      <c r="D402" s="123" t="s">
        <v>749</v>
      </c>
      <c r="E402" s="123" t="b">
        <v>0</v>
      </c>
      <c r="F402" s="123" t="b">
        <v>0</v>
      </c>
      <c r="G402" s="123" t="b">
        <v>0</v>
      </c>
    </row>
    <row r="403" spans="1:7" ht="15">
      <c r="A403" s="123" t="s">
        <v>816</v>
      </c>
      <c r="B403" s="123">
        <v>11</v>
      </c>
      <c r="C403" s="125">
        <v>0.017907246347740755</v>
      </c>
      <c r="D403" s="123" t="s">
        <v>749</v>
      </c>
      <c r="E403" s="123" t="b">
        <v>0</v>
      </c>
      <c r="F403" s="123" t="b">
        <v>0</v>
      </c>
      <c r="G403" s="123" t="b">
        <v>0</v>
      </c>
    </row>
    <row r="404" spans="1:7" ht="15">
      <c r="A404" s="123" t="s">
        <v>813</v>
      </c>
      <c r="B404" s="123">
        <v>11</v>
      </c>
      <c r="C404" s="125">
        <v>0.008104618617625497</v>
      </c>
      <c r="D404" s="123" t="s">
        <v>749</v>
      </c>
      <c r="E404" s="123" t="b">
        <v>0</v>
      </c>
      <c r="F404" s="123" t="b">
        <v>0</v>
      </c>
      <c r="G404" s="123" t="b">
        <v>0</v>
      </c>
    </row>
    <row r="405" spans="1:7" ht="15">
      <c r="A405" s="123" t="s">
        <v>825</v>
      </c>
      <c r="B405" s="123">
        <v>9</v>
      </c>
      <c r="C405" s="125">
        <v>0.014651383375424253</v>
      </c>
      <c r="D405" s="123" t="s">
        <v>749</v>
      </c>
      <c r="E405" s="123" t="b">
        <v>0</v>
      </c>
      <c r="F405" s="123" t="b">
        <v>0</v>
      </c>
      <c r="G405" s="123" t="b">
        <v>0</v>
      </c>
    </row>
    <row r="406" spans="1:7" ht="15">
      <c r="A406" s="123" t="s">
        <v>610</v>
      </c>
      <c r="B406" s="123">
        <v>7</v>
      </c>
      <c r="C406" s="125">
        <v>0.011395520403107751</v>
      </c>
      <c r="D406" s="123" t="s">
        <v>749</v>
      </c>
      <c r="E406" s="123" t="b">
        <v>0</v>
      </c>
      <c r="F406" s="123" t="b">
        <v>0</v>
      </c>
      <c r="G406" s="123" t="b">
        <v>0</v>
      </c>
    </row>
    <row r="407" spans="1:7" ht="15">
      <c r="A407" s="123" t="s">
        <v>781</v>
      </c>
      <c r="B407" s="123">
        <v>7</v>
      </c>
      <c r="C407" s="125">
        <v>0.006987131345267023</v>
      </c>
      <c r="D407" s="123" t="s">
        <v>749</v>
      </c>
      <c r="E407" s="123" t="b">
        <v>0</v>
      </c>
      <c r="F407" s="123" t="b">
        <v>0</v>
      </c>
      <c r="G407" s="123" t="b">
        <v>0</v>
      </c>
    </row>
    <row r="408" spans="1:7" ht="15">
      <c r="A408" s="123" t="s">
        <v>864</v>
      </c>
      <c r="B408" s="123">
        <v>6</v>
      </c>
      <c r="C408" s="125">
        <v>0.009767588916949501</v>
      </c>
      <c r="D408" s="123" t="s">
        <v>749</v>
      </c>
      <c r="E408" s="123" t="b">
        <v>0</v>
      </c>
      <c r="F408" s="123" t="b">
        <v>0</v>
      </c>
      <c r="G408" s="123" t="b">
        <v>0</v>
      </c>
    </row>
    <row r="409" spans="1:7" ht="15">
      <c r="A409" s="123" t="s">
        <v>786</v>
      </c>
      <c r="B409" s="123">
        <v>6</v>
      </c>
      <c r="C409" s="125">
        <v>0.005988969724514591</v>
      </c>
      <c r="D409" s="123" t="s">
        <v>749</v>
      </c>
      <c r="E409" s="123" t="b">
        <v>0</v>
      </c>
      <c r="F409" s="123" t="b">
        <v>0</v>
      </c>
      <c r="G409" s="123" t="b">
        <v>0</v>
      </c>
    </row>
    <row r="410" spans="1:7" ht="15">
      <c r="A410" s="123" t="s">
        <v>849</v>
      </c>
      <c r="B410" s="123">
        <v>6</v>
      </c>
      <c r="C410" s="125">
        <v>0.005988969724514591</v>
      </c>
      <c r="D410" s="123" t="s">
        <v>749</v>
      </c>
      <c r="E410" s="123" t="b">
        <v>0</v>
      </c>
      <c r="F410" s="123" t="b">
        <v>0</v>
      </c>
      <c r="G410" s="123" t="b">
        <v>0</v>
      </c>
    </row>
    <row r="411" spans="1:7" ht="15">
      <c r="A411" s="123" t="s">
        <v>850</v>
      </c>
      <c r="B411" s="123">
        <v>6</v>
      </c>
      <c r="C411" s="125">
        <v>0.005988969724514591</v>
      </c>
      <c r="D411" s="123" t="s">
        <v>749</v>
      </c>
      <c r="E411" s="123" t="b">
        <v>0</v>
      </c>
      <c r="F411" s="123" t="b">
        <v>0</v>
      </c>
      <c r="G411" s="123" t="b">
        <v>0</v>
      </c>
    </row>
    <row r="412" spans="1:7" ht="15">
      <c r="A412" s="123" t="s">
        <v>851</v>
      </c>
      <c r="B412" s="123">
        <v>6</v>
      </c>
      <c r="C412" s="125">
        <v>0.009767588916949501</v>
      </c>
      <c r="D412" s="123" t="s">
        <v>749</v>
      </c>
      <c r="E412" s="123" t="b">
        <v>0</v>
      </c>
      <c r="F412" s="123" t="b">
        <v>0</v>
      </c>
      <c r="G412" s="123" t="b">
        <v>0</v>
      </c>
    </row>
    <row r="413" spans="1:7" ht="15">
      <c r="A413" s="123" t="s">
        <v>784</v>
      </c>
      <c r="B413" s="123">
        <v>5</v>
      </c>
      <c r="C413" s="125">
        <v>0.005819063815557398</v>
      </c>
      <c r="D413" s="123" t="s">
        <v>749</v>
      </c>
      <c r="E413" s="123" t="b">
        <v>0</v>
      </c>
      <c r="F413" s="123" t="b">
        <v>0</v>
      </c>
      <c r="G413" s="123" t="b">
        <v>0</v>
      </c>
    </row>
    <row r="414" spans="1:7" ht="15">
      <c r="A414" s="123" t="s">
        <v>868</v>
      </c>
      <c r="B414" s="123">
        <v>5</v>
      </c>
      <c r="C414" s="125">
        <v>0.005819063815557398</v>
      </c>
      <c r="D414" s="123" t="s">
        <v>749</v>
      </c>
      <c r="E414" s="123" t="b">
        <v>0</v>
      </c>
      <c r="F414" s="123" t="b">
        <v>0</v>
      </c>
      <c r="G414" s="123" t="b">
        <v>0</v>
      </c>
    </row>
    <row r="415" spans="1:7" ht="15">
      <c r="A415" s="123" t="s">
        <v>881</v>
      </c>
      <c r="B415" s="123">
        <v>5</v>
      </c>
      <c r="C415" s="125">
        <v>0.008139657430791251</v>
      </c>
      <c r="D415" s="123" t="s">
        <v>749</v>
      </c>
      <c r="E415" s="123" t="b">
        <v>0</v>
      </c>
      <c r="F415" s="123" t="b">
        <v>0</v>
      </c>
      <c r="G415" s="123" t="b">
        <v>0</v>
      </c>
    </row>
    <row r="416" spans="1:7" ht="15">
      <c r="A416" s="123" t="s">
        <v>799</v>
      </c>
      <c r="B416" s="123">
        <v>4</v>
      </c>
      <c r="C416" s="125">
        <v>0.005466213504396181</v>
      </c>
      <c r="D416" s="123" t="s">
        <v>749</v>
      </c>
      <c r="E416" s="123" t="b">
        <v>0</v>
      </c>
      <c r="F416" s="123" t="b">
        <v>0</v>
      </c>
      <c r="G416" s="123" t="b">
        <v>0</v>
      </c>
    </row>
    <row r="417" spans="1:7" ht="15">
      <c r="A417" s="123" t="s">
        <v>909</v>
      </c>
      <c r="B417" s="123">
        <v>4</v>
      </c>
      <c r="C417" s="125">
        <v>0.007985292966019455</v>
      </c>
      <c r="D417" s="123" t="s">
        <v>749</v>
      </c>
      <c r="E417" s="123" t="b">
        <v>0</v>
      </c>
      <c r="F417" s="123" t="b">
        <v>0</v>
      </c>
      <c r="G417" s="123" t="b">
        <v>0</v>
      </c>
    </row>
    <row r="418" spans="1:7" ht="15">
      <c r="A418" s="123" t="s">
        <v>852</v>
      </c>
      <c r="B418" s="123">
        <v>4</v>
      </c>
      <c r="C418" s="125">
        <v>0.005466213504396181</v>
      </c>
      <c r="D418" s="123" t="s">
        <v>749</v>
      </c>
      <c r="E418" s="123" t="b">
        <v>0</v>
      </c>
      <c r="F418" s="123" t="b">
        <v>0</v>
      </c>
      <c r="G418" s="123" t="b">
        <v>0</v>
      </c>
    </row>
    <row r="419" spans="1:7" ht="15">
      <c r="A419" s="123" t="s">
        <v>971</v>
      </c>
      <c r="B419" s="123">
        <v>3</v>
      </c>
      <c r="C419" s="125">
        <v>0.004883794458474751</v>
      </c>
      <c r="D419" s="123" t="s">
        <v>749</v>
      </c>
      <c r="E419" s="123" t="b">
        <v>0</v>
      </c>
      <c r="F419" s="123" t="b">
        <v>0</v>
      </c>
      <c r="G419" s="123" t="b">
        <v>0</v>
      </c>
    </row>
    <row r="420" spans="1:7" ht="15">
      <c r="A420" s="123" t="s">
        <v>972</v>
      </c>
      <c r="B420" s="123">
        <v>3</v>
      </c>
      <c r="C420" s="125">
        <v>0.004883794458474751</v>
      </c>
      <c r="D420" s="123" t="s">
        <v>749</v>
      </c>
      <c r="E420" s="123" t="b">
        <v>0</v>
      </c>
      <c r="F420" s="123" t="b">
        <v>0</v>
      </c>
      <c r="G420" s="123" t="b">
        <v>0</v>
      </c>
    </row>
    <row r="421" spans="1:7" ht="15">
      <c r="A421" s="123" t="s">
        <v>973</v>
      </c>
      <c r="B421" s="123">
        <v>3</v>
      </c>
      <c r="C421" s="125">
        <v>0.004883794458474751</v>
      </c>
      <c r="D421" s="123" t="s">
        <v>749</v>
      </c>
      <c r="E421" s="123" t="b">
        <v>0</v>
      </c>
      <c r="F421" s="123" t="b">
        <v>0</v>
      </c>
      <c r="G421" s="123" t="b">
        <v>0</v>
      </c>
    </row>
    <row r="422" spans="1:7" ht="15">
      <c r="A422" s="123" t="s">
        <v>974</v>
      </c>
      <c r="B422" s="123">
        <v>3</v>
      </c>
      <c r="C422" s="125">
        <v>0.004883794458474751</v>
      </c>
      <c r="D422" s="123" t="s">
        <v>749</v>
      </c>
      <c r="E422" s="123" t="b">
        <v>0</v>
      </c>
      <c r="F422" s="123" t="b">
        <v>0</v>
      </c>
      <c r="G422" s="123" t="b">
        <v>0</v>
      </c>
    </row>
    <row r="423" spans="1:7" ht="15">
      <c r="A423" s="123" t="s">
        <v>930</v>
      </c>
      <c r="B423" s="123">
        <v>3</v>
      </c>
      <c r="C423" s="125">
        <v>0.004883794458474751</v>
      </c>
      <c r="D423" s="123" t="s">
        <v>749</v>
      </c>
      <c r="E423" s="123" t="b">
        <v>0</v>
      </c>
      <c r="F423" s="123" t="b">
        <v>0</v>
      </c>
      <c r="G423" s="123" t="b">
        <v>0</v>
      </c>
    </row>
    <row r="424" spans="1:7" ht="15">
      <c r="A424" s="123" t="s">
        <v>889</v>
      </c>
      <c r="B424" s="123">
        <v>3</v>
      </c>
      <c r="C424" s="125">
        <v>0.004883794458474751</v>
      </c>
      <c r="D424" s="123" t="s">
        <v>749</v>
      </c>
      <c r="E424" s="123" t="b">
        <v>0</v>
      </c>
      <c r="F424" s="123" t="b">
        <v>0</v>
      </c>
      <c r="G424" s="123" t="b">
        <v>0</v>
      </c>
    </row>
    <row r="425" spans="1:7" ht="15">
      <c r="A425" s="123" t="s">
        <v>801</v>
      </c>
      <c r="B425" s="123">
        <v>3</v>
      </c>
      <c r="C425" s="125">
        <v>0.004883794458474751</v>
      </c>
      <c r="D425" s="123" t="s">
        <v>749</v>
      </c>
      <c r="E425" s="123" t="b">
        <v>0</v>
      </c>
      <c r="F425" s="123" t="b">
        <v>0</v>
      </c>
      <c r="G425" s="123" t="b">
        <v>0</v>
      </c>
    </row>
    <row r="426" spans="1:7" ht="15">
      <c r="A426" s="123" t="s">
        <v>929</v>
      </c>
      <c r="B426" s="123">
        <v>3</v>
      </c>
      <c r="C426" s="125">
        <v>0.004883794458474751</v>
      </c>
      <c r="D426" s="123" t="s">
        <v>749</v>
      </c>
      <c r="E426" s="123" t="b">
        <v>0</v>
      </c>
      <c r="F426" s="123" t="b">
        <v>0</v>
      </c>
      <c r="G426" s="123" t="b">
        <v>0</v>
      </c>
    </row>
    <row r="427" spans="1:7" ht="15">
      <c r="A427" s="123" t="s">
        <v>921</v>
      </c>
      <c r="B427" s="123">
        <v>3</v>
      </c>
      <c r="C427" s="125">
        <v>0.005988969724514591</v>
      </c>
      <c r="D427" s="123" t="s">
        <v>749</v>
      </c>
      <c r="E427" s="123" t="b">
        <v>0</v>
      </c>
      <c r="F427" s="123" t="b">
        <v>0</v>
      </c>
      <c r="G427" s="123" t="b">
        <v>0</v>
      </c>
    </row>
    <row r="428" spans="1:7" ht="15">
      <c r="A428" s="123" t="s">
        <v>839</v>
      </c>
      <c r="B428" s="123">
        <v>3</v>
      </c>
      <c r="C428" s="125">
        <v>0.005988969724514591</v>
      </c>
      <c r="D428" s="123" t="s">
        <v>749</v>
      </c>
      <c r="E428" s="123" t="b">
        <v>0</v>
      </c>
      <c r="F428" s="123" t="b">
        <v>0</v>
      </c>
      <c r="G428" s="123" t="b">
        <v>0</v>
      </c>
    </row>
    <row r="429" spans="1:7" ht="15">
      <c r="A429" s="123" t="s">
        <v>926</v>
      </c>
      <c r="B429" s="123">
        <v>3</v>
      </c>
      <c r="C429" s="125">
        <v>0.004883794458474751</v>
      </c>
      <c r="D429" s="123" t="s">
        <v>749</v>
      </c>
      <c r="E429" s="123" t="b">
        <v>0</v>
      </c>
      <c r="F429" s="123" t="b">
        <v>0</v>
      </c>
      <c r="G429" s="123" t="b">
        <v>0</v>
      </c>
    </row>
    <row r="430" spans="1:7" ht="15">
      <c r="A430" s="123" t="s">
        <v>914</v>
      </c>
      <c r="B430" s="123">
        <v>3</v>
      </c>
      <c r="C430" s="125">
        <v>0.004883794458474751</v>
      </c>
      <c r="D430" s="123" t="s">
        <v>749</v>
      </c>
      <c r="E430" s="123" t="b">
        <v>0</v>
      </c>
      <c r="F430" s="123" t="b">
        <v>0</v>
      </c>
      <c r="G430" s="123" t="b">
        <v>0</v>
      </c>
    </row>
    <row r="431" spans="1:7" ht="15">
      <c r="A431" s="123" t="s">
        <v>928</v>
      </c>
      <c r="B431" s="123">
        <v>3</v>
      </c>
      <c r="C431" s="125">
        <v>0.005988969724514591</v>
      </c>
      <c r="D431" s="123" t="s">
        <v>749</v>
      </c>
      <c r="E431" s="123" t="b">
        <v>0</v>
      </c>
      <c r="F431" s="123" t="b">
        <v>0</v>
      </c>
      <c r="G431" s="123" t="b">
        <v>0</v>
      </c>
    </row>
    <row r="432" spans="1:7" ht="15">
      <c r="A432" s="123" t="s">
        <v>882</v>
      </c>
      <c r="B432" s="123">
        <v>3</v>
      </c>
      <c r="C432" s="125">
        <v>0.004883794458474751</v>
      </c>
      <c r="D432" s="123" t="s">
        <v>749</v>
      </c>
      <c r="E432" s="123" t="b">
        <v>0</v>
      </c>
      <c r="F432" s="123" t="b">
        <v>0</v>
      </c>
      <c r="G432" s="123" t="b">
        <v>0</v>
      </c>
    </row>
    <row r="433" spans="1:7" ht="15">
      <c r="A433" s="123" t="s">
        <v>923</v>
      </c>
      <c r="B433" s="123">
        <v>3</v>
      </c>
      <c r="C433" s="125">
        <v>0.004883794458474751</v>
      </c>
      <c r="D433" s="123" t="s">
        <v>749</v>
      </c>
      <c r="E433" s="123" t="b">
        <v>0</v>
      </c>
      <c r="F433" s="123" t="b">
        <v>0</v>
      </c>
      <c r="G433" s="123" t="b">
        <v>0</v>
      </c>
    </row>
    <row r="434" spans="1:7" ht="15">
      <c r="A434" s="123" t="s">
        <v>887</v>
      </c>
      <c r="B434" s="123">
        <v>3</v>
      </c>
      <c r="C434" s="125">
        <v>0.005988969724514591</v>
      </c>
      <c r="D434" s="123" t="s">
        <v>749</v>
      </c>
      <c r="E434" s="123" t="b">
        <v>0</v>
      </c>
      <c r="F434" s="123" t="b">
        <v>0</v>
      </c>
      <c r="G434" s="123" t="b">
        <v>0</v>
      </c>
    </row>
    <row r="435" spans="1:7" ht="15">
      <c r="A435" s="123" t="s">
        <v>916</v>
      </c>
      <c r="B435" s="123">
        <v>3</v>
      </c>
      <c r="C435" s="125">
        <v>0.004883794458474751</v>
      </c>
      <c r="D435" s="123" t="s">
        <v>749</v>
      </c>
      <c r="E435" s="123" t="b">
        <v>0</v>
      </c>
      <c r="F435" s="123" t="b">
        <v>0</v>
      </c>
      <c r="G435" s="123" t="b">
        <v>0</v>
      </c>
    </row>
    <row r="436" spans="1:7" ht="15">
      <c r="A436" s="123" t="s">
        <v>917</v>
      </c>
      <c r="B436" s="123">
        <v>3</v>
      </c>
      <c r="C436" s="125">
        <v>0.004883794458474751</v>
      </c>
      <c r="D436" s="123" t="s">
        <v>749</v>
      </c>
      <c r="E436" s="123" t="b">
        <v>0</v>
      </c>
      <c r="F436" s="123" t="b">
        <v>0</v>
      </c>
      <c r="G436" s="123" t="b">
        <v>0</v>
      </c>
    </row>
    <row r="437" spans="1:7" ht="15">
      <c r="A437" s="123" t="s">
        <v>918</v>
      </c>
      <c r="B437" s="123">
        <v>3</v>
      </c>
      <c r="C437" s="125">
        <v>0.004883794458474751</v>
      </c>
      <c r="D437" s="123" t="s">
        <v>749</v>
      </c>
      <c r="E437" s="123" t="b">
        <v>0</v>
      </c>
      <c r="F437" s="123" t="b">
        <v>0</v>
      </c>
      <c r="G437" s="123" t="b">
        <v>0</v>
      </c>
    </row>
    <row r="438" spans="1:7" ht="15">
      <c r="A438" s="123" t="s">
        <v>919</v>
      </c>
      <c r="B438" s="123">
        <v>3</v>
      </c>
      <c r="C438" s="125">
        <v>0.004883794458474751</v>
      </c>
      <c r="D438" s="123" t="s">
        <v>749</v>
      </c>
      <c r="E438" s="123" t="b">
        <v>0</v>
      </c>
      <c r="F438" s="123" t="b">
        <v>0</v>
      </c>
      <c r="G438" s="123" t="b">
        <v>0</v>
      </c>
    </row>
    <row r="439" spans="1:7" ht="15">
      <c r="A439" s="123" t="s">
        <v>920</v>
      </c>
      <c r="B439" s="123">
        <v>3</v>
      </c>
      <c r="C439" s="125">
        <v>0.004883794458474751</v>
      </c>
      <c r="D439" s="123" t="s">
        <v>749</v>
      </c>
      <c r="E439" s="123" t="b">
        <v>0</v>
      </c>
      <c r="F439" s="123" t="b">
        <v>0</v>
      </c>
      <c r="G439" s="123" t="b">
        <v>0</v>
      </c>
    </row>
    <row r="440" spans="1:7" ht="15">
      <c r="A440" s="123" t="s">
        <v>1098</v>
      </c>
      <c r="B440" s="123">
        <v>2</v>
      </c>
      <c r="C440" s="125">
        <v>0.003992646483009728</v>
      </c>
      <c r="D440" s="123" t="s">
        <v>749</v>
      </c>
      <c r="E440" s="123" t="b">
        <v>0</v>
      </c>
      <c r="F440" s="123" t="b">
        <v>0</v>
      </c>
      <c r="G440" s="123" t="b">
        <v>0</v>
      </c>
    </row>
    <row r="441" spans="1:7" ht="15">
      <c r="A441" s="123" t="s">
        <v>1099</v>
      </c>
      <c r="B441" s="123">
        <v>2</v>
      </c>
      <c r="C441" s="125">
        <v>0.003992646483009728</v>
      </c>
      <c r="D441" s="123" t="s">
        <v>749</v>
      </c>
      <c r="E441" s="123" t="b">
        <v>0</v>
      </c>
      <c r="F441" s="123" t="b">
        <v>0</v>
      </c>
      <c r="G441" s="123" t="b">
        <v>0</v>
      </c>
    </row>
    <row r="442" spans="1:7" ht="15">
      <c r="A442" s="123" t="s">
        <v>820</v>
      </c>
      <c r="B442" s="123">
        <v>2</v>
      </c>
      <c r="C442" s="125">
        <v>0.003992646483009728</v>
      </c>
      <c r="D442" s="123" t="s">
        <v>749</v>
      </c>
      <c r="E442" s="123" t="b">
        <v>0</v>
      </c>
      <c r="F442" s="123" t="b">
        <v>0</v>
      </c>
      <c r="G442" s="123" t="b">
        <v>0</v>
      </c>
    </row>
    <row r="443" spans="1:7" ht="15">
      <c r="A443" s="123" t="s">
        <v>1100</v>
      </c>
      <c r="B443" s="123">
        <v>2</v>
      </c>
      <c r="C443" s="125">
        <v>0.003992646483009728</v>
      </c>
      <c r="D443" s="123" t="s">
        <v>749</v>
      </c>
      <c r="E443" s="123" t="b">
        <v>0</v>
      </c>
      <c r="F443" s="123" t="b">
        <v>0</v>
      </c>
      <c r="G443" s="123" t="b">
        <v>0</v>
      </c>
    </row>
    <row r="444" spans="1:7" ht="15">
      <c r="A444" s="123" t="s">
        <v>1108</v>
      </c>
      <c r="B444" s="123">
        <v>2</v>
      </c>
      <c r="C444" s="125">
        <v>0.005252186213821363</v>
      </c>
      <c r="D444" s="123" t="s">
        <v>749</v>
      </c>
      <c r="E444" s="123" t="b">
        <v>0</v>
      </c>
      <c r="F444" s="123" t="b">
        <v>0</v>
      </c>
      <c r="G444" s="123" t="b">
        <v>0</v>
      </c>
    </row>
    <row r="445" spans="1:7" ht="15">
      <c r="A445" s="123" t="s">
        <v>1009</v>
      </c>
      <c r="B445" s="123">
        <v>2</v>
      </c>
      <c r="C445" s="125">
        <v>0.003992646483009728</v>
      </c>
      <c r="D445" s="123" t="s">
        <v>749</v>
      </c>
      <c r="E445" s="123" t="b">
        <v>0</v>
      </c>
      <c r="F445" s="123" t="b">
        <v>0</v>
      </c>
      <c r="G445" s="123" t="b">
        <v>0</v>
      </c>
    </row>
    <row r="446" spans="1:7" ht="15">
      <c r="A446" s="123" t="s">
        <v>1010</v>
      </c>
      <c r="B446" s="123">
        <v>2</v>
      </c>
      <c r="C446" s="125">
        <v>0.003992646483009728</v>
      </c>
      <c r="D446" s="123" t="s">
        <v>749</v>
      </c>
      <c r="E446" s="123" t="b">
        <v>0</v>
      </c>
      <c r="F446" s="123" t="b">
        <v>0</v>
      </c>
      <c r="G446" s="123" t="b">
        <v>0</v>
      </c>
    </row>
    <row r="447" spans="1:7" ht="15">
      <c r="A447" s="123" t="s">
        <v>1103</v>
      </c>
      <c r="B447" s="123">
        <v>2</v>
      </c>
      <c r="C447" s="125">
        <v>0.003992646483009728</v>
      </c>
      <c r="D447" s="123" t="s">
        <v>749</v>
      </c>
      <c r="E447" s="123" t="b">
        <v>0</v>
      </c>
      <c r="F447" s="123" t="b">
        <v>0</v>
      </c>
      <c r="G447" s="123" t="b">
        <v>0</v>
      </c>
    </row>
    <row r="448" spans="1:7" ht="15">
      <c r="A448" s="123" t="s">
        <v>1104</v>
      </c>
      <c r="B448" s="123">
        <v>2</v>
      </c>
      <c r="C448" s="125">
        <v>0.003992646483009728</v>
      </c>
      <c r="D448" s="123" t="s">
        <v>749</v>
      </c>
      <c r="E448" s="123" t="b">
        <v>0</v>
      </c>
      <c r="F448" s="123" t="b">
        <v>0</v>
      </c>
      <c r="G448" s="123" t="b">
        <v>0</v>
      </c>
    </row>
    <row r="449" spans="1:7" ht="15">
      <c r="A449" s="123" t="s">
        <v>808</v>
      </c>
      <c r="B449" s="123">
        <v>2</v>
      </c>
      <c r="C449" s="125">
        <v>0.003992646483009728</v>
      </c>
      <c r="D449" s="123" t="s">
        <v>749</v>
      </c>
      <c r="E449" s="123" t="b">
        <v>0</v>
      </c>
      <c r="F449" s="123" t="b">
        <v>0</v>
      </c>
      <c r="G449" s="123" t="b">
        <v>0</v>
      </c>
    </row>
    <row r="450" spans="1:7" ht="15">
      <c r="A450" s="123" t="s">
        <v>1001</v>
      </c>
      <c r="B450" s="123">
        <v>2</v>
      </c>
      <c r="C450" s="125">
        <v>0.003992646483009728</v>
      </c>
      <c r="D450" s="123" t="s">
        <v>749</v>
      </c>
      <c r="E450" s="123" t="b">
        <v>0</v>
      </c>
      <c r="F450" s="123" t="b">
        <v>0</v>
      </c>
      <c r="G450" s="123" t="b">
        <v>0</v>
      </c>
    </row>
    <row r="451" spans="1:7" ht="15">
      <c r="A451" s="123" t="s">
        <v>836</v>
      </c>
      <c r="B451" s="123">
        <v>2</v>
      </c>
      <c r="C451" s="125">
        <v>0.003992646483009728</v>
      </c>
      <c r="D451" s="123" t="s">
        <v>749</v>
      </c>
      <c r="E451" s="123" t="b">
        <v>0</v>
      </c>
      <c r="F451" s="123" t="b">
        <v>0</v>
      </c>
      <c r="G451" s="123" t="b">
        <v>0</v>
      </c>
    </row>
    <row r="452" spans="1:7" ht="15">
      <c r="A452" s="123" t="s">
        <v>1002</v>
      </c>
      <c r="B452" s="123">
        <v>2</v>
      </c>
      <c r="C452" s="125">
        <v>0.003992646483009728</v>
      </c>
      <c r="D452" s="123" t="s">
        <v>749</v>
      </c>
      <c r="E452" s="123" t="b">
        <v>0</v>
      </c>
      <c r="F452" s="123" t="b">
        <v>0</v>
      </c>
      <c r="G452" s="123" t="b">
        <v>0</v>
      </c>
    </row>
    <row r="453" spans="1:7" ht="15">
      <c r="A453" s="123" t="s">
        <v>1101</v>
      </c>
      <c r="B453" s="123">
        <v>2</v>
      </c>
      <c r="C453" s="125">
        <v>0.005252186213821363</v>
      </c>
      <c r="D453" s="123" t="s">
        <v>749</v>
      </c>
      <c r="E453" s="123" t="b">
        <v>0</v>
      </c>
      <c r="F453" s="123" t="b">
        <v>0</v>
      </c>
      <c r="G453" s="123" t="b">
        <v>0</v>
      </c>
    </row>
    <row r="454" spans="1:7" ht="15">
      <c r="A454" s="123" t="s">
        <v>883</v>
      </c>
      <c r="B454" s="123">
        <v>2</v>
      </c>
      <c r="C454" s="125">
        <v>0.005252186213821363</v>
      </c>
      <c r="D454" s="123" t="s">
        <v>749</v>
      </c>
      <c r="E454" s="123" t="b">
        <v>0</v>
      </c>
      <c r="F454" s="123" t="b">
        <v>0</v>
      </c>
      <c r="G454" s="123" t="b">
        <v>0</v>
      </c>
    </row>
    <row r="455" spans="1:7" ht="15">
      <c r="A455" s="123" t="s">
        <v>1102</v>
      </c>
      <c r="B455" s="123">
        <v>2</v>
      </c>
      <c r="C455" s="125">
        <v>0.005252186213821363</v>
      </c>
      <c r="D455" s="123" t="s">
        <v>749</v>
      </c>
      <c r="E455" s="123" t="b">
        <v>0</v>
      </c>
      <c r="F455" s="123" t="b">
        <v>0</v>
      </c>
      <c r="G455" s="123" t="b">
        <v>0</v>
      </c>
    </row>
    <row r="456" spans="1:7" ht="15">
      <c r="A456" s="123" t="s">
        <v>907</v>
      </c>
      <c r="B456" s="123">
        <v>2</v>
      </c>
      <c r="C456" s="125">
        <v>0.005252186213821363</v>
      </c>
      <c r="D456" s="123" t="s">
        <v>749</v>
      </c>
      <c r="E456" s="123" t="b">
        <v>0</v>
      </c>
      <c r="F456" s="123" t="b">
        <v>0</v>
      </c>
      <c r="G456" s="123" t="b">
        <v>0</v>
      </c>
    </row>
    <row r="457" spans="1:7" ht="15">
      <c r="A457" s="123" t="s">
        <v>976</v>
      </c>
      <c r="B457" s="123">
        <v>2</v>
      </c>
      <c r="C457" s="125">
        <v>0.005252186213821363</v>
      </c>
      <c r="D457" s="123" t="s">
        <v>749</v>
      </c>
      <c r="E457" s="123" t="b">
        <v>0</v>
      </c>
      <c r="F457" s="123" t="b">
        <v>0</v>
      </c>
      <c r="G457" s="123" t="b">
        <v>0</v>
      </c>
    </row>
    <row r="458" spans="1:7" ht="15">
      <c r="A458" s="123" t="s">
        <v>1105</v>
      </c>
      <c r="B458" s="123">
        <v>2</v>
      </c>
      <c r="C458" s="125">
        <v>0.005252186213821363</v>
      </c>
      <c r="D458" s="123" t="s">
        <v>749</v>
      </c>
      <c r="E458" s="123" t="b">
        <v>0</v>
      </c>
      <c r="F458" s="123" t="b">
        <v>0</v>
      </c>
      <c r="G458" s="123" t="b">
        <v>0</v>
      </c>
    </row>
    <row r="459" spans="1:7" ht="15">
      <c r="A459" s="123" t="s">
        <v>1106</v>
      </c>
      <c r="B459" s="123">
        <v>2</v>
      </c>
      <c r="C459" s="125">
        <v>0.005252186213821363</v>
      </c>
      <c r="D459" s="123" t="s">
        <v>749</v>
      </c>
      <c r="E459" s="123" t="b">
        <v>0</v>
      </c>
      <c r="F459" s="123" t="b">
        <v>0</v>
      </c>
      <c r="G459" s="123" t="b">
        <v>0</v>
      </c>
    </row>
    <row r="460" spans="1:7" ht="15">
      <c r="A460" s="123" t="s">
        <v>780</v>
      </c>
      <c r="B460" s="123">
        <v>2</v>
      </c>
      <c r="C460" s="125">
        <v>0.003992646483009728</v>
      </c>
      <c r="D460" s="123" t="s">
        <v>749</v>
      </c>
      <c r="E460" s="123" t="b">
        <v>0</v>
      </c>
      <c r="F460" s="123" t="b">
        <v>0</v>
      </c>
      <c r="G460" s="123" t="b">
        <v>0</v>
      </c>
    </row>
    <row r="461" spans="1:7" ht="15">
      <c r="A461" s="123" t="s">
        <v>888</v>
      </c>
      <c r="B461" s="123">
        <v>2</v>
      </c>
      <c r="C461" s="125">
        <v>0.003992646483009728</v>
      </c>
      <c r="D461" s="123" t="s">
        <v>749</v>
      </c>
      <c r="E461" s="123" t="b">
        <v>0</v>
      </c>
      <c r="F461" s="123" t="b">
        <v>0</v>
      </c>
      <c r="G461" s="123" t="b">
        <v>0</v>
      </c>
    </row>
    <row r="462" spans="1:7" ht="15">
      <c r="A462" s="123" t="s">
        <v>870</v>
      </c>
      <c r="B462" s="123">
        <v>2</v>
      </c>
      <c r="C462" s="125">
        <v>0.003992646483009728</v>
      </c>
      <c r="D462" s="123" t="s">
        <v>749</v>
      </c>
      <c r="E462" s="123" t="b">
        <v>0</v>
      </c>
      <c r="F462" s="123" t="b">
        <v>0</v>
      </c>
      <c r="G462" s="123" t="b">
        <v>0</v>
      </c>
    </row>
    <row r="463" spans="1:7" ht="15">
      <c r="A463" s="123" t="s">
        <v>1006</v>
      </c>
      <c r="B463" s="123">
        <v>2</v>
      </c>
      <c r="C463" s="125">
        <v>0.003992646483009728</v>
      </c>
      <c r="D463" s="123" t="s">
        <v>749</v>
      </c>
      <c r="E463" s="123" t="b">
        <v>0</v>
      </c>
      <c r="F463" s="123" t="b">
        <v>0</v>
      </c>
      <c r="G463" s="123" t="b">
        <v>0</v>
      </c>
    </row>
    <row r="464" spans="1:7" ht="15">
      <c r="A464" s="123" t="s">
        <v>869</v>
      </c>
      <c r="B464" s="123">
        <v>2</v>
      </c>
      <c r="C464" s="125">
        <v>0.003992646483009728</v>
      </c>
      <c r="D464" s="123" t="s">
        <v>749</v>
      </c>
      <c r="E464" s="123" t="b">
        <v>0</v>
      </c>
      <c r="F464" s="123" t="b">
        <v>0</v>
      </c>
      <c r="G464" s="123" t="b">
        <v>0</v>
      </c>
    </row>
    <row r="465" spans="1:7" ht="15">
      <c r="A465" s="123" t="s">
        <v>1003</v>
      </c>
      <c r="B465" s="123">
        <v>2</v>
      </c>
      <c r="C465" s="125">
        <v>0.003992646483009728</v>
      </c>
      <c r="D465" s="123" t="s">
        <v>749</v>
      </c>
      <c r="E465" s="123" t="b">
        <v>0</v>
      </c>
      <c r="F465" s="123" t="b">
        <v>0</v>
      </c>
      <c r="G465" s="123" t="b">
        <v>0</v>
      </c>
    </row>
    <row r="466" spans="1:7" ht="15">
      <c r="A466" s="123" t="s">
        <v>925</v>
      </c>
      <c r="B466" s="123">
        <v>2</v>
      </c>
      <c r="C466" s="125">
        <v>0.003992646483009728</v>
      </c>
      <c r="D466" s="123" t="s">
        <v>749</v>
      </c>
      <c r="E466" s="123" t="b">
        <v>0</v>
      </c>
      <c r="F466" s="123" t="b">
        <v>0</v>
      </c>
      <c r="G466" s="123" t="b">
        <v>0</v>
      </c>
    </row>
    <row r="467" spans="1:7" ht="15">
      <c r="A467" s="123" t="s">
        <v>1014</v>
      </c>
      <c r="B467" s="123">
        <v>2</v>
      </c>
      <c r="C467" s="125">
        <v>0.003992646483009728</v>
      </c>
      <c r="D467" s="123" t="s">
        <v>749</v>
      </c>
      <c r="E467" s="123" t="b">
        <v>0</v>
      </c>
      <c r="F467" s="123" t="b">
        <v>0</v>
      </c>
      <c r="G467" s="123" t="b">
        <v>0</v>
      </c>
    </row>
    <row r="468" spans="1:7" ht="15">
      <c r="A468" s="123" t="s">
        <v>1015</v>
      </c>
      <c r="B468" s="123">
        <v>2</v>
      </c>
      <c r="C468" s="125">
        <v>0.003992646483009728</v>
      </c>
      <c r="D468" s="123" t="s">
        <v>749</v>
      </c>
      <c r="E468" s="123" t="b">
        <v>0</v>
      </c>
      <c r="F468" s="123" t="b">
        <v>0</v>
      </c>
      <c r="G468" s="123" t="b">
        <v>0</v>
      </c>
    </row>
    <row r="469" spans="1:7" ht="15">
      <c r="A469" s="123" t="s">
        <v>1011</v>
      </c>
      <c r="B469" s="123">
        <v>2</v>
      </c>
      <c r="C469" s="125">
        <v>0.005252186213821363</v>
      </c>
      <c r="D469" s="123" t="s">
        <v>749</v>
      </c>
      <c r="E469" s="123" t="b">
        <v>0</v>
      </c>
      <c r="F469" s="123" t="b">
        <v>0</v>
      </c>
      <c r="G469" s="123" t="b">
        <v>0</v>
      </c>
    </row>
    <row r="470" spans="1:7" ht="15">
      <c r="A470" s="123" t="s">
        <v>1012</v>
      </c>
      <c r="B470" s="123">
        <v>2</v>
      </c>
      <c r="C470" s="125">
        <v>0.005252186213821363</v>
      </c>
      <c r="D470" s="123" t="s">
        <v>749</v>
      </c>
      <c r="E470" s="123" t="b">
        <v>0</v>
      </c>
      <c r="F470" s="123" t="b">
        <v>0</v>
      </c>
      <c r="G470" s="123" t="b">
        <v>0</v>
      </c>
    </row>
    <row r="471" spans="1:7" ht="15">
      <c r="A471" s="123" t="s">
        <v>997</v>
      </c>
      <c r="B471" s="123">
        <v>2</v>
      </c>
      <c r="C471" s="125">
        <v>0.003992646483009728</v>
      </c>
      <c r="D471" s="123" t="s">
        <v>749</v>
      </c>
      <c r="E471" s="123" t="b">
        <v>0</v>
      </c>
      <c r="F471" s="123" t="b">
        <v>0</v>
      </c>
      <c r="G471" s="123" t="b">
        <v>0</v>
      </c>
    </row>
    <row r="472" spans="1:7" ht="15">
      <c r="A472" s="123" t="s">
        <v>1000</v>
      </c>
      <c r="B472" s="123">
        <v>2</v>
      </c>
      <c r="C472" s="125">
        <v>0.005252186213821363</v>
      </c>
      <c r="D472" s="123" t="s">
        <v>749</v>
      </c>
      <c r="E472" s="123" t="b">
        <v>0</v>
      </c>
      <c r="F472" s="123" t="b">
        <v>0</v>
      </c>
      <c r="G472" s="123" t="b">
        <v>0</v>
      </c>
    </row>
    <row r="473" spans="1:7" ht="15">
      <c r="A473" s="123" t="s">
        <v>1004</v>
      </c>
      <c r="B473" s="123">
        <v>2</v>
      </c>
      <c r="C473" s="125">
        <v>0.005252186213821363</v>
      </c>
      <c r="D473" s="123" t="s">
        <v>749</v>
      </c>
      <c r="E473" s="123" t="b">
        <v>0</v>
      </c>
      <c r="F473" s="123" t="b">
        <v>0</v>
      </c>
      <c r="G473" s="123" t="b">
        <v>0</v>
      </c>
    </row>
    <row r="474" spans="1:7" ht="15">
      <c r="A474" s="123" t="s">
        <v>1005</v>
      </c>
      <c r="B474" s="123">
        <v>2</v>
      </c>
      <c r="C474" s="125">
        <v>0.005252186213821363</v>
      </c>
      <c r="D474" s="123" t="s">
        <v>749</v>
      </c>
      <c r="E474" s="123" t="b">
        <v>0</v>
      </c>
      <c r="F474" s="123" t="b">
        <v>0</v>
      </c>
      <c r="G474" s="123" t="b">
        <v>0</v>
      </c>
    </row>
    <row r="475" spans="1:7" ht="15">
      <c r="A475" s="123" t="s">
        <v>783</v>
      </c>
      <c r="B475" s="123">
        <v>52</v>
      </c>
      <c r="C475" s="125">
        <v>0</v>
      </c>
      <c r="D475" s="123" t="s">
        <v>750</v>
      </c>
      <c r="E475" s="123" t="b">
        <v>0</v>
      </c>
      <c r="F475" s="123" t="b">
        <v>0</v>
      </c>
      <c r="G475" s="123" t="b">
        <v>0</v>
      </c>
    </row>
    <row r="476" spans="1:7" ht="15">
      <c r="A476" s="123" t="s">
        <v>782</v>
      </c>
      <c r="B476" s="123">
        <v>50</v>
      </c>
      <c r="C476" s="125">
        <v>0</v>
      </c>
      <c r="D476" s="123" t="s">
        <v>750</v>
      </c>
      <c r="E476" s="123" t="b">
        <v>0</v>
      </c>
      <c r="F476" s="123" t="b">
        <v>0</v>
      </c>
      <c r="G476" s="123" t="b">
        <v>0</v>
      </c>
    </row>
    <row r="477" spans="1:7" ht="15">
      <c r="A477" s="123" t="s">
        <v>785</v>
      </c>
      <c r="B477" s="123">
        <v>44</v>
      </c>
      <c r="C477" s="125">
        <v>0</v>
      </c>
      <c r="D477" s="123" t="s">
        <v>750</v>
      </c>
      <c r="E477" s="123" t="b">
        <v>0</v>
      </c>
      <c r="F477" s="123" t="b">
        <v>0</v>
      </c>
      <c r="G477" s="123" t="b">
        <v>0</v>
      </c>
    </row>
    <row r="478" spans="1:7" ht="15">
      <c r="A478" s="123" t="s">
        <v>787</v>
      </c>
      <c r="B478" s="123">
        <v>27</v>
      </c>
      <c r="C478" s="125">
        <v>0</v>
      </c>
      <c r="D478" s="123" t="s">
        <v>750</v>
      </c>
      <c r="E478" s="123" t="b">
        <v>0</v>
      </c>
      <c r="F478" s="123" t="b">
        <v>0</v>
      </c>
      <c r="G478" s="123" t="b">
        <v>0</v>
      </c>
    </row>
    <row r="479" spans="1:7" ht="15">
      <c r="A479" s="123" t="s">
        <v>788</v>
      </c>
      <c r="B479" s="123">
        <v>21</v>
      </c>
      <c r="C479" s="125">
        <v>0</v>
      </c>
      <c r="D479" s="123" t="s">
        <v>750</v>
      </c>
      <c r="E479" s="123" t="b">
        <v>0</v>
      </c>
      <c r="F479" s="123" t="b">
        <v>1</v>
      </c>
      <c r="G479" s="123" t="b">
        <v>0</v>
      </c>
    </row>
    <row r="480" spans="1:7" ht="15">
      <c r="A480" s="123" t="s">
        <v>784</v>
      </c>
      <c r="B480" s="123">
        <v>20</v>
      </c>
      <c r="C480" s="125">
        <v>0.003876400520322257</v>
      </c>
      <c r="D480" s="123" t="s">
        <v>750</v>
      </c>
      <c r="E480" s="123" t="b">
        <v>0</v>
      </c>
      <c r="F480" s="123" t="b">
        <v>0</v>
      </c>
      <c r="G480" s="123" t="b">
        <v>0</v>
      </c>
    </row>
    <row r="481" spans="1:7" ht="15">
      <c r="A481" s="123" t="s">
        <v>796</v>
      </c>
      <c r="B481" s="123">
        <v>14</v>
      </c>
      <c r="C481" s="125">
        <v>0</v>
      </c>
      <c r="D481" s="123" t="s">
        <v>750</v>
      </c>
      <c r="E481" s="123" t="b">
        <v>0</v>
      </c>
      <c r="F481" s="123" t="b">
        <v>0</v>
      </c>
      <c r="G481" s="123" t="b">
        <v>0</v>
      </c>
    </row>
    <row r="482" spans="1:7" ht="15">
      <c r="A482" s="123" t="s">
        <v>789</v>
      </c>
      <c r="B482" s="123">
        <v>13</v>
      </c>
      <c r="C482" s="125">
        <v>0.002519660338209467</v>
      </c>
      <c r="D482" s="123" t="s">
        <v>750</v>
      </c>
      <c r="E482" s="123" t="b">
        <v>0</v>
      </c>
      <c r="F482" s="123" t="b">
        <v>0</v>
      </c>
      <c r="G482" s="123" t="b">
        <v>0</v>
      </c>
    </row>
    <row r="483" spans="1:7" ht="15">
      <c r="A483" s="123" t="s">
        <v>811</v>
      </c>
      <c r="B483" s="123">
        <v>12</v>
      </c>
      <c r="C483" s="125">
        <v>0</v>
      </c>
      <c r="D483" s="123" t="s">
        <v>750</v>
      </c>
      <c r="E483" s="123" t="b">
        <v>0</v>
      </c>
      <c r="F483" s="123" t="b">
        <v>0</v>
      </c>
      <c r="G483" s="123" t="b">
        <v>0</v>
      </c>
    </row>
    <row r="484" spans="1:7" ht="15">
      <c r="A484" s="123" t="s">
        <v>815</v>
      </c>
      <c r="B484" s="123">
        <v>10</v>
      </c>
      <c r="C484" s="125">
        <v>0</v>
      </c>
      <c r="D484" s="123" t="s">
        <v>750</v>
      </c>
      <c r="E484" s="123" t="b">
        <v>0</v>
      </c>
      <c r="F484" s="123" t="b">
        <v>0</v>
      </c>
      <c r="G484" s="123" t="b">
        <v>0</v>
      </c>
    </row>
    <row r="485" spans="1:7" ht="15">
      <c r="A485" s="123" t="s">
        <v>803</v>
      </c>
      <c r="B485" s="123">
        <v>10</v>
      </c>
      <c r="C485" s="125">
        <v>0.0009151498112135029</v>
      </c>
      <c r="D485" s="123" t="s">
        <v>750</v>
      </c>
      <c r="E485" s="123" t="b">
        <v>0</v>
      </c>
      <c r="F485" s="123" t="b">
        <v>0</v>
      </c>
      <c r="G485" s="123" t="b">
        <v>0</v>
      </c>
    </row>
    <row r="486" spans="1:7" ht="15">
      <c r="A486" s="123" t="s">
        <v>790</v>
      </c>
      <c r="B486" s="123">
        <v>10</v>
      </c>
      <c r="C486" s="125">
        <v>0</v>
      </c>
      <c r="D486" s="123" t="s">
        <v>750</v>
      </c>
      <c r="E486" s="123" t="b">
        <v>0</v>
      </c>
      <c r="F486" s="123" t="b">
        <v>0</v>
      </c>
      <c r="G486" s="123" t="b">
        <v>0</v>
      </c>
    </row>
    <row r="487" spans="1:7" ht="15">
      <c r="A487" s="123" t="s">
        <v>805</v>
      </c>
      <c r="B487" s="123">
        <v>9</v>
      </c>
      <c r="C487" s="125">
        <v>0.0008236348300921525</v>
      </c>
      <c r="D487" s="123" t="s">
        <v>750</v>
      </c>
      <c r="E487" s="123" t="b">
        <v>0</v>
      </c>
      <c r="F487" s="123" t="b">
        <v>0</v>
      </c>
      <c r="G487" s="123" t="b">
        <v>0</v>
      </c>
    </row>
    <row r="488" spans="1:7" ht="15">
      <c r="A488" s="123" t="s">
        <v>828</v>
      </c>
      <c r="B488" s="123">
        <v>9</v>
      </c>
      <c r="C488" s="125">
        <v>0.0008236348300921525</v>
      </c>
      <c r="D488" s="123" t="s">
        <v>750</v>
      </c>
      <c r="E488" s="123" t="b">
        <v>0</v>
      </c>
      <c r="F488" s="123" t="b">
        <v>0</v>
      </c>
      <c r="G488" s="123" t="b">
        <v>0</v>
      </c>
    </row>
    <row r="489" spans="1:7" ht="15">
      <c r="A489" s="123" t="s">
        <v>780</v>
      </c>
      <c r="B489" s="123">
        <v>9</v>
      </c>
      <c r="C489" s="125">
        <v>0.0017443802341450155</v>
      </c>
      <c r="D489" s="123" t="s">
        <v>750</v>
      </c>
      <c r="E489" s="123" t="b">
        <v>0</v>
      </c>
      <c r="F489" s="123" t="b">
        <v>0</v>
      </c>
      <c r="G489" s="123" t="b">
        <v>0</v>
      </c>
    </row>
    <row r="490" spans="1:7" ht="15">
      <c r="A490" s="123" t="s">
        <v>863</v>
      </c>
      <c r="B490" s="123">
        <v>4</v>
      </c>
      <c r="C490" s="125">
        <v>0.004183029962242701</v>
      </c>
      <c r="D490" s="123" t="s">
        <v>750</v>
      </c>
      <c r="E490" s="123" t="b">
        <v>0</v>
      </c>
      <c r="F490" s="123" t="b">
        <v>0</v>
      </c>
      <c r="G490" s="123" t="b">
        <v>0</v>
      </c>
    </row>
    <row r="491" spans="1:7" ht="15">
      <c r="A491" s="123" t="s">
        <v>845</v>
      </c>
      <c r="B491" s="123">
        <v>4</v>
      </c>
      <c r="C491" s="125">
        <v>0.008</v>
      </c>
      <c r="D491" s="123" t="s">
        <v>750</v>
      </c>
      <c r="E491" s="123" t="b">
        <v>0</v>
      </c>
      <c r="F491" s="123" t="b">
        <v>0</v>
      </c>
      <c r="G491" s="123" t="b">
        <v>0</v>
      </c>
    </row>
    <row r="492" spans="1:7" ht="15">
      <c r="A492" s="123" t="s">
        <v>846</v>
      </c>
      <c r="B492" s="123">
        <v>4</v>
      </c>
      <c r="C492" s="125">
        <v>0.008</v>
      </c>
      <c r="D492" s="123" t="s">
        <v>750</v>
      </c>
      <c r="E492" s="123" t="b">
        <v>0</v>
      </c>
      <c r="F492" s="123" t="b">
        <v>0</v>
      </c>
      <c r="G492" s="123" t="b">
        <v>0</v>
      </c>
    </row>
    <row r="493" spans="1:7" ht="15">
      <c r="A493" s="123" t="s">
        <v>808</v>
      </c>
      <c r="B493" s="123">
        <v>3</v>
      </c>
      <c r="C493" s="125">
        <v>0.004193820026016113</v>
      </c>
      <c r="D493" s="123" t="s">
        <v>750</v>
      </c>
      <c r="E493" s="123" t="b">
        <v>0</v>
      </c>
      <c r="F493" s="123" t="b">
        <v>0</v>
      </c>
      <c r="G493" s="123" t="b">
        <v>0</v>
      </c>
    </row>
    <row r="494" spans="1:7" ht="15">
      <c r="A494" s="123" t="s">
        <v>858</v>
      </c>
      <c r="B494" s="123">
        <v>3</v>
      </c>
      <c r="C494" s="125">
        <v>0.006</v>
      </c>
      <c r="D494" s="123" t="s">
        <v>750</v>
      </c>
      <c r="E494" s="123" t="b">
        <v>0</v>
      </c>
      <c r="F494" s="123" t="b">
        <v>0</v>
      </c>
      <c r="G494" s="123" t="b">
        <v>0</v>
      </c>
    </row>
    <row r="495" spans="1:7" ht="15">
      <c r="A495" s="123" t="s">
        <v>985</v>
      </c>
      <c r="B495" s="123">
        <v>3</v>
      </c>
      <c r="C495" s="125">
        <v>0.006</v>
      </c>
      <c r="D495" s="123" t="s">
        <v>750</v>
      </c>
      <c r="E495" s="123" t="b">
        <v>0</v>
      </c>
      <c r="F495" s="123" t="b">
        <v>0</v>
      </c>
      <c r="G495" s="123" t="b">
        <v>0</v>
      </c>
    </row>
    <row r="496" spans="1:7" ht="15">
      <c r="A496" s="123" t="s">
        <v>781</v>
      </c>
      <c r="B496" s="123">
        <v>2</v>
      </c>
      <c r="C496" s="125">
        <v>0.004</v>
      </c>
      <c r="D496" s="123" t="s">
        <v>750</v>
      </c>
      <c r="E496" s="123" t="b">
        <v>0</v>
      </c>
      <c r="F496" s="123" t="b">
        <v>0</v>
      </c>
      <c r="G496" s="123" t="b">
        <v>0</v>
      </c>
    </row>
    <row r="497" spans="1:7" ht="15">
      <c r="A497" s="123" t="s">
        <v>779</v>
      </c>
      <c r="B497" s="123">
        <v>2</v>
      </c>
      <c r="C497" s="125">
        <v>0.004</v>
      </c>
      <c r="D497" s="123" t="s">
        <v>750</v>
      </c>
      <c r="E497" s="123" t="b">
        <v>0</v>
      </c>
      <c r="F497" s="123" t="b">
        <v>0</v>
      </c>
      <c r="G497" s="123" t="b">
        <v>0</v>
      </c>
    </row>
    <row r="498" spans="1:7" ht="15">
      <c r="A498" s="123" t="s">
        <v>795</v>
      </c>
      <c r="B498" s="123">
        <v>2</v>
      </c>
      <c r="C498" s="125">
        <v>0.0027958800173440755</v>
      </c>
      <c r="D498" s="123" t="s">
        <v>750</v>
      </c>
      <c r="E498" s="123" t="b">
        <v>0</v>
      </c>
      <c r="F498" s="123" t="b">
        <v>0</v>
      </c>
      <c r="G498" s="123" t="b">
        <v>0</v>
      </c>
    </row>
    <row r="499" spans="1:7" ht="15">
      <c r="A499" s="123" t="s">
        <v>893</v>
      </c>
      <c r="B499" s="123">
        <v>2</v>
      </c>
      <c r="C499" s="125">
        <v>0.004</v>
      </c>
      <c r="D499" s="123" t="s">
        <v>750</v>
      </c>
      <c r="E499" s="123" t="b">
        <v>1</v>
      </c>
      <c r="F499" s="123" t="b">
        <v>0</v>
      </c>
      <c r="G499" s="123" t="b">
        <v>0</v>
      </c>
    </row>
    <row r="500" spans="1:7" ht="15">
      <c r="A500" s="123" t="s">
        <v>1141</v>
      </c>
      <c r="B500" s="123">
        <v>2</v>
      </c>
      <c r="C500" s="125">
        <v>0.0027958800173440755</v>
      </c>
      <c r="D500" s="123" t="s">
        <v>750</v>
      </c>
      <c r="E500" s="123" t="b">
        <v>0</v>
      </c>
      <c r="F500" s="123" t="b">
        <v>0</v>
      </c>
      <c r="G500" s="123" t="b">
        <v>0</v>
      </c>
    </row>
    <row r="501" spans="1:7" ht="15">
      <c r="A501" s="123" t="s">
        <v>1142</v>
      </c>
      <c r="B501" s="123">
        <v>2</v>
      </c>
      <c r="C501" s="125">
        <v>0.004</v>
      </c>
      <c r="D501" s="123" t="s">
        <v>750</v>
      </c>
      <c r="E501" s="123" t="b">
        <v>0</v>
      </c>
      <c r="F501" s="123" t="b">
        <v>0</v>
      </c>
      <c r="G501" s="123" t="b">
        <v>0</v>
      </c>
    </row>
    <row r="502" spans="1:7" ht="15">
      <c r="A502" s="123" t="s">
        <v>1143</v>
      </c>
      <c r="B502" s="123">
        <v>2</v>
      </c>
      <c r="C502" s="125">
        <v>0.004</v>
      </c>
      <c r="D502" s="123" t="s">
        <v>750</v>
      </c>
      <c r="E502" s="123" t="b">
        <v>0</v>
      </c>
      <c r="F502" s="123" t="b">
        <v>0</v>
      </c>
      <c r="G502" s="123" t="b">
        <v>0</v>
      </c>
    </row>
    <row r="503" spans="1:7" ht="15">
      <c r="A503" s="123" t="s">
        <v>1134</v>
      </c>
      <c r="B503" s="123">
        <v>2</v>
      </c>
      <c r="C503" s="125">
        <v>0.0027958800173440755</v>
      </c>
      <c r="D503" s="123" t="s">
        <v>750</v>
      </c>
      <c r="E503" s="123" t="b">
        <v>0</v>
      </c>
      <c r="F503" s="123" t="b">
        <v>0</v>
      </c>
      <c r="G503" s="123" t="b">
        <v>0</v>
      </c>
    </row>
    <row r="504" spans="1:7" ht="15">
      <c r="A504" s="123" t="s">
        <v>797</v>
      </c>
      <c r="B504" s="123">
        <v>2</v>
      </c>
      <c r="C504" s="125">
        <v>0.0027958800173440755</v>
      </c>
      <c r="D504" s="123" t="s">
        <v>750</v>
      </c>
      <c r="E504" s="123" t="b">
        <v>0</v>
      </c>
      <c r="F504" s="123" t="b">
        <v>0</v>
      </c>
      <c r="G504" s="123" t="b">
        <v>0</v>
      </c>
    </row>
    <row r="505" spans="1:7" ht="15">
      <c r="A505" s="123" t="s">
        <v>792</v>
      </c>
      <c r="B505" s="123">
        <v>2</v>
      </c>
      <c r="C505" s="125">
        <v>0.0027958800173440755</v>
      </c>
      <c r="D505" s="123" t="s">
        <v>750</v>
      </c>
      <c r="E505" s="123" t="b">
        <v>0</v>
      </c>
      <c r="F505" s="123" t="b">
        <v>0</v>
      </c>
      <c r="G505" s="123" t="b">
        <v>0</v>
      </c>
    </row>
    <row r="506" spans="1:7" ht="15">
      <c r="A506" s="123" t="s">
        <v>884</v>
      </c>
      <c r="B506" s="123">
        <v>2</v>
      </c>
      <c r="C506" s="125">
        <v>0.0027958800173440755</v>
      </c>
      <c r="D506" s="123" t="s">
        <v>750</v>
      </c>
      <c r="E506" s="123" t="b">
        <v>0</v>
      </c>
      <c r="F506" s="123" t="b">
        <v>0</v>
      </c>
      <c r="G506" s="123" t="b">
        <v>0</v>
      </c>
    </row>
    <row r="507" spans="1:7" ht="15">
      <c r="A507" s="123" t="s">
        <v>1136</v>
      </c>
      <c r="B507" s="123">
        <v>2</v>
      </c>
      <c r="C507" s="125">
        <v>0.0027958800173440755</v>
      </c>
      <c r="D507" s="123" t="s">
        <v>750</v>
      </c>
      <c r="E507" s="123" t="b">
        <v>0</v>
      </c>
      <c r="F507" s="123" t="b">
        <v>0</v>
      </c>
      <c r="G507" s="123" t="b">
        <v>0</v>
      </c>
    </row>
    <row r="508" spans="1:7" ht="15">
      <c r="A508" s="123" t="s">
        <v>911</v>
      </c>
      <c r="B508" s="123">
        <v>2</v>
      </c>
      <c r="C508" s="125">
        <v>0.0027958800173440755</v>
      </c>
      <c r="D508" s="123" t="s">
        <v>750</v>
      </c>
      <c r="E508" s="123" t="b">
        <v>0</v>
      </c>
      <c r="F508" s="123" t="b">
        <v>0</v>
      </c>
      <c r="G508" s="123" t="b">
        <v>0</v>
      </c>
    </row>
    <row r="509" spans="1:7" ht="15">
      <c r="A509" s="123" t="s">
        <v>804</v>
      </c>
      <c r="B509" s="123">
        <v>2</v>
      </c>
      <c r="C509" s="125">
        <v>0.004</v>
      </c>
      <c r="D509" s="123" t="s">
        <v>750</v>
      </c>
      <c r="E509" s="123" t="b">
        <v>0</v>
      </c>
      <c r="F509" s="123" t="b">
        <v>0</v>
      </c>
      <c r="G509" s="123" t="b">
        <v>0</v>
      </c>
    </row>
    <row r="510" spans="1:7" ht="15">
      <c r="A510" s="123" t="s">
        <v>1137</v>
      </c>
      <c r="B510" s="123">
        <v>2</v>
      </c>
      <c r="C510" s="125">
        <v>0.004</v>
      </c>
      <c r="D510" s="123" t="s">
        <v>750</v>
      </c>
      <c r="E510" s="123" t="b">
        <v>0</v>
      </c>
      <c r="F510" s="123" t="b">
        <v>0</v>
      </c>
      <c r="G510" s="123" t="b">
        <v>0</v>
      </c>
    </row>
    <row r="511" spans="1:7" ht="15">
      <c r="A511" s="123" t="s">
        <v>1138</v>
      </c>
      <c r="B511" s="123">
        <v>2</v>
      </c>
      <c r="C511" s="125">
        <v>0.004</v>
      </c>
      <c r="D511" s="123" t="s">
        <v>750</v>
      </c>
      <c r="E511" s="123" t="b">
        <v>0</v>
      </c>
      <c r="F511" s="123" t="b">
        <v>0</v>
      </c>
      <c r="G511" s="123" t="b">
        <v>0</v>
      </c>
    </row>
    <row r="512" spans="1:7" ht="15">
      <c r="A512" s="123" t="s">
        <v>1139</v>
      </c>
      <c r="B512" s="123">
        <v>2</v>
      </c>
      <c r="C512" s="125">
        <v>0.004</v>
      </c>
      <c r="D512" s="123" t="s">
        <v>750</v>
      </c>
      <c r="E512" s="123" t="b">
        <v>0</v>
      </c>
      <c r="F512" s="123" t="b">
        <v>0</v>
      </c>
      <c r="G512" s="123" t="b">
        <v>0</v>
      </c>
    </row>
    <row r="513" spans="1:7" ht="15">
      <c r="A513" s="123" t="s">
        <v>1140</v>
      </c>
      <c r="B513" s="123">
        <v>2</v>
      </c>
      <c r="C513" s="125">
        <v>0.004</v>
      </c>
      <c r="D513" s="123" t="s">
        <v>750</v>
      </c>
      <c r="E513" s="123" t="b">
        <v>0</v>
      </c>
      <c r="F513" s="123" t="b">
        <v>1</v>
      </c>
      <c r="G513" s="123" t="b">
        <v>0</v>
      </c>
    </row>
    <row r="514" spans="1:7" ht="15">
      <c r="A514" s="123" t="s">
        <v>908</v>
      </c>
      <c r="B514" s="123">
        <v>2</v>
      </c>
      <c r="C514" s="125">
        <v>0.0027958800173440755</v>
      </c>
      <c r="D514" s="123" t="s">
        <v>750</v>
      </c>
      <c r="E514" s="123" t="b">
        <v>0</v>
      </c>
      <c r="F514" s="123" t="b">
        <v>0</v>
      </c>
      <c r="G514" s="123" t="b">
        <v>0</v>
      </c>
    </row>
    <row r="515" spans="1:7" ht="15">
      <c r="A515" s="123" t="s">
        <v>871</v>
      </c>
      <c r="B515" s="123">
        <v>2</v>
      </c>
      <c r="C515" s="125">
        <v>0.0027958800173440755</v>
      </c>
      <c r="D515" s="123" t="s">
        <v>750</v>
      </c>
      <c r="E515" s="123" t="b">
        <v>0</v>
      </c>
      <c r="F515" s="123" t="b">
        <v>0</v>
      </c>
      <c r="G515" s="123" t="b">
        <v>0</v>
      </c>
    </row>
    <row r="516" spans="1:7" ht="15">
      <c r="A516" s="123" t="s">
        <v>980</v>
      </c>
      <c r="B516" s="123">
        <v>2</v>
      </c>
      <c r="C516" s="125">
        <v>0.0027958800173440755</v>
      </c>
      <c r="D516" s="123" t="s">
        <v>750</v>
      </c>
      <c r="E516" s="123" t="b">
        <v>0</v>
      </c>
      <c r="F516" s="123" t="b">
        <v>1</v>
      </c>
      <c r="G516" s="123" t="b">
        <v>0</v>
      </c>
    </row>
    <row r="517" spans="1:7" ht="15">
      <c r="A517" s="123" t="s">
        <v>906</v>
      </c>
      <c r="B517" s="123">
        <v>2</v>
      </c>
      <c r="C517" s="125">
        <v>0.0027958800173440755</v>
      </c>
      <c r="D517" s="123" t="s">
        <v>750</v>
      </c>
      <c r="E517" s="123" t="b">
        <v>0</v>
      </c>
      <c r="F517" s="123" t="b">
        <v>0</v>
      </c>
      <c r="G517" s="123" t="b">
        <v>0</v>
      </c>
    </row>
    <row r="518" spans="1:7" ht="15">
      <c r="A518" s="123" t="s">
        <v>1130</v>
      </c>
      <c r="B518" s="123">
        <v>2</v>
      </c>
      <c r="C518" s="125">
        <v>0.0027958800173440755</v>
      </c>
      <c r="D518" s="123" t="s">
        <v>750</v>
      </c>
      <c r="E518" s="123" t="b">
        <v>0</v>
      </c>
      <c r="F518" s="123" t="b">
        <v>0</v>
      </c>
      <c r="G518" s="123" t="b">
        <v>0</v>
      </c>
    </row>
    <row r="519" spans="1:7" ht="15">
      <c r="A519" s="123" t="s">
        <v>1132</v>
      </c>
      <c r="B519" s="123">
        <v>2</v>
      </c>
      <c r="C519" s="125">
        <v>0.004</v>
      </c>
      <c r="D519" s="123" t="s">
        <v>750</v>
      </c>
      <c r="E519" s="123" t="b">
        <v>0</v>
      </c>
      <c r="F519" s="123" t="b">
        <v>0</v>
      </c>
      <c r="G519" s="123" t="b">
        <v>0</v>
      </c>
    </row>
    <row r="520" spans="1:7" ht="15">
      <c r="A520" s="123" t="s">
        <v>1133</v>
      </c>
      <c r="B520" s="123">
        <v>2</v>
      </c>
      <c r="C520" s="125">
        <v>0.004</v>
      </c>
      <c r="D520" s="123" t="s">
        <v>750</v>
      </c>
      <c r="E520" s="123" t="b">
        <v>0</v>
      </c>
      <c r="F520" s="123" t="b">
        <v>0</v>
      </c>
      <c r="G520" s="123" t="b">
        <v>0</v>
      </c>
    </row>
    <row r="521" spans="1:7" ht="15">
      <c r="A521" s="123" t="s">
        <v>1131</v>
      </c>
      <c r="B521" s="123">
        <v>2</v>
      </c>
      <c r="C521" s="125">
        <v>0.004</v>
      </c>
      <c r="D521" s="123" t="s">
        <v>750</v>
      </c>
      <c r="E521" s="123" t="b">
        <v>0</v>
      </c>
      <c r="F521" s="123" t="b">
        <v>0</v>
      </c>
      <c r="G521" s="123" t="b">
        <v>0</v>
      </c>
    </row>
    <row r="522" spans="1:7" ht="15">
      <c r="A522" s="123" t="s">
        <v>1127</v>
      </c>
      <c r="B522" s="123">
        <v>2</v>
      </c>
      <c r="C522" s="125">
        <v>0.004</v>
      </c>
      <c r="D522" s="123" t="s">
        <v>750</v>
      </c>
      <c r="E522" s="123" t="b">
        <v>0</v>
      </c>
      <c r="F522" s="123" t="b">
        <v>0</v>
      </c>
      <c r="G522" s="123" t="b">
        <v>0</v>
      </c>
    </row>
    <row r="523" spans="1:7" ht="15">
      <c r="A523" s="123" t="s">
        <v>1128</v>
      </c>
      <c r="B523" s="123">
        <v>2</v>
      </c>
      <c r="C523" s="125">
        <v>0.004</v>
      </c>
      <c r="D523" s="123" t="s">
        <v>750</v>
      </c>
      <c r="E523" s="123" t="b">
        <v>0</v>
      </c>
      <c r="F523" s="123" t="b">
        <v>0</v>
      </c>
      <c r="G523" s="123" t="b">
        <v>0</v>
      </c>
    </row>
    <row r="524" spans="1:7" ht="15">
      <c r="A524" s="123" t="s">
        <v>984</v>
      </c>
      <c r="B524" s="123">
        <v>2</v>
      </c>
      <c r="C524" s="125">
        <v>0.004</v>
      </c>
      <c r="D524" s="123" t="s">
        <v>750</v>
      </c>
      <c r="E524" s="123" t="b">
        <v>0</v>
      </c>
      <c r="F524" s="123" t="b">
        <v>1</v>
      </c>
      <c r="G524" s="123" t="b">
        <v>0</v>
      </c>
    </row>
    <row r="525" spans="1:7" ht="15">
      <c r="A525" s="123" t="s">
        <v>792</v>
      </c>
      <c r="B525" s="123">
        <v>19</v>
      </c>
      <c r="C525" s="125">
        <v>0</v>
      </c>
      <c r="D525" s="123" t="s">
        <v>751</v>
      </c>
      <c r="E525" s="123" t="b">
        <v>0</v>
      </c>
      <c r="F525" s="123" t="b">
        <v>0</v>
      </c>
      <c r="G525" s="123" t="b">
        <v>0</v>
      </c>
    </row>
    <row r="526" spans="1:7" ht="15">
      <c r="A526" s="123" t="s">
        <v>793</v>
      </c>
      <c r="B526" s="123">
        <v>18</v>
      </c>
      <c r="C526" s="125">
        <v>0.0013117400226198088</v>
      </c>
      <c r="D526" s="123" t="s">
        <v>751</v>
      </c>
      <c r="E526" s="123" t="b">
        <v>0</v>
      </c>
      <c r="F526" s="123" t="b">
        <v>0</v>
      </c>
      <c r="G526" s="123" t="b">
        <v>0</v>
      </c>
    </row>
    <row r="527" spans="1:7" ht="15">
      <c r="A527" s="123" t="s">
        <v>791</v>
      </c>
      <c r="B527" s="123">
        <v>16</v>
      </c>
      <c r="C527" s="125">
        <v>0.003895850652571309</v>
      </c>
      <c r="D527" s="123" t="s">
        <v>751</v>
      </c>
      <c r="E527" s="123" t="b">
        <v>0</v>
      </c>
      <c r="F527" s="123" t="b">
        <v>0</v>
      </c>
      <c r="G527" s="123" t="b">
        <v>0</v>
      </c>
    </row>
    <row r="528" spans="1:7" ht="15">
      <c r="A528" s="123" t="s">
        <v>789</v>
      </c>
      <c r="B528" s="123">
        <v>15</v>
      </c>
      <c r="C528" s="125">
        <v>0.003652359986785602</v>
      </c>
      <c r="D528" s="123" t="s">
        <v>751</v>
      </c>
      <c r="E528" s="123" t="b">
        <v>0</v>
      </c>
      <c r="F528" s="123" t="b">
        <v>0</v>
      </c>
      <c r="G528" s="123" t="b">
        <v>0</v>
      </c>
    </row>
    <row r="529" spans="1:7" ht="15">
      <c r="A529" s="123" t="s">
        <v>788</v>
      </c>
      <c r="B529" s="123">
        <v>13</v>
      </c>
      <c r="C529" s="125">
        <v>0</v>
      </c>
      <c r="D529" s="123" t="s">
        <v>751</v>
      </c>
      <c r="E529" s="123" t="b">
        <v>0</v>
      </c>
      <c r="F529" s="123" t="b">
        <v>1</v>
      </c>
      <c r="G529" s="123" t="b">
        <v>0</v>
      </c>
    </row>
    <row r="530" spans="1:7" ht="15">
      <c r="A530" s="123" t="s">
        <v>797</v>
      </c>
      <c r="B530" s="123">
        <v>13</v>
      </c>
      <c r="C530" s="125">
        <v>0</v>
      </c>
      <c r="D530" s="123" t="s">
        <v>751</v>
      </c>
      <c r="E530" s="123" t="b">
        <v>0</v>
      </c>
      <c r="F530" s="123" t="b">
        <v>0</v>
      </c>
      <c r="G530" s="123" t="b">
        <v>0</v>
      </c>
    </row>
    <row r="531" spans="1:7" ht="15">
      <c r="A531" s="123" t="s">
        <v>787</v>
      </c>
      <c r="B531" s="123">
        <v>11</v>
      </c>
      <c r="C531" s="125">
        <v>0</v>
      </c>
      <c r="D531" s="123" t="s">
        <v>751</v>
      </c>
      <c r="E531" s="123" t="b">
        <v>0</v>
      </c>
      <c r="F531" s="123" t="b">
        <v>0</v>
      </c>
      <c r="G531" s="123" t="b">
        <v>0</v>
      </c>
    </row>
    <row r="532" spans="1:7" ht="15">
      <c r="A532" s="123" t="s">
        <v>784</v>
      </c>
      <c r="B532" s="123">
        <v>11</v>
      </c>
      <c r="C532" s="125">
        <v>0.006631425156768079</v>
      </c>
      <c r="D532" s="123" t="s">
        <v>751</v>
      </c>
      <c r="E532" s="123" t="b">
        <v>0</v>
      </c>
      <c r="F532" s="123" t="b">
        <v>0</v>
      </c>
      <c r="G532" s="123" t="b">
        <v>0</v>
      </c>
    </row>
    <row r="533" spans="1:7" ht="15">
      <c r="A533" s="123" t="s">
        <v>814</v>
      </c>
      <c r="B533" s="123">
        <v>10</v>
      </c>
      <c r="C533" s="125">
        <v>0.0007287444570110049</v>
      </c>
      <c r="D533" s="123" t="s">
        <v>751</v>
      </c>
      <c r="E533" s="123" t="b">
        <v>0</v>
      </c>
      <c r="F533" s="123" t="b">
        <v>0</v>
      </c>
      <c r="G533" s="123" t="b">
        <v>0</v>
      </c>
    </row>
    <row r="534" spans="1:7" ht="15">
      <c r="A534" s="123" t="s">
        <v>826</v>
      </c>
      <c r="B534" s="123">
        <v>9</v>
      </c>
      <c r="C534" s="125">
        <v>0.0013809006716022918</v>
      </c>
      <c r="D534" s="123" t="s">
        <v>751</v>
      </c>
      <c r="E534" s="123" t="b">
        <v>0</v>
      </c>
      <c r="F534" s="123" t="b">
        <v>0</v>
      </c>
      <c r="G534" s="123" t="b">
        <v>0</v>
      </c>
    </row>
    <row r="535" spans="1:7" ht="15">
      <c r="A535" s="123" t="s">
        <v>827</v>
      </c>
      <c r="B535" s="123">
        <v>9</v>
      </c>
      <c r="C535" s="125">
        <v>0.0013809006716022918</v>
      </c>
      <c r="D535" s="123" t="s">
        <v>751</v>
      </c>
      <c r="E535" s="123" t="b">
        <v>0</v>
      </c>
      <c r="F535" s="123" t="b">
        <v>0</v>
      </c>
      <c r="G535" s="123" t="b">
        <v>0</v>
      </c>
    </row>
    <row r="536" spans="1:7" ht="15">
      <c r="A536" s="123" t="s">
        <v>830</v>
      </c>
      <c r="B536" s="123">
        <v>8</v>
      </c>
      <c r="C536" s="125">
        <v>0.0019479253262856544</v>
      </c>
      <c r="D536" s="123" t="s">
        <v>751</v>
      </c>
      <c r="E536" s="123" t="b">
        <v>0</v>
      </c>
      <c r="F536" s="123" t="b">
        <v>0</v>
      </c>
      <c r="G536" s="123" t="b">
        <v>0</v>
      </c>
    </row>
    <row r="537" spans="1:7" ht="15">
      <c r="A537" s="123" t="s">
        <v>822</v>
      </c>
      <c r="B537" s="123">
        <v>8</v>
      </c>
      <c r="C537" s="125">
        <v>0.0019479253262856544</v>
      </c>
      <c r="D537" s="123" t="s">
        <v>751</v>
      </c>
      <c r="E537" s="123" t="b">
        <v>0</v>
      </c>
      <c r="F537" s="123" t="b">
        <v>0</v>
      </c>
      <c r="G537" s="123" t="b">
        <v>0</v>
      </c>
    </row>
    <row r="538" spans="1:7" ht="15">
      <c r="A538" s="123" t="s">
        <v>800</v>
      </c>
      <c r="B538" s="123">
        <v>8</v>
      </c>
      <c r="C538" s="125">
        <v>0.0019479253262856544</v>
      </c>
      <c r="D538" s="123" t="s">
        <v>751</v>
      </c>
      <c r="E538" s="123" t="b">
        <v>0</v>
      </c>
      <c r="F538" s="123" t="b">
        <v>0</v>
      </c>
      <c r="G538" s="123" t="b">
        <v>0</v>
      </c>
    </row>
    <row r="539" spans="1:7" ht="15">
      <c r="A539" s="123" t="s">
        <v>823</v>
      </c>
      <c r="B539" s="123">
        <v>8</v>
      </c>
      <c r="C539" s="125">
        <v>0.0019479253262856544</v>
      </c>
      <c r="D539" s="123" t="s">
        <v>751</v>
      </c>
      <c r="E539" s="123" t="b">
        <v>0</v>
      </c>
      <c r="F539" s="123" t="b">
        <v>0</v>
      </c>
      <c r="G539" s="123" t="b">
        <v>0</v>
      </c>
    </row>
    <row r="540" spans="1:7" ht="15">
      <c r="A540" s="123" t="s">
        <v>831</v>
      </c>
      <c r="B540" s="123">
        <v>8</v>
      </c>
      <c r="C540" s="125">
        <v>0.0019479253262856544</v>
      </c>
      <c r="D540" s="123" t="s">
        <v>751</v>
      </c>
      <c r="E540" s="123" t="b">
        <v>0</v>
      </c>
      <c r="F540" s="123" t="b">
        <v>0</v>
      </c>
      <c r="G540" s="123" t="b">
        <v>0</v>
      </c>
    </row>
    <row r="541" spans="1:7" ht="15">
      <c r="A541" s="123" t="s">
        <v>824</v>
      </c>
      <c r="B541" s="123">
        <v>8</v>
      </c>
      <c r="C541" s="125">
        <v>0.0019479253262856544</v>
      </c>
      <c r="D541" s="123" t="s">
        <v>751</v>
      </c>
      <c r="E541" s="123" t="b">
        <v>1</v>
      </c>
      <c r="F541" s="123" t="b">
        <v>0</v>
      </c>
      <c r="G541" s="123" t="b">
        <v>0</v>
      </c>
    </row>
    <row r="542" spans="1:7" ht="15">
      <c r="A542" s="123" t="s">
        <v>832</v>
      </c>
      <c r="B542" s="123">
        <v>8</v>
      </c>
      <c r="C542" s="125">
        <v>0.0019479253262856544</v>
      </c>
      <c r="D542" s="123" t="s">
        <v>751</v>
      </c>
      <c r="E542" s="123" t="b">
        <v>0</v>
      </c>
      <c r="F542" s="123" t="b">
        <v>0</v>
      </c>
      <c r="G542" s="123" t="b">
        <v>0</v>
      </c>
    </row>
    <row r="543" spans="1:7" ht="15">
      <c r="A543" s="123" t="s">
        <v>834</v>
      </c>
      <c r="B543" s="123">
        <v>8</v>
      </c>
      <c r="C543" s="125">
        <v>0.0019479253262856544</v>
      </c>
      <c r="D543" s="123" t="s">
        <v>751</v>
      </c>
      <c r="E543" s="123" t="b">
        <v>0</v>
      </c>
      <c r="F543" s="123" t="b">
        <v>0</v>
      </c>
      <c r="G543" s="123" t="b">
        <v>0</v>
      </c>
    </row>
    <row r="544" spans="1:7" ht="15">
      <c r="A544" s="123" t="s">
        <v>835</v>
      </c>
      <c r="B544" s="123">
        <v>7</v>
      </c>
      <c r="C544" s="125">
        <v>0.0024191241479010164</v>
      </c>
      <c r="D544" s="123" t="s">
        <v>751</v>
      </c>
      <c r="E544" s="123" t="b">
        <v>0</v>
      </c>
      <c r="F544" s="123" t="b">
        <v>0</v>
      </c>
      <c r="G544" s="123" t="b">
        <v>0</v>
      </c>
    </row>
    <row r="545" spans="1:7" ht="15">
      <c r="A545" s="123" t="s">
        <v>847</v>
      </c>
      <c r="B545" s="123">
        <v>7</v>
      </c>
      <c r="C545" s="125">
        <v>0.0024191241479010164</v>
      </c>
      <c r="D545" s="123" t="s">
        <v>751</v>
      </c>
      <c r="E545" s="123" t="b">
        <v>0</v>
      </c>
      <c r="F545" s="123" t="b">
        <v>0</v>
      </c>
      <c r="G545" s="123" t="b">
        <v>0</v>
      </c>
    </row>
    <row r="546" spans="1:7" ht="15">
      <c r="A546" s="123" t="s">
        <v>848</v>
      </c>
      <c r="B546" s="123">
        <v>7</v>
      </c>
      <c r="C546" s="125">
        <v>0.0024191241479010164</v>
      </c>
      <c r="D546" s="123" t="s">
        <v>751</v>
      </c>
      <c r="E546" s="123" t="b">
        <v>0</v>
      </c>
      <c r="F546" s="123" t="b">
        <v>0</v>
      </c>
      <c r="G546" s="123" t="b">
        <v>0</v>
      </c>
    </row>
    <row r="547" spans="1:7" ht="15">
      <c r="A547" s="123" t="s">
        <v>798</v>
      </c>
      <c r="B547" s="123">
        <v>7</v>
      </c>
      <c r="C547" s="125">
        <v>0.0024191241479010164</v>
      </c>
      <c r="D547" s="123" t="s">
        <v>751</v>
      </c>
      <c r="E547" s="123" t="b">
        <v>0</v>
      </c>
      <c r="F547" s="123" t="b">
        <v>0</v>
      </c>
      <c r="G547" s="123" t="b">
        <v>0</v>
      </c>
    </row>
    <row r="548" spans="1:7" ht="15">
      <c r="A548" s="123" t="s">
        <v>833</v>
      </c>
      <c r="B548" s="123">
        <v>7</v>
      </c>
      <c r="C548" s="125">
        <v>0.0024191241479010164</v>
      </c>
      <c r="D548" s="123" t="s">
        <v>751</v>
      </c>
      <c r="E548" s="123" t="b">
        <v>0</v>
      </c>
      <c r="F548" s="123" t="b">
        <v>0</v>
      </c>
      <c r="G548" s="123" t="b">
        <v>0</v>
      </c>
    </row>
    <row r="549" spans="1:7" ht="15">
      <c r="A549" s="123" t="s">
        <v>843</v>
      </c>
      <c r="B549" s="123">
        <v>7</v>
      </c>
      <c r="C549" s="125">
        <v>0.0024191241479010164</v>
      </c>
      <c r="D549" s="123" t="s">
        <v>751</v>
      </c>
      <c r="E549" s="123" t="b">
        <v>0</v>
      </c>
      <c r="F549" s="123" t="b">
        <v>0</v>
      </c>
      <c r="G549" s="123" t="b">
        <v>0</v>
      </c>
    </row>
    <row r="550" spans="1:7" ht="15">
      <c r="A550" s="123" t="s">
        <v>844</v>
      </c>
      <c r="B550" s="123">
        <v>7</v>
      </c>
      <c r="C550" s="125">
        <v>0.0024191241479010164</v>
      </c>
      <c r="D550" s="123" t="s">
        <v>751</v>
      </c>
      <c r="E550" s="123" t="b">
        <v>0</v>
      </c>
      <c r="F550" s="123" t="b">
        <v>0</v>
      </c>
      <c r="G550" s="123" t="b">
        <v>0</v>
      </c>
    </row>
    <row r="551" spans="1:7" ht="15">
      <c r="A551" s="123" t="s">
        <v>859</v>
      </c>
      <c r="B551" s="123">
        <v>6</v>
      </c>
      <c r="C551" s="125">
        <v>0.0027807193814216344</v>
      </c>
      <c r="D551" s="123" t="s">
        <v>751</v>
      </c>
      <c r="E551" s="123" t="b">
        <v>0</v>
      </c>
      <c r="F551" s="123" t="b">
        <v>0</v>
      </c>
      <c r="G551" s="123" t="b">
        <v>0</v>
      </c>
    </row>
    <row r="552" spans="1:7" ht="15">
      <c r="A552" s="123" t="s">
        <v>860</v>
      </c>
      <c r="B552" s="123">
        <v>6</v>
      </c>
      <c r="C552" s="125">
        <v>0.0027807193814216344</v>
      </c>
      <c r="D552" s="123" t="s">
        <v>751</v>
      </c>
      <c r="E552" s="123" t="b">
        <v>0</v>
      </c>
      <c r="F552" s="123" t="b">
        <v>0</v>
      </c>
      <c r="G552" s="123" t="b">
        <v>0</v>
      </c>
    </row>
    <row r="553" spans="1:7" ht="15">
      <c r="A553" s="123" t="s">
        <v>861</v>
      </c>
      <c r="B553" s="123">
        <v>6</v>
      </c>
      <c r="C553" s="125">
        <v>0.0027807193814216344</v>
      </c>
      <c r="D553" s="123" t="s">
        <v>751</v>
      </c>
      <c r="E553" s="123" t="b">
        <v>0</v>
      </c>
      <c r="F553" s="123" t="b">
        <v>0</v>
      </c>
      <c r="G553" s="123" t="b">
        <v>0</v>
      </c>
    </row>
    <row r="554" spans="1:7" ht="15">
      <c r="A554" s="123" t="s">
        <v>829</v>
      </c>
      <c r="B554" s="123">
        <v>6</v>
      </c>
      <c r="C554" s="125">
        <v>0.007820732635502576</v>
      </c>
      <c r="D554" s="123" t="s">
        <v>751</v>
      </c>
      <c r="E554" s="123" t="b">
        <v>0</v>
      </c>
      <c r="F554" s="123" t="b">
        <v>0</v>
      </c>
      <c r="G554" s="123" t="b">
        <v>0</v>
      </c>
    </row>
    <row r="555" spans="1:7" ht="15">
      <c r="A555" s="123" t="s">
        <v>865</v>
      </c>
      <c r="B555" s="123">
        <v>6</v>
      </c>
      <c r="C555" s="125">
        <v>0.007820732635502576</v>
      </c>
      <c r="D555" s="123" t="s">
        <v>751</v>
      </c>
      <c r="E555" s="123" t="b">
        <v>0</v>
      </c>
      <c r="F555" s="123" t="b">
        <v>0</v>
      </c>
      <c r="G555" s="123" t="b">
        <v>0</v>
      </c>
    </row>
    <row r="556" spans="1:7" ht="15">
      <c r="A556" s="123" t="s">
        <v>910</v>
      </c>
      <c r="B556" s="123">
        <v>4</v>
      </c>
      <c r="C556" s="125">
        <v>0.003973742467877201</v>
      </c>
      <c r="D556" s="123" t="s">
        <v>751</v>
      </c>
      <c r="E556" s="123" t="b">
        <v>1</v>
      </c>
      <c r="F556" s="123" t="b">
        <v>0</v>
      </c>
      <c r="G556" s="123" t="b">
        <v>0</v>
      </c>
    </row>
    <row r="557" spans="1:7" ht="15">
      <c r="A557" s="123" t="s">
        <v>781</v>
      </c>
      <c r="B557" s="123">
        <v>4</v>
      </c>
      <c r="C557" s="125">
        <v>0.003973742467877201</v>
      </c>
      <c r="D557" s="123" t="s">
        <v>751</v>
      </c>
      <c r="E557" s="123" t="b">
        <v>0</v>
      </c>
      <c r="F557" s="123" t="b">
        <v>0</v>
      </c>
      <c r="G557" s="123" t="b">
        <v>0</v>
      </c>
    </row>
    <row r="558" spans="1:7" ht="15">
      <c r="A558" s="123" t="s">
        <v>779</v>
      </c>
      <c r="B558" s="123">
        <v>4</v>
      </c>
      <c r="C558" s="125">
        <v>0.003973742467877201</v>
      </c>
      <c r="D558" s="123" t="s">
        <v>751</v>
      </c>
      <c r="E558" s="123" t="b">
        <v>0</v>
      </c>
      <c r="F558" s="123" t="b">
        <v>0</v>
      </c>
      <c r="G558" s="123" t="b">
        <v>0</v>
      </c>
    </row>
    <row r="559" spans="1:7" ht="15">
      <c r="A559" s="123" t="s">
        <v>862</v>
      </c>
      <c r="B559" s="123">
        <v>4</v>
      </c>
      <c r="C559" s="125">
        <v>0.005213821757001718</v>
      </c>
      <c r="D559" s="123" t="s">
        <v>751</v>
      </c>
      <c r="E559" s="123" t="b">
        <v>0</v>
      </c>
      <c r="F559" s="123" t="b">
        <v>0</v>
      </c>
      <c r="G559" s="123" t="b">
        <v>0</v>
      </c>
    </row>
    <row r="560" spans="1:7" ht="15">
      <c r="A560" s="123" t="s">
        <v>810</v>
      </c>
      <c r="B560" s="123">
        <v>4</v>
      </c>
      <c r="C560" s="125">
        <v>0.005213821757001718</v>
      </c>
      <c r="D560" s="123" t="s">
        <v>751</v>
      </c>
      <c r="E560" s="123" t="b">
        <v>0</v>
      </c>
      <c r="F560" s="123" t="b">
        <v>0</v>
      </c>
      <c r="G560" s="123" t="b">
        <v>0</v>
      </c>
    </row>
    <row r="561" spans="1:7" ht="15">
      <c r="A561" s="123" t="s">
        <v>982</v>
      </c>
      <c r="B561" s="123">
        <v>3</v>
      </c>
      <c r="C561" s="125">
        <v>0.0055003134779483724</v>
      </c>
      <c r="D561" s="123" t="s">
        <v>751</v>
      </c>
      <c r="E561" s="123" t="b">
        <v>0</v>
      </c>
      <c r="F561" s="123" t="b">
        <v>0</v>
      </c>
      <c r="G561" s="123" t="b">
        <v>0</v>
      </c>
    </row>
    <row r="562" spans="1:7" ht="15">
      <c r="A562" s="123" t="s">
        <v>983</v>
      </c>
      <c r="B562" s="123">
        <v>3</v>
      </c>
      <c r="C562" s="125">
        <v>0.0055003134779483724</v>
      </c>
      <c r="D562" s="123" t="s">
        <v>751</v>
      </c>
      <c r="E562" s="123" t="b">
        <v>0</v>
      </c>
      <c r="F562" s="123" t="b">
        <v>0</v>
      </c>
      <c r="G562" s="123" t="b">
        <v>0</v>
      </c>
    </row>
    <row r="563" spans="1:7" ht="15">
      <c r="A563" s="123" t="s">
        <v>884</v>
      </c>
      <c r="B563" s="123">
        <v>3</v>
      </c>
      <c r="C563" s="125">
        <v>0.002980306850907901</v>
      </c>
      <c r="D563" s="123" t="s">
        <v>751</v>
      </c>
      <c r="E563" s="123" t="b">
        <v>0</v>
      </c>
      <c r="F563" s="123" t="b">
        <v>0</v>
      </c>
      <c r="G563" s="123" t="b">
        <v>0</v>
      </c>
    </row>
    <row r="564" spans="1:7" ht="15">
      <c r="A564" s="123" t="s">
        <v>979</v>
      </c>
      <c r="B564" s="123">
        <v>3</v>
      </c>
      <c r="C564" s="125">
        <v>0.002980306850907901</v>
      </c>
      <c r="D564" s="123" t="s">
        <v>751</v>
      </c>
      <c r="E564" s="123" t="b">
        <v>1</v>
      </c>
      <c r="F564" s="123" t="b">
        <v>0</v>
      </c>
      <c r="G564" s="123" t="b">
        <v>0</v>
      </c>
    </row>
    <row r="565" spans="1:7" ht="15">
      <c r="A565" s="123" t="s">
        <v>799</v>
      </c>
      <c r="B565" s="123">
        <v>3</v>
      </c>
      <c r="C565" s="125">
        <v>0.002980306850907901</v>
      </c>
      <c r="D565" s="123" t="s">
        <v>751</v>
      </c>
      <c r="E565" s="123" t="b">
        <v>0</v>
      </c>
      <c r="F565" s="123" t="b">
        <v>0</v>
      </c>
      <c r="G565" s="123" t="b">
        <v>0</v>
      </c>
    </row>
    <row r="566" spans="1:7" ht="15">
      <c r="A566" s="123" t="s">
        <v>978</v>
      </c>
      <c r="B566" s="123">
        <v>3</v>
      </c>
      <c r="C566" s="125">
        <v>0.0055003134779483724</v>
      </c>
      <c r="D566" s="123" t="s">
        <v>751</v>
      </c>
      <c r="E566" s="123" t="b">
        <v>0</v>
      </c>
      <c r="F566" s="123" t="b">
        <v>0</v>
      </c>
      <c r="G566" s="123" t="b">
        <v>0</v>
      </c>
    </row>
    <row r="567" spans="1:7" ht="15">
      <c r="A567" s="123" t="s">
        <v>1109</v>
      </c>
      <c r="B567" s="123">
        <v>2</v>
      </c>
      <c r="C567" s="125">
        <v>0.0036668756519655818</v>
      </c>
      <c r="D567" s="123" t="s">
        <v>751</v>
      </c>
      <c r="E567" s="123" t="b">
        <v>0</v>
      </c>
      <c r="F567" s="123" t="b">
        <v>0</v>
      </c>
      <c r="G567" s="123" t="b">
        <v>0</v>
      </c>
    </row>
    <row r="568" spans="1:7" ht="15">
      <c r="A568" s="123" t="s">
        <v>955</v>
      </c>
      <c r="B568" s="123">
        <v>2</v>
      </c>
      <c r="C568" s="125">
        <v>0.0036668756519655818</v>
      </c>
      <c r="D568" s="123" t="s">
        <v>751</v>
      </c>
      <c r="E568" s="123" t="b">
        <v>0</v>
      </c>
      <c r="F568" s="123" t="b">
        <v>0</v>
      </c>
      <c r="G568" s="123" t="b">
        <v>0</v>
      </c>
    </row>
    <row r="569" spans="1:7" ht="15">
      <c r="A569" s="123" t="s">
        <v>1126</v>
      </c>
      <c r="B569" s="123">
        <v>2</v>
      </c>
      <c r="C569" s="125">
        <v>0.0036668756519655818</v>
      </c>
      <c r="D569" s="123" t="s">
        <v>751</v>
      </c>
      <c r="E569" s="123" t="b">
        <v>0</v>
      </c>
      <c r="F569" s="123" t="b">
        <v>0</v>
      </c>
      <c r="G569" s="123" t="b">
        <v>0</v>
      </c>
    </row>
    <row r="570" spans="1:7" ht="15">
      <c r="A570" s="123" t="s">
        <v>1125</v>
      </c>
      <c r="B570" s="123">
        <v>2</v>
      </c>
      <c r="C570" s="125">
        <v>0.002606910878500859</v>
      </c>
      <c r="D570" s="123" t="s">
        <v>751</v>
      </c>
      <c r="E570" s="123" t="b">
        <v>0</v>
      </c>
      <c r="F570" s="123" t="b">
        <v>1</v>
      </c>
      <c r="G570" s="123" t="b">
        <v>0</v>
      </c>
    </row>
    <row r="571" spans="1:7" ht="15">
      <c r="A571" s="123" t="s">
        <v>1113</v>
      </c>
      <c r="B571" s="123">
        <v>2</v>
      </c>
      <c r="C571" s="125">
        <v>0.002606910878500859</v>
      </c>
      <c r="D571" s="123" t="s">
        <v>751</v>
      </c>
      <c r="E571" s="123" t="b">
        <v>0</v>
      </c>
      <c r="F571" s="123" t="b">
        <v>0</v>
      </c>
      <c r="G571" s="123" t="b">
        <v>0</v>
      </c>
    </row>
    <row r="572" spans="1:7" ht="15">
      <c r="A572" s="123" t="s">
        <v>1124</v>
      </c>
      <c r="B572" s="123">
        <v>2</v>
      </c>
      <c r="C572" s="125">
        <v>0.0036668756519655818</v>
      </c>
      <c r="D572" s="123" t="s">
        <v>751</v>
      </c>
      <c r="E572" s="123" t="b">
        <v>0</v>
      </c>
      <c r="F572" s="123" t="b">
        <v>0</v>
      </c>
      <c r="G572" s="123" t="b">
        <v>0</v>
      </c>
    </row>
    <row r="573" spans="1:7" ht="15">
      <c r="A573" s="123" t="s">
        <v>1121</v>
      </c>
      <c r="B573" s="123">
        <v>2</v>
      </c>
      <c r="C573" s="125">
        <v>0.002606910878500859</v>
      </c>
      <c r="D573" s="123" t="s">
        <v>751</v>
      </c>
      <c r="E573" s="123" t="b">
        <v>0</v>
      </c>
      <c r="F573" s="123" t="b">
        <v>0</v>
      </c>
      <c r="G573" s="123" t="b">
        <v>0</v>
      </c>
    </row>
    <row r="574" spans="1:7" ht="15">
      <c r="A574" s="123" t="s">
        <v>1123</v>
      </c>
      <c r="B574" s="123">
        <v>2</v>
      </c>
      <c r="C574" s="125">
        <v>0.002606910878500859</v>
      </c>
      <c r="D574" s="123" t="s">
        <v>751</v>
      </c>
      <c r="E574" s="123" t="b">
        <v>0</v>
      </c>
      <c r="F574" s="123" t="b">
        <v>0</v>
      </c>
      <c r="G574" s="123" t="b">
        <v>0</v>
      </c>
    </row>
    <row r="575" spans="1:7" ht="15">
      <c r="A575" s="123" t="s">
        <v>786</v>
      </c>
      <c r="B575" s="123">
        <v>2</v>
      </c>
      <c r="C575" s="125">
        <v>0.002606910878500859</v>
      </c>
      <c r="D575" s="123" t="s">
        <v>751</v>
      </c>
      <c r="E575" s="123" t="b">
        <v>0</v>
      </c>
      <c r="F575" s="123" t="b">
        <v>0</v>
      </c>
      <c r="G575" s="123" t="b">
        <v>0</v>
      </c>
    </row>
    <row r="576" spans="1:7" ht="15">
      <c r="A576" s="123" t="s">
        <v>1115</v>
      </c>
      <c r="B576" s="123">
        <v>2</v>
      </c>
      <c r="C576" s="125">
        <v>0.002606910878500859</v>
      </c>
      <c r="D576" s="123" t="s">
        <v>751</v>
      </c>
      <c r="E576" s="123" t="b">
        <v>0</v>
      </c>
      <c r="F576" s="123" t="b">
        <v>0</v>
      </c>
      <c r="G576" s="123" t="b">
        <v>0</v>
      </c>
    </row>
    <row r="577" spans="1:7" ht="15">
      <c r="A577" s="123" t="s">
        <v>1116</v>
      </c>
      <c r="B577" s="123">
        <v>2</v>
      </c>
      <c r="C577" s="125">
        <v>0.002606910878500859</v>
      </c>
      <c r="D577" s="123" t="s">
        <v>751</v>
      </c>
      <c r="E577" s="123" t="b">
        <v>0</v>
      </c>
      <c r="F577" s="123" t="b">
        <v>0</v>
      </c>
      <c r="G577" s="123" t="b">
        <v>0</v>
      </c>
    </row>
    <row r="578" spans="1:7" ht="15">
      <c r="A578" s="123" t="s">
        <v>911</v>
      </c>
      <c r="B578" s="123">
        <v>2</v>
      </c>
      <c r="C578" s="125">
        <v>0.002606910878500859</v>
      </c>
      <c r="D578" s="123" t="s">
        <v>751</v>
      </c>
      <c r="E578" s="123" t="b">
        <v>0</v>
      </c>
      <c r="F578" s="123" t="b">
        <v>0</v>
      </c>
      <c r="G578" s="123" t="b">
        <v>0</v>
      </c>
    </row>
    <row r="579" spans="1:7" ht="15">
      <c r="A579" s="123" t="s">
        <v>1117</v>
      </c>
      <c r="B579" s="123">
        <v>2</v>
      </c>
      <c r="C579" s="125">
        <v>0.002606910878500859</v>
      </c>
      <c r="D579" s="123" t="s">
        <v>751</v>
      </c>
      <c r="E579" s="123" t="b">
        <v>0</v>
      </c>
      <c r="F579" s="123" t="b">
        <v>1</v>
      </c>
      <c r="G579" s="123" t="b">
        <v>0</v>
      </c>
    </row>
    <row r="580" spans="1:7" ht="15">
      <c r="A580" s="123" t="s">
        <v>1118</v>
      </c>
      <c r="B580" s="123">
        <v>2</v>
      </c>
      <c r="C580" s="125">
        <v>0.002606910878500859</v>
      </c>
      <c r="D580" s="123" t="s">
        <v>751</v>
      </c>
      <c r="E580" s="123" t="b">
        <v>0</v>
      </c>
      <c r="F580" s="123" t="b">
        <v>0</v>
      </c>
      <c r="G580" s="123" t="b">
        <v>0</v>
      </c>
    </row>
    <row r="581" spans="1:7" ht="15">
      <c r="A581" s="123" t="s">
        <v>780</v>
      </c>
      <c r="B581" s="123">
        <v>2</v>
      </c>
      <c r="C581" s="125">
        <v>0.002606910878500859</v>
      </c>
      <c r="D581" s="123" t="s">
        <v>751</v>
      </c>
      <c r="E581" s="123" t="b">
        <v>0</v>
      </c>
      <c r="F581" s="123" t="b">
        <v>0</v>
      </c>
      <c r="G581" s="123" t="b">
        <v>0</v>
      </c>
    </row>
    <row r="582" spans="1:7" ht="15">
      <c r="A582" s="123" t="s">
        <v>1122</v>
      </c>
      <c r="B582" s="123">
        <v>2</v>
      </c>
      <c r="C582" s="125">
        <v>0.0036668756519655818</v>
      </c>
      <c r="D582" s="123" t="s">
        <v>751</v>
      </c>
      <c r="E582" s="123" t="b">
        <v>1</v>
      </c>
      <c r="F582" s="123" t="b">
        <v>0</v>
      </c>
      <c r="G582" s="123" t="b">
        <v>0</v>
      </c>
    </row>
    <row r="583" spans="1:7" ht="15">
      <c r="A583" s="123" t="s">
        <v>821</v>
      </c>
      <c r="B583" s="123">
        <v>2</v>
      </c>
      <c r="C583" s="125">
        <v>0.002606910878500859</v>
      </c>
      <c r="D583" s="123" t="s">
        <v>751</v>
      </c>
      <c r="E583" s="123" t="b">
        <v>0</v>
      </c>
      <c r="F583" s="123" t="b">
        <v>0</v>
      </c>
      <c r="G583" s="123" t="b">
        <v>0</v>
      </c>
    </row>
    <row r="584" spans="1:7" ht="15">
      <c r="A584" s="123" t="s">
        <v>842</v>
      </c>
      <c r="B584" s="123">
        <v>2</v>
      </c>
      <c r="C584" s="125">
        <v>0.0036668756519655818</v>
      </c>
      <c r="D584" s="123" t="s">
        <v>751</v>
      </c>
      <c r="E584" s="123" t="b">
        <v>0</v>
      </c>
      <c r="F584" s="123" t="b">
        <v>0</v>
      </c>
      <c r="G584" s="123" t="b">
        <v>0</v>
      </c>
    </row>
    <row r="585" spans="1:7" ht="15">
      <c r="A585" s="123" t="s">
        <v>1119</v>
      </c>
      <c r="B585" s="123">
        <v>2</v>
      </c>
      <c r="C585" s="125">
        <v>0.0036668756519655818</v>
      </c>
      <c r="D585" s="123" t="s">
        <v>751</v>
      </c>
      <c r="E585" s="123" t="b">
        <v>0</v>
      </c>
      <c r="F585" s="123" t="b">
        <v>0</v>
      </c>
      <c r="G585" s="123" t="b">
        <v>0</v>
      </c>
    </row>
    <row r="586" spans="1:7" ht="15">
      <c r="A586" s="123" t="s">
        <v>805</v>
      </c>
      <c r="B586" s="123">
        <v>2</v>
      </c>
      <c r="C586" s="125">
        <v>0.002606910878500859</v>
      </c>
      <c r="D586" s="123" t="s">
        <v>751</v>
      </c>
      <c r="E586" s="123" t="b">
        <v>0</v>
      </c>
      <c r="F586" s="123" t="b">
        <v>0</v>
      </c>
      <c r="G586" s="123" t="b">
        <v>0</v>
      </c>
    </row>
    <row r="587" spans="1:7" ht="15">
      <c r="A587" s="123" t="s">
        <v>1111</v>
      </c>
      <c r="B587" s="123">
        <v>2</v>
      </c>
      <c r="C587" s="125">
        <v>0.0036668756519655818</v>
      </c>
      <c r="D587" s="123" t="s">
        <v>751</v>
      </c>
      <c r="E587" s="123" t="b">
        <v>0</v>
      </c>
      <c r="F587" s="123" t="b">
        <v>0</v>
      </c>
      <c r="G587" s="123" t="b">
        <v>0</v>
      </c>
    </row>
    <row r="588" spans="1:7" ht="15">
      <c r="A588" s="123" t="s">
        <v>1112</v>
      </c>
      <c r="B588" s="123">
        <v>2</v>
      </c>
      <c r="C588" s="125">
        <v>0.0036668756519655818</v>
      </c>
      <c r="D588" s="123" t="s">
        <v>751</v>
      </c>
      <c r="E588" s="123" t="b">
        <v>0</v>
      </c>
      <c r="F588" s="123" t="b">
        <v>0</v>
      </c>
      <c r="G588" s="123" t="b">
        <v>0</v>
      </c>
    </row>
    <row r="589" spans="1:7" ht="15">
      <c r="A589" s="123" t="s">
        <v>1062</v>
      </c>
      <c r="B589" s="123">
        <v>2</v>
      </c>
      <c r="C589" s="125">
        <v>0.0036668756519655818</v>
      </c>
      <c r="D589" s="123" t="s">
        <v>751</v>
      </c>
      <c r="E589" s="123" t="b">
        <v>0</v>
      </c>
      <c r="F589" s="123" t="b">
        <v>0</v>
      </c>
      <c r="G589" s="123" t="b">
        <v>0</v>
      </c>
    </row>
    <row r="590" spans="1:7" ht="15">
      <c r="A590" s="123" t="s">
        <v>1063</v>
      </c>
      <c r="B590" s="123">
        <v>2</v>
      </c>
      <c r="C590" s="125">
        <v>0.0036668756519655818</v>
      </c>
      <c r="D590" s="123" t="s">
        <v>751</v>
      </c>
      <c r="E590" s="123" t="b">
        <v>0</v>
      </c>
      <c r="F590" s="123" t="b">
        <v>0</v>
      </c>
      <c r="G590" s="123" t="b">
        <v>0</v>
      </c>
    </row>
    <row r="591" spans="1:7" ht="15">
      <c r="A591" s="123" t="s">
        <v>812</v>
      </c>
      <c r="B591" s="123">
        <v>12</v>
      </c>
      <c r="C591" s="125">
        <v>0.005136210325885556</v>
      </c>
      <c r="D591" s="123" t="s">
        <v>752</v>
      </c>
      <c r="E591" s="123" t="b">
        <v>0</v>
      </c>
      <c r="F591" s="123" t="b">
        <v>0</v>
      </c>
      <c r="G591" s="123" t="b">
        <v>0</v>
      </c>
    </row>
    <row r="592" spans="1:7" ht="15">
      <c r="A592" s="123" t="s">
        <v>817</v>
      </c>
      <c r="B592" s="123">
        <v>11</v>
      </c>
      <c r="C592" s="125">
        <v>0.004708192798728426</v>
      </c>
      <c r="D592" s="123" t="s">
        <v>752</v>
      </c>
      <c r="E592" s="123" t="b">
        <v>0</v>
      </c>
      <c r="F592" s="123" t="b">
        <v>0</v>
      </c>
      <c r="G592" s="123" t="b">
        <v>0</v>
      </c>
    </row>
    <row r="593" spans="1:7" ht="15">
      <c r="A593" s="123" t="s">
        <v>798</v>
      </c>
      <c r="B593" s="123">
        <v>8</v>
      </c>
      <c r="C593" s="125">
        <v>0.008008549179711564</v>
      </c>
      <c r="D593" s="123" t="s">
        <v>752</v>
      </c>
      <c r="E593" s="123" t="b">
        <v>0</v>
      </c>
      <c r="F593" s="123" t="b">
        <v>0</v>
      </c>
      <c r="G593" s="123" t="b">
        <v>0</v>
      </c>
    </row>
    <row r="594" spans="1:7" ht="15">
      <c r="A594" s="123" t="s">
        <v>885</v>
      </c>
      <c r="B594" s="123">
        <v>5</v>
      </c>
      <c r="C594" s="125">
        <v>0.012808088505398897</v>
      </c>
      <c r="D594" s="123" t="s">
        <v>752</v>
      </c>
      <c r="E594" s="123" t="b">
        <v>0</v>
      </c>
      <c r="F594" s="123" t="b">
        <v>0</v>
      </c>
      <c r="G594" s="123" t="b">
        <v>0</v>
      </c>
    </row>
    <row r="595" spans="1:7" ht="15">
      <c r="A595" s="123" t="s">
        <v>866</v>
      </c>
      <c r="B595" s="123">
        <v>5</v>
      </c>
      <c r="C595" s="125">
        <v>0.005005343237319727</v>
      </c>
      <c r="D595" s="123" t="s">
        <v>752</v>
      </c>
      <c r="E595" s="123" t="b">
        <v>0</v>
      </c>
      <c r="F595" s="123" t="b">
        <v>0</v>
      </c>
      <c r="G595" s="123" t="b">
        <v>0</v>
      </c>
    </row>
    <row r="596" spans="1:7" ht="15">
      <c r="A596" s="123" t="s">
        <v>987</v>
      </c>
      <c r="B596" s="123">
        <v>3</v>
      </c>
      <c r="C596" s="125">
        <v>0.005613191231996028</v>
      </c>
      <c r="D596" s="123" t="s">
        <v>752</v>
      </c>
      <c r="E596" s="123" t="b">
        <v>0</v>
      </c>
      <c r="F596" s="123" t="b">
        <v>0</v>
      </c>
      <c r="G596" s="123" t="b">
        <v>0</v>
      </c>
    </row>
    <row r="597" spans="1:7" ht="15">
      <c r="A597" s="123" t="s">
        <v>988</v>
      </c>
      <c r="B597" s="123">
        <v>3</v>
      </c>
      <c r="C597" s="125">
        <v>0.005613191231996028</v>
      </c>
      <c r="D597" s="123" t="s">
        <v>752</v>
      </c>
      <c r="E597" s="123" t="b">
        <v>0</v>
      </c>
      <c r="F597" s="123" t="b">
        <v>0</v>
      </c>
      <c r="G597" s="123" t="b">
        <v>0</v>
      </c>
    </row>
    <row r="598" spans="1:7" ht="15">
      <c r="A598" s="123" t="s">
        <v>989</v>
      </c>
      <c r="B598" s="123">
        <v>3</v>
      </c>
      <c r="C598" s="125">
        <v>0.005613191231996028</v>
      </c>
      <c r="D598" s="123" t="s">
        <v>752</v>
      </c>
      <c r="E598" s="123" t="b">
        <v>0</v>
      </c>
      <c r="F598" s="123" t="b">
        <v>0</v>
      </c>
      <c r="G598" s="123" t="b">
        <v>0</v>
      </c>
    </row>
    <row r="599" spans="1:7" ht="15">
      <c r="A599" s="123" t="s">
        <v>990</v>
      </c>
      <c r="B599" s="123">
        <v>3</v>
      </c>
      <c r="C599" s="125">
        <v>0.005613191231996028</v>
      </c>
      <c r="D599" s="123" t="s">
        <v>752</v>
      </c>
      <c r="E599" s="123" t="b">
        <v>0</v>
      </c>
      <c r="F599" s="123" t="b">
        <v>0</v>
      </c>
      <c r="G599" s="123" t="b">
        <v>0</v>
      </c>
    </row>
    <row r="600" spans="1:7" ht="15">
      <c r="A600" s="123" t="s">
        <v>991</v>
      </c>
      <c r="B600" s="123">
        <v>3</v>
      </c>
      <c r="C600" s="125">
        <v>0.005613191231996028</v>
      </c>
      <c r="D600" s="123" t="s">
        <v>752</v>
      </c>
      <c r="E600" s="123" t="b">
        <v>0</v>
      </c>
      <c r="F600" s="123" t="b">
        <v>0</v>
      </c>
      <c r="G600" s="123" t="b">
        <v>0</v>
      </c>
    </row>
    <row r="601" spans="1:7" ht="15">
      <c r="A601" s="123" t="s">
        <v>992</v>
      </c>
      <c r="B601" s="123">
        <v>3</v>
      </c>
      <c r="C601" s="125">
        <v>0.007684853103239338</v>
      </c>
      <c r="D601" s="123" t="s">
        <v>752</v>
      </c>
      <c r="E601" s="123" t="b">
        <v>0</v>
      </c>
      <c r="F601" s="123" t="b">
        <v>0</v>
      </c>
      <c r="G601" s="123" t="b">
        <v>0</v>
      </c>
    </row>
    <row r="602" spans="1:7" ht="15">
      <c r="A602" s="123" t="s">
        <v>913</v>
      </c>
      <c r="B602" s="123">
        <v>3</v>
      </c>
      <c r="C602" s="125">
        <v>0.007684853103239338</v>
      </c>
      <c r="D602" s="123" t="s">
        <v>752</v>
      </c>
      <c r="E602" s="123" t="b">
        <v>0</v>
      </c>
      <c r="F602" s="123" t="b">
        <v>0</v>
      </c>
      <c r="G602" s="123" t="b">
        <v>0</v>
      </c>
    </row>
    <row r="603" spans="1:7" ht="15">
      <c r="A603" s="123" t="s">
        <v>993</v>
      </c>
      <c r="B603" s="123">
        <v>3</v>
      </c>
      <c r="C603" s="125">
        <v>0.007684853103239338</v>
      </c>
      <c r="D603" s="123" t="s">
        <v>752</v>
      </c>
      <c r="E603" s="123" t="b">
        <v>0</v>
      </c>
      <c r="F603" s="123" t="b">
        <v>0</v>
      </c>
      <c r="G603" s="123" t="b">
        <v>0</v>
      </c>
    </row>
    <row r="604" spans="1:7" ht="15">
      <c r="A604" s="123" t="s">
        <v>994</v>
      </c>
      <c r="B604" s="123">
        <v>3</v>
      </c>
      <c r="C604" s="125">
        <v>0.007684853103239338</v>
      </c>
      <c r="D604" s="123" t="s">
        <v>752</v>
      </c>
      <c r="E604" s="123" t="b">
        <v>0</v>
      </c>
      <c r="F604" s="123" t="b">
        <v>0</v>
      </c>
      <c r="G604" s="123" t="b">
        <v>0</v>
      </c>
    </row>
    <row r="605" spans="1:7" ht="15">
      <c r="A605" s="123" t="s">
        <v>995</v>
      </c>
      <c r="B605" s="123">
        <v>3</v>
      </c>
      <c r="C605" s="125">
        <v>0.011226382463992057</v>
      </c>
      <c r="D605" s="123" t="s">
        <v>752</v>
      </c>
      <c r="E605" s="123" t="b">
        <v>0</v>
      </c>
      <c r="F605" s="123" t="b">
        <v>0</v>
      </c>
      <c r="G605" s="123" t="b">
        <v>0</v>
      </c>
    </row>
    <row r="606" spans="1:7" ht="15">
      <c r="A606" s="123" t="s">
        <v>912</v>
      </c>
      <c r="B606" s="123">
        <v>3</v>
      </c>
      <c r="C606" s="125">
        <v>0.005613191231996028</v>
      </c>
      <c r="D606" s="123" t="s">
        <v>752</v>
      </c>
      <c r="E606" s="123" t="b">
        <v>0</v>
      </c>
      <c r="F606" s="123" t="b">
        <v>0</v>
      </c>
      <c r="G606" s="123" t="b">
        <v>0</v>
      </c>
    </row>
    <row r="607" spans="1:7" ht="15">
      <c r="A607" s="123" t="s">
        <v>883</v>
      </c>
      <c r="B607" s="123">
        <v>3</v>
      </c>
      <c r="C607" s="125">
        <v>0.007684853103239338</v>
      </c>
      <c r="D607" s="123" t="s">
        <v>752</v>
      </c>
      <c r="E607" s="123" t="b">
        <v>0</v>
      </c>
      <c r="F607" s="123" t="b">
        <v>0</v>
      </c>
      <c r="G607" s="123" t="b">
        <v>0</v>
      </c>
    </row>
    <row r="608" spans="1:7" ht="15">
      <c r="A608" s="123" t="s">
        <v>880</v>
      </c>
      <c r="B608" s="123">
        <v>3</v>
      </c>
      <c r="C608" s="125">
        <v>0.011226382463992057</v>
      </c>
      <c r="D608" s="123" t="s">
        <v>752</v>
      </c>
      <c r="E608" s="123" t="b">
        <v>0</v>
      </c>
      <c r="F608" s="123" t="b">
        <v>0</v>
      </c>
      <c r="G608" s="123" t="b">
        <v>0</v>
      </c>
    </row>
    <row r="609" spans="1:7" ht="15">
      <c r="A609" s="123" t="s">
        <v>1147</v>
      </c>
      <c r="B609" s="123">
        <v>2</v>
      </c>
      <c r="C609" s="125">
        <v>0.0051232354021595585</v>
      </c>
      <c r="D609" s="123" t="s">
        <v>752</v>
      </c>
      <c r="E609" s="123" t="b">
        <v>0</v>
      </c>
      <c r="F609" s="123" t="b">
        <v>0</v>
      </c>
      <c r="G609" s="123" t="b">
        <v>0</v>
      </c>
    </row>
    <row r="610" spans="1:7" ht="15">
      <c r="A610" s="123" t="s">
        <v>1148</v>
      </c>
      <c r="B610" s="123">
        <v>2</v>
      </c>
      <c r="C610" s="125">
        <v>0.0051232354021595585</v>
      </c>
      <c r="D610" s="123" t="s">
        <v>752</v>
      </c>
      <c r="E610" s="123" t="b">
        <v>0</v>
      </c>
      <c r="F610" s="123" t="b">
        <v>0</v>
      </c>
      <c r="G610" s="123" t="b">
        <v>0</v>
      </c>
    </row>
    <row r="611" spans="1:7" ht="15">
      <c r="A611" s="123" t="s">
        <v>957</v>
      </c>
      <c r="B611" s="123">
        <v>2</v>
      </c>
      <c r="C611" s="125">
        <v>0.0051232354021595585</v>
      </c>
      <c r="D611" s="123" t="s">
        <v>752</v>
      </c>
      <c r="E611" s="123" t="b">
        <v>0</v>
      </c>
      <c r="F611" s="123" t="b">
        <v>0</v>
      </c>
      <c r="G611" s="123" t="b">
        <v>0</v>
      </c>
    </row>
    <row r="612" spans="1:7" ht="15">
      <c r="A612" s="123" t="s">
        <v>922</v>
      </c>
      <c r="B612" s="123">
        <v>2</v>
      </c>
      <c r="C612" s="125">
        <v>0.0051232354021595585</v>
      </c>
      <c r="D612" s="123" t="s">
        <v>752</v>
      </c>
      <c r="E612" s="123" t="b">
        <v>0</v>
      </c>
      <c r="F612" s="123" t="b">
        <v>0</v>
      </c>
      <c r="G612" s="123" t="b">
        <v>0</v>
      </c>
    </row>
    <row r="613" spans="1:7" ht="15">
      <c r="A613" s="123" t="s">
        <v>962</v>
      </c>
      <c r="B613" s="123">
        <v>2</v>
      </c>
      <c r="C613" s="125">
        <v>0.0051232354021595585</v>
      </c>
      <c r="D613" s="123" t="s">
        <v>752</v>
      </c>
      <c r="E613" s="123" t="b">
        <v>0</v>
      </c>
      <c r="F613" s="123" t="b">
        <v>0</v>
      </c>
      <c r="G613" s="123" t="b">
        <v>0</v>
      </c>
    </row>
    <row r="614" spans="1:7" ht="15">
      <c r="A614" s="123" t="s">
        <v>1163</v>
      </c>
      <c r="B614" s="123">
        <v>2</v>
      </c>
      <c r="C614" s="125">
        <v>0.0051232354021595585</v>
      </c>
      <c r="D614" s="123" t="s">
        <v>752</v>
      </c>
      <c r="E614" s="123" t="b">
        <v>0</v>
      </c>
      <c r="F614" s="123" t="b">
        <v>0</v>
      </c>
      <c r="G614" s="123" t="b">
        <v>0</v>
      </c>
    </row>
    <row r="615" spans="1:7" ht="15">
      <c r="A615" s="123" t="s">
        <v>1150</v>
      </c>
      <c r="B615" s="123">
        <v>2</v>
      </c>
      <c r="C615" s="125">
        <v>0.0051232354021595585</v>
      </c>
      <c r="D615" s="123" t="s">
        <v>752</v>
      </c>
      <c r="E615" s="123" t="b">
        <v>0</v>
      </c>
      <c r="F615" s="123" t="b">
        <v>0</v>
      </c>
      <c r="G615" s="123" t="b">
        <v>0</v>
      </c>
    </row>
    <row r="616" spans="1:7" ht="15">
      <c r="A616" s="123" t="s">
        <v>1164</v>
      </c>
      <c r="B616" s="123">
        <v>2</v>
      </c>
      <c r="C616" s="125">
        <v>0.007484254975994704</v>
      </c>
      <c r="D616" s="123" t="s">
        <v>752</v>
      </c>
      <c r="E616" s="123" t="b">
        <v>0</v>
      </c>
      <c r="F616" s="123" t="b">
        <v>0</v>
      </c>
      <c r="G616" s="123" t="b">
        <v>0</v>
      </c>
    </row>
    <row r="617" spans="1:7" ht="15">
      <c r="A617" s="123" t="s">
        <v>1165</v>
      </c>
      <c r="B617" s="123">
        <v>2</v>
      </c>
      <c r="C617" s="125">
        <v>0.007484254975994704</v>
      </c>
      <c r="D617" s="123" t="s">
        <v>752</v>
      </c>
      <c r="E617" s="123" t="b">
        <v>0</v>
      </c>
      <c r="F617" s="123" t="b">
        <v>0</v>
      </c>
      <c r="G617" s="123" t="b">
        <v>0</v>
      </c>
    </row>
    <row r="618" spans="1:7" ht="15">
      <c r="A618" s="123" t="s">
        <v>1159</v>
      </c>
      <c r="B618" s="123">
        <v>2</v>
      </c>
      <c r="C618" s="125">
        <v>0.0051232354021595585</v>
      </c>
      <c r="D618" s="123" t="s">
        <v>752</v>
      </c>
      <c r="E618" s="123" t="b">
        <v>0</v>
      </c>
      <c r="F618" s="123" t="b">
        <v>0</v>
      </c>
      <c r="G618" s="123" t="b">
        <v>0</v>
      </c>
    </row>
    <row r="619" spans="1:7" ht="15">
      <c r="A619" s="123" t="s">
        <v>1160</v>
      </c>
      <c r="B619" s="123">
        <v>2</v>
      </c>
      <c r="C619" s="125">
        <v>0.0051232354021595585</v>
      </c>
      <c r="D619" s="123" t="s">
        <v>752</v>
      </c>
      <c r="E619" s="123" t="b">
        <v>0</v>
      </c>
      <c r="F619" s="123" t="b">
        <v>0</v>
      </c>
      <c r="G619" s="123" t="b">
        <v>0</v>
      </c>
    </row>
    <row r="620" spans="1:7" ht="15">
      <c r="A620" s="123" t="s">
        <v>975</v>
      </c>
      <c r="B620" s="123">
        <v>2</v>
      </c>
      <c r="C620" s="125">
        <v>0.0051232354021595585</v>
      </c>
      <c r="D620" s="123" t="s">
        <v>752</v>
      </c>
      <c r="E620" s="123" t="b">
        <v>0</v>
      </c>
      <c r="F620" s="123" t="b">
        <v>0</v>
      </c>
      <c r="G620" s="123" t="b">
        <v>0</v>
      </c>
    </row>
    <row r="621" spans="1:7" ht="15">
      <c r="A621" s="123" t="s">
        <v>1161</v>
      </c>
      <c r="B621" s="123">
        <v>2</v>
      </c>
      <c r="C621" s="125">
        <v>0.0051232354021595585</v>
      </c>
      <c r="D621" s="123" t="s">
        <v>752</v>
      </c>
      <c r="E621" s="123" t="b">
        <v>0</v>
      </c>
      <c r="F621" s="123" t="b">
        <v>0</v>
      </c>
      <c r="G621" s="123" t="b">
        <v>0</v>
      </c>
    </row>
    <row r="622" spans="1:7" ht="15">
      <c r="A622" s="123" t="s">
        <v>1166</v>
      </c>
      <c r="B622" s="123">
        <v>2</v>
      </c>
      <c r="C622" s="125">
        <v>0.007484254975994704</v>
      </c>
      <c r="D622" s="123" t="s">
        <v>752</v>
      </c>
      <c r="E622" s="123" t="b">
        <v>0</v>
      </c>
      <c r="F622" s="123" t="b">
        <v>0</v>
      </c>
      <c r="G622" s="123" t="b">
        <v>0</v>
      </c>
    </row>
    <row r="623" spans="1:7" ht="15">
      <c r="A623" s="123" t="s">
        <v>1157</v>
      </c>
      <c r="B623" s="123">
        <v>2</v>
      </c>
      <c r="C623" s="125">
        <v>0.0051232354021595585</v>
      </c>
      <c r="D623" s="123" t="s">
        <v>752</v>
      </c>
      <c r="E623" s="123" t="b">
        <v>0</v>
      </c>
      <c r="F623" s="123" t="b">
        <v>0</v>
      </c>
      <c r="G623" s="123" t="b">
        <v>0</v>
      </c>
    </row>
    <row r="624" spans="1:7" ht="15">
      <c r="A624" s="123" t="s">
        <v>1162</v>
      </c>
      <c r="B624" s="123">
        <v>2</v>
      </c>
      <c r="C624" s="125">
        <v>0.0051232354021595585</v>
      </c>
      <c r="D624" s="123" t="s">
        <v>752</v>
      </c>
      <c r="E624" s="123" t="b">
        <v>0</v>
      </c>
      <c r="F624" s="123" t="b">
        <v>0</v>
      </c>
      <c r="G624" s="123" t="b">
        <v>0</v>
      </c>
    </row>
    <row r="625" spans="1:7" ht="15">
      <c r="A625" s="123" t="s">
        <v>977</v>
      </c>
      <c r="B625" s="123">
        <v>2</v>
      </c>
      <c r="C625" s="125">
        <v>0.0051232354021595585</v>
      </c>
      <c r="D625" s="123" t="s">
        <v>752</v>
      </c>
      <c r="E625" s="123" t="b">
        <v>0</v>
      </c>
      <c r="F625" s="123" t="b">
        <v>0</v>
      </c>
      <c r="G625" s="123" t="b">
        <v>0</v>
      </c>
    </row>
    <row r="626" spans="1:7" ht="15">
      <c r="A626" s="123" t="s">
        <v>1151</v>
      </c>
      <c r="B626" s="123">
        <v>2</v>
      </c>
      <c r="C626" s="125">
        <v>0.0051232354021595585</v>
      </c>
      <c r="D626" s="123" t="s">
        <v>752</v>
      </c>
      <c r="E626" s="123" t="b">
        <v>0</v>
      </c>
      <c r="F626" s="123" t="b">
        <v>0</v>
      </c>
      <c r="G626" s="123" t="b">
        <v>0</v>
      </c>
    </row>
    <row r="627" spans="1:7" ht="15">
      <c r="A627" s="123" t="s">
        <v>1153</v>
      </c>
      <c r="B627" s="123">
        <v>2</v>
      </c>
      <c r="C627" s="125">
        <v>0.0051232354021595585</v>
      </c>
      <c r="D627" s="123" t="s">
        <v>752</v>
      </c>
      <c r="E627" s="123" t="b">
        <v>0</v>
      </c>
      <c r="F627" s="123" t="b">
        <v>0</v>
      </c>
      <c r="G627" s="123" t="b">
        <v>0</v>
      </c>
    </row>
    <row r="628" spans="1:7" ht="15">
      <c r="A628" s="123" t="s">
        <v>1149</v>
      </c>
      <c r="B628" s="123">
        <v>2</v>
      </c>
      <c r="C628" s="125">
        <v>0.0051232354021595585</v>
      </c>
      <c r="D628" s="123" t="s">
        <v>752</v>
      </c>
      <c r="E628" s="123" t="b">
        <v>0</v>
      </c>
      <c r="F628" s="123" t="b">
        <v>0</v>
      </c>
      <c r="G628" s="123" t="b">
        <v>0</v>
      </c>
    </row>
    <row r="629" spans="1:7" ht="15">
      <c r="A629" s="123" t="s">
        <v>1158</v>
      </c>
      <c r="B629" s="123">
        <v>2</v>
      </c>
      <c r="C629" s="125">
        <v>0.007484254975994704</v>
      </c>
      <c r="D629" s="123" t="s">
        <v>752</v>
      </c>
      <c r="E629" s="123" t="b">
        <v>0</v>
      </c>
      <c r="F629" s="123" t="b">
        <v>0</v>
      </c>
      <c r="G629" s="123" t="b">
        <v>0</v>
      </c>
    </row>
    <row r="630" spans="1:7" ht="15">
      <c r="A630" s="123" t="s">
        <v>882</v>
      </c>
      <c r="B630" s="123">
        <v>2</v>
      </c>
      <c r="C630" s="125">
        <v>0.007484254975994704</v>
      </c>
      <c r="D630" s="123" t="s">
        <v>752</v>
      </c>
      <c r="E630" s="123" t="b">
        <v>0</v>
      </c>
      <c r="F630" s="123" t="b">
        <v>0</v>
      </c>
      <c r="G630" s="123" t="b">
        <v>0</v>
      </c>
    </row>
    <row r="631" spans="1:7" ht="15">
      <c r="A631" s="123" t="s">
        <v>1155</v>
      </c>
      <c r="B631" s="123">
        <v>2</v>
      </c>
      <c r="C631" s="125">
        <v>0.0051232354021595585</v>
      </c>
      <c r="D631" s="123" t="s">
        <v>752</v>
      </c>
      <c r="E631" s="123" t="b">
        <v>0</v>
      </c>
      <c r="F631" s="123" t="b">
        <v>0</v>
      </c>
      <c r="G631" s="123" t="b">
        <v>0</v>
      </c>
    </row>
    <row r="632" spans="1:7" ht="15">
      <c r="A632" s="123" t="s">
        <v>1156</v>
      </c>
      <c r="B632" s="123">
        <v>2</v>
      </c>
      <c r="C632" s="125">
        <v>0.0051232354021595585</v>
      </c>
      <c r="D632" s="123" t="s">
        <v>752</v>
      </c>
      <c r="E632" s="123" t="b">
        <v>0</v>
      </c>
      <c r="F632" s="123" t="b">
        <v>0</v>
      </c>
      <c r="G632" s="123" t="b">
        <v>0</v>
      </c>
    </row>
    <row r="633" spans="1:7" ht="15">
      <c r="A633" s="123" t="s">
        <v>1154</v>
      </c>
      <c r="B633" s="123">
        <v>2</v>
      </c>
      <c r="C633" s="125">
        <v>0.007484254975994704</v>
      </c>
      <c r="D633" s="123" t="s">
        <v>752</v>
      </c>
      <c r="E633" s="123" t="b">
        <v>0</v>
      </c>
      <c r="F633" s="123" t="b">
        <v>0</v>
      </c>
      <c r="G633" s="123" t="b">
        <v>0</v>
      </c>
    </row>
    <row r="634" spans="1:7" ht="15">
      <c r="A634" s="123" t="s">
        <v>924</v>
      </c>
      <c r="B634" s="123">
        <v>2</v>
      </c>
      <c r="C634" s="125">
        <v>0.0051232354021595585</v>
      </c>
      <c r="D634" s="123" t="s">
        <v>752</v>
      </c>
      <c r="E634" s="123" t="b">
        <v>0</v>
      </c>
      <c r="F634" s="123" t="b">
        <v>0</v>
      </c>
      <c r="G634" s="123" t="b">
        <v>0</v>
      </c>
    </row>
    <row r="635" spans="1:7" ht="15">
      <c r="A635" s="123" t="s">
        <v>1152</v>
      </c>
      <c r="B635" s="123">
        <v>2</v>
      </c>
      <c r="C635" s="125">
        <v>0.007484254975994704</v>
      </c>
      <c r="D635" s="123" t="s">
        <v>752</v>
      </c>
      <c r="E635" s="123" t="b">
        <v>0</v>
      </c>
      <c r="F635" s="123" t="b">
        <v>0</v>
      </c>
      <c r="G635" s="123" t="b">
        <v>0</v>
      </c>
    </row>
    <row r="636" spans="1:7" ht="15">
      <c r="A636" s="123" t="s">
        <v>810</v>
      </c>
      <c r="B636" s="123">
        <v>8</v>
      </c>
      <c r="C636" s="125">
        <v>0.007992578392417024</v>
      </c>
      <c r="D636" s="123" t="s">
        <v>753</v>
      </c>
      <c r="E636" s="123" t="b">
        <v>0</v>
      </c>
      <c r="F636" s="123" t="b">
        <v>0</v>
      </c>
      <c r="G636" s="123" t="b">
        <v>0</v>
      </c>
    </row>
    <row r="637" spans="1:7" ht="15">
      <c r="A637" s="123" t="s">
        <v>779</v>
      </c>
      <c r="B637" s="123">
        <v>7</v>
      </c>
      <c r="C637" s="125">
        <v>0.03773351770064292</v>
      </c>
      <c r="D637" s="123" t="s">
        <v>753</v>
      </c>
      <c r="E637" s="123" t="b">
        <v>0</v>
      </c>
      <c r="F637" s="123" t="b">
        <v>0</v>
      </c>
      <c r="G637" s="123" t="b">
        <v>0</v>
      </c>
    </row>
    <row r="638" spans="1:7" ht="15">
      <c r="A638" s="123" t="s">
        <v>780</v>
      </c>
      <c r="B638" s="123">
        <v>5</v>
      </c>
      <c r="C638" s="125">
        <v>0.036029381666805096</v>
      </c>
      <c r="D638" s="123" t="s">
        <v>753</v>
      </c>
      <c r="E638" s="123" t="b">
        <v>0</v>
      </c>
      <c r="F638" s="123" t="b">
        <v>0</v>
      </c>
      <c r="G638" s="123" t="b">
        <v>0</v>
      </c>
    </row>
    <row r="639" spans="1:7" ht="15">
      <c r="A639" s="123" t="s">
        <v>879</v>
      </c>
      <c r="B639" s="123">
        <v>5</v>
      </c>
      <c r="C639" s="125">
        <v>0.05154639175257732</v>
      </c>
      <c r="D639" s="123" t="s">
        <v>753</v>
      </c>
      <c r="E639" s="123" t="b">
        <v>0</v>
      </c>
      <c r="F639" s="123" t="b">
        <v>0</v>
      </c>
      <c r="G639" s="123" t="b">
        <v>0</v>
      </c>
    </row>
    <row r="640" spans="1:7" ht="15">
      <c r="A640" s="123" t="s">
        <v>786</v>
      </c>
      <c r="B640" s="123">
        <v>4</v>
      </c>
      <c r="C640" s="125">
        <v>0.028823505333444077</v>
      </c>
      <c r="D640" s="123" t="s">
        <v>753</v>
      </c>
      <c r="E640" s="123" t="b">
        <v>0</v>
      </c>
      <c r="F640" s="123" t="b">
        <v>0</v>
      </c>
      <c r="G640" s="123" t="b">
        <v>0</v>
      </c>
    </row>
    <row r="641" spans="1:7" ht="15">
      <c r="A641" s="123" t="s">
        <v>901</v>
      </c>
      <c r="B641" s="123">
        <v>4</v>
      </c>
      <c r="C641" s="125">
        <v>0.041237113402061855</v>
      </c>
      <c r="D641" s="123" t="s">
        <v>753</v>
      </c>
      <c r="E641" s="123" t="b">
        <v>0</v>
      </c>
      <c r="F641" s="123" t="b">
        <v>0</v>
      </c>
      <c r="G641" s="123" t="b">
        <v>0</v>
      </c>
    </row>
    <row r="642" spans="1:7" ht="15">
      <c r="A642" s="123" t="s">
        <v>837</v>
      </c>
      <c r="B642" s="123">
        <v>4</v>
      </c>
      <c r="C642" s="125">
        <v>0.041237113402061855</v>
      </c>
      <c r="D642" s="123" t="s">
        <v>753</v>
      </c>
      <c r="E642" s="123" t="b">
        <v>0</v>
      </c>
      <c r="F642" s="123" t="b">
        <v>0</v>
      </c>
      <c r="G642" s="123" t="b">
        <v>0</v>
      </c>
    </row>
    <row r="643" spans="1:7" ht="15">
      <c r="A643" s="123" t="s">
        <v>781</v>
      </c>
      <c r="B643" s="123">
        <v>3</v>
      </c>
      <c r="C643" s="125">
        <v>0.021617629000083058</v>
      </c>
      <c r="D643" s="123" t="s">
        <v>753</v>
      </c>
      <c r="E643" s="123" t="b">
        <v>0</v>
      </c>
      <c r="F643" s="123" t="b">
        <v>0</v>
      </c>
      <c r="G643" s="123" t="b">
        <v>0</v>
      </c>
    </row>
    <row r="644" spans="1:7" ht="15">
      <c r="A644" s="123" t="s">
        <v>795</v>
      </c>
      <c r="B644" s="123">
        <v>3</v>
      </c>
      <c r="C644" s="125">
        <v>0.021617629000083058</v>
      </c>
      <c r="D644" s="123" t="s">
        <v>753</v>
      </c>
      <c r="E644" s="123" t="b">
        <v>0</v>
      </c>
      <c r="F644" s="123" t="b">
        <v>0</v>
      </c>
      <c r="G644" s="123" t="b">
        <v>0</v>
      </c>
    </row>
    <row r="645" spans="1:7" ht="15">
      <c r="A645" s="123" t="s">
        <v>856</v>
      </c>
      <c r="B645" s="123">
        <v>3</v>
      </c>
      <c r="C645" s="125">
        <v>0.016171507585989824</v>
      </c>
      <c r="D645" s="123" t="s">
        <v>753</v>
      </c>
      <c r="E645" s="123" t="b">
        <v>0</v>
      </c>
      <c r="F645" s="123" t="b">
        <v>0</v>
      </c>
      <c r="G645" s="123" t="b">
        <v>0</v>
      </c>
    </row>
    <row r="646" spans="1:7" ht="15">
      <c r="A646" s="123" t="s">
        <v>804</v>
      </c>
      <c r="B646" s="123">
        <v>3</v>
      </c>
      <c r="C646" s="125">
        <v>0.030927835051546393</v>
      </c>
      <c r="D646" s="123" t="s">
        <v>753</v>
      </c>
      <c r="E646" s="123" t="b">
        <v>0</v>
      </c>
      <c r="F646" s="123" t="b">
        <v>0</v>
      </c>
      <c r="G646" s="123" t="b">
        <v>0</v>
      </c>
    </row>
    <row r="647" spans="1:7" ht="15">
      <c r="A647" s="123" t="s">
        <v>854</v>
      </c>
      <c r="B647" s="123">
        <v>2</v>
      </c>
      <c r="C647" s="125">
        <v>0.014411752666722039</v>
      </c>
      <c r="D647" s="123" t="s">
        <v>753</v>
      </c>
      <c r="E647" s="123" t="b">
        <v>0</v>
      </c>
      <c r="F647" s="123" t="b">
        <v>0</v>
      </c>
      <c r="G647" s="123" t="b">
        <v>0</v>
      </c>
    </row>
    <row r="648" spans="1:7" ht="15">
      <c r="A648" s="123" t="s">
        <v>1055</v>
      </c>
      <c r="B648" s="123">
        <v>2</v>
      </c>
      <c r="C648" s="125">
        <v>0.014411752666722039</v>
      </c>
      <c r="D648" s="123" t="s">
        <v>753</v>
      </c>
      <c r="E648" s="123" t="b">
        <v>1</v>
      </c>
      <c r="F648" s="123" t="b">
        <v>0</v>
      </c>
      <c r="G648" s="123" t="b">
        <v>0</v>
      </c>
    </row>
    <row r="649" spans="1:7" ht="15">
      <c r="A649" s="123" t="s">
        <v>1059</v>
      </c>
      <c r="B649" s="123">
        <v>2</v>
      </c>
      <c r="C649" s="125">
        <v>0.020618556701030927</v>
      </c>
      <c r="D649" s="123" t="s">
        <v>753</v>
      </c>
      <c r="E649" s="123" t="b">
        <v>0</v>
      </c>
      <c r="F649" s="123" t="b">
        <v>0</v>
      </c>
      <c r="G649" s="123" t="b">
        <v>0</v>
      </c>
    </row>
    <row r="650" spans="1:7" ht="15">
      <c r="A650" s="123" t="s">
        <v>853</v>
      </c>
      <c r="B650" s="123">
        <v>2</v>
      </c>
      <c r="C650" s="125">
        <v>0.020618556701030927</v>
      </c>
      <c r="D650" s="123" t="s">
        <v>753</v>
      </c>
      <c r="E650" s="123" t="b">
        <v>0</v>
      </c>
      <c r="F650" s="123" t="b">
        <v>0</v>
      </c>
      <c r="G650" s="123" t="b">
        <v>0</v>
      </c>
    </row>
    <row r="651" spans="1:7" ht="15">
      <c r="A651" s="123" t="s">
        <v>960</v>
      </c>
      <c r="B651" s="123">
        <v>2</v>
      </c>
      <c r="C651" s="125">
        <v>0.014411752666722039</v>
      </c>
      <c r="D651" s="123" t="s">
        <v>753</v>
      </c>
      <c r="E651" s="123" t="b">
        <v>0</v>
      </c>
      <c r="F651" s="123" t="b">
        <v>0</v>
      </c>
      <c r="G651" s="123" t="b">
        <v>0</v>
      </c>
    </row>
    <row r="652" spans="1:7" ht="15">
      <c r="A652" s="123" t="s">
        <v>1056</v>
      </c>
      <c r="B652" s="123">
        <v>2</v>
      </c>
      <c r="C652" s="125">
        <v>0.014411752666722039</v>
      </c>
      <c r="D652" s="123" t="s">
        <v>753</v>
      </c>
      <c r="E652" s="123" t="b">
        <v>0</v>
      </c>
      <c r="F652" s="123" t="b">
        <v>1</v>
      </c>
      <c r="G652" s="123" t="b">
        <v>0</v>
      </c>
    </row>
    <row r="653" spans="1:7" ht="15">
      <c r="A653" s="123" t="s">
        <v>779</v>
      </c>
      <c r="B653" s="123">
        <v>18</v>
      </c>
      <c r="C653" s="125">
        <v>0.027092699609758308</v>
      </c>
      <c r="D653" s="123" t="s">
        <v>754</v>
      </c>
      <c r="E653" s="123" t="b">
        <v>0</v>
      </c>
      <c r="F653" s="123" t="b">
        <v>0</v>
      </c>
      <c r="G653" s="123" t="b">
        <v>0</v>
      </c>
    </row>
    <row r="654" spans="1:7" ht="15">
      <c r="A654" s="123" t="s">
        <v>780</v>
      </c>
      <c r="B654" s="123">
        <v>15</v>
      </c>
      <c r="C654" s="125">
        <v>0.0072682509756042315</v>
      </c>
      <c r="D654" s="123" t="s">
        <v>754</v>
      </c>
      <c r="E654" s="123" t="b">
        <v>0</v>
      </c>
      <c r="F654" s="123" t="b">
        <v>0</v>
      </c>
      <c r="G654" s="123" t="b">
        <v>0</v>
      </c>
    </row>
    <row r="655" spans="1:7" ht="15">
      <c r="A655" s="123" t="s">
        <v>781</v>
      </c>
      <c r="B655" s="123">
        <v>13</v>
      </c>
      <c r="C655" s="125">
        <v>0.01956694971815878</v>
      </c>
      <c r="D655" s="123" t="s">
        <v>754</v>
      </c>
      <c r="E655" s="123" t="b">
        <v>0</v>
      </c>
      <c r="F655" s="123" t="b">
        <v>0</v>
      </c>
      <c r="G655" s="123" t="b">
        <v>0</v>
      </c>
    </row>
    <row r="656" spans="1:7" ht="15">
      <c r="A656" s="123" t="s">
        <v>790</v>
      </c>
      <c r="B656" s="123">
        <v>7</v>
      </c>
      <c r="C656" s="125">
        <v>0.013927900303521317</v>
      </c>
      <c r="D656" s="123" t="s">
        <v>754</v>
      </c>
      <c r="E656" s="123" t="b">
        <v>0</v>
      </c>
      <c r="F656" s="123" t="b">
        <v>0</v>
      </c>
      <c r="G656" s="123" t="b">
        <v>0</v>
      </c>
    </row>
    <row r="657" spans="1:7" ht="15">
      <c r="A657" s="123" t="s">
        <v>804</v>
      </c>
      <c r="B657" s="123">
        <v>7</v>
      </c>
      <c r="C657" s="125">
        <v>0.010536049848239342</v>
      </c>
      <c r="D657" s="123" t="s">
        <v>754</v>
      </c>
      <c r="E657" s="123" t="b">
        <v>0</v>
      </c>
      <c r="F657" s="123" t="b">
        <v>0</v>
      </c>
      <c r="G657" s="123" t="b">
        <v>0</v>
      </c>
    </row>
    <row r="658" spans="1:7" ht="15">
      <c r="A658" s="123" t="s">
        <v>841</v>
      </c>
      <c r="B658" s="123">
        <v>6</v>
      </c>
      <c r="C658" s="125">
        <v>0.03</v>
      </c>
      <c r="D658" s="123" t="s">
        <v>754</v>
      </c>
      <c r="E658" s="123" t="b">
        <v>0</v>
      </c>
      <c r="F658" s="123" t="b">
        <v>0</v>
      </c>
      <c r="G658" s="123" t="b">
        <v>0</v>
      </c>
    </row>
    <row r="659" spans="1:7" ht="15">
      <c r="A659" s="123" t="s">
        <v>786</v>
      </c>
      <c r="B659" s="123">
        <v>5</v>
      </c>
      <c r="C659" s="125">
        <v>0.00752574989159953</v>
      </c>
      <c r="D659" s="123" t="s">
        <v>754</v>
      </c>
      <c r="E659" s="123" t="b">
        <v>0</v>
      </c>
      <c r="F659" s="123" t="b">
        <v>0</v>
      </c>
      <c r="G659" s="123" t="b">
        <v>0</v>
      </c>
    </row>
    <row r="660" spans="1:7" ht="15">
      <c r="A660" s="123" t="s">
        <v>857</v>
      </c>
      <c r="B660" s="123">
        <v>5</v>
      </c>
      <c r="C660" s="125">
        <v>0.025</v>
      </c>
      <c r="D660" s="123" t="s">
        <v>754</v>
      </c>
      <c r="E660" s="123" t="b">
        <v>0</v>
      </c>
      <c r="F660" s="123" t="b">
        <v>0</v>
      </c>
      <c r="G660" s="123" t="b">
        <v>0</v>
      </c>
    </row>
    <row r="661" spans="1:7" ht="15">
      <c r="A661" s="123" t="s">
        <v>840</v>
      </c>
      <c r="B661" s="123">
        <v>4</v>
      </c>
      <c r="C661" s="125">
        <v>0.013979400086720377</v>
      </c>
      <c r="D661" s="123" t="s">
        <v>754</v>
      </c>
      <c r="E661" s="123" t="b">
        <v>0</v>
      </c>
      <c r="F661" s="123" t="b">
        <v>0</v>
      </c>
      <c r="G661" s="123" t="b">
        <v>0</v>
      </c>
    </row>
    <row r="662" spans="1:7" ht="15">
      <c r="A662" s="123" t="s">
        <v>875</v>
      </c>
      <c r="B662" s="123">
        <v>4</v>
      </c>
      <c r="C662" s="125">
        <v>0.007958800173440752</v>
      </c>
      <c r="D662" s="123" t="s">
        <v>754</v>
      </c>
      <c r="E662" s="123" t="b">
        <v>0</v>
      </c>
      <c r="F662" s="123" t="b">
        <v>0</v>
      </c>
      <c r="G662" s="123" t="b">
        <v>0</v>
      </c>
    </row>
    <row r="663" spans="1:7" ht="15">
      <c r="A663" s="123" t="s">
        <v>801</v>
      </c>
      <c r="B663" s="123">
        <v>4</v>
      </c>
      <c r="C663" s="125">
        <v>0.010457574905606752</v>
      </c>
      <c r="D663" s="123" t="s">
        <v>754</v>
      </c>
      <c r="E663" s="123" t="b">
        <v>0</v>
      </c>
      <c r="F663" s="123" t="b">
        <v>0</v>
      </c>
      <c r="G663" s="123" t="b">
        <v>0</v>
      </c>
    </row>
    <row r="664" spans="1:7" ht="15">
      <c r="A664" s="123" t="s">
        <v>878</v>
      </c>
      <c r="B664" s="123">
        <v>4</v>
      </c>
      <c r="C664" s="125">
        <v>0.013979400086720377</v>
      </c>
      <c r="D664" s="123" t="s">
        <v>754</v>
      </c>
      <c r="E664" s="123" t="b">
        <v>0</v>
      </c>
      <c r="F664" s="123" t="b">
        <v>0</v>
      </c>
      <c r="G664" s="123" t="b">
        <v>0</v>
      </c>
    </row>
    <row r="665" spans="1:7" ht="15">
      <c r="A665" s="123" t="s">
        <v>947</v>
      </c>
      <c r="B665" s="123">
        <v>3</v>
      </c>
      <c r="C665" s="125">
        <v>0.007843181179205063</v>
      </c>
      <c r="D665" s="123" t="s">
        <v>754</v>
      </c>
      <c r="E665" s="123" t="b">
        <v>0</v>
      </c>
      <c r="F665" s="123" t="b">
        <v>0</v>
      </c>
      <c r="G665" s="123" t="b">
        <v>0</v>
      </c>
    </row>
    <row r="666" spans="1:7" ht="15">
      <c r="A666" s="123" t="s">
        <v>874</v>
      </c>
      <c r="B666" s="123">
        <v>3</v>
      </c>
      <c r="C666" s="125">
        <v>0.007843181179205063</v>
      </c>
      <c r="D666" s="123" t="s">
        <v>754</v>
      </c>
      <c r="E666" s="123" t="b">
        <v>0</v>
      </c>
      <c r="F666" s="123" t="b">
        <v>0</v>
      </c>
      <c r="G666" s="123" t="b">
        <v>0</v>
      </c>
    </row>
    <row r="667" spans="1:7" ht="15">
      <c r="A667" s="123" t="s">
        <v>899</v>
      </c>
      <c r="B667" s="123">
        <v>3</v>
      </c>
      <c r="C667" s="125">
        <v>0.007843181179205063</v>
      </c>
      <c r="D667" s="123" t="s">
        <v>754</v>
      </c>
      <c r="E667" s="123" t="b">
        <v>0</v>
      </c>
      <c r="F667" s="123" t="b">
        <v>0</v>
      </c>
      <c r="G667" s="123" t="b">
        <v>0</v>
      </c>
    </row>
    <row r="668" spans="1:7" ht="15">
      <c r="A668" s="123" t="s">
        <v>876</v>
      </c>
      <c r="B668" s="123">
        <v>3</v>
      </c>
      <c r="C668" s="125">
        <v>0.007843181179205063</v>
      </c>
      <c r="D668" s="123" t="s">
        <v>754</v>
      </c>
      <c r="E668" s="123" t="b">
        <v>0</v>
      </c>
      <c r="F668" s="123" t="b">
        <v>0</v>
      </c>
      <c r="G668" s="123" t="b">
        <v>0</v>
      </c>
    </row>
    <row r="669" spans="1:7" ht="15">
      <c r="A669" s="123" t="s">
        <v>900</v>
      </c>
      <c r="B669" s="123">
        <v>3</v>
      </c>
      <c r="C669" s="125">
        <v>0.007843181179205063</v>
      </c>
      <c r="D669" s="123" t="s">
        <v>754</v>
      </c>
      <c r="E669" s="123" t="b">
        <v>0</v>
      </c>
      <c r="F669" s="123" t="b">
        <v>0</v>
      </c>
      <c r="G669" s="123" t="b">
        <v>0</v>
      </c>
    </row>
    <row r="670" spans="1:7" ht="15">
      <c r="A670" s="123" t="s">
        <v>820</v>
      </c>
      <c r="B670" s="123">
        <v>3</v>
      </c>
      <c r="C670" s="125">
        <v>0.007843181179205063</v>
      </c>
      <c r="D670" s="123" t="s">
        <v>754</v>
      </c>
      <c r="E670" s="123" t="b">
        <v>0</v>
      </c>
      <c r="F670" s="123" t="b">
        <v>0</v>
      </c>
      <c r="G670" s="123" t="b">
        <v>0</v>
      </c>
    </row>
    <row r="671" spans="1:7" ht="15">
      <c r="A671" s="123" t="s">
        <v>784</v>
      </c>
      <c r="B671" s="123">
        <v>3</v>
      </c>
      <c r="C671" s="125">
        <v>0.007843181179205063</v>
      </c>
      <c r="D671" s="123" t="s">
        <v>754</v>
      </c>
      <c r="E671" s="123" t="b">
        <v>0</v>
      </c>
      <c r="F671" s="123" t="b">
        <v>0</v>
      </c>
      <c r="G671" s="123" t="b">
        <v>0</v>
      </c>
    </row>
    <row r="672" spans="1:7" ht="15">
      <c r="A672" s="123" t="s">
        <v>959</v>
      </c>
      <c r="B672" s="123">
        <v>3</v>
      </c>
      <c r="C672" s="125">
        <v>0.015</v>
      </c>
      <c r="D672" s="123" t="s">
        <v>754</v>
      </c>
      <c r="E672" s="123" t="b">
        <v>0</v>
      </c>
      <c r="F672" s="123" t="b">
        <v>0</v>
      </c>
      <c r="G672" s="123" t="b">
        <v>0</v>
      </c>
    </row>
    <row r="673" spans="1:7" ht="15">
      <c r="A673" s="123" t="s">
        <v>898</v>
      </c>
      <c r="B673" s="123">
        <v>2</v>
      </c>
      <c r="C673" s="125">
        <v>0.0069897000433601884</v>
      </c>
      <c r="D673" s="123" t="s">
        <v>754</v>
      </c>
      <c r="E673" s="123" t="b">
        <v>0</v>
      </c>
      <c r="F673" s="123" t="b">
        <v>0</v>
      </c>
      <c r="G673" s="123" t="b">
        <v>0</v>
      </c>
    </row>
    <row r="674" spans="1:7" ht="15">
      <c r="A674" s="123" t="s">
        <v>1040</v>
      </c>
      <c r="B674" s="123">
        <v>2</v>
      </c>
      <c r="C674" s="125">
        <v>0.0069897000433601884</v>
      </c>
      <c r="D674" s="123" t="s">
        <v>754</v>
      </c>
      <c r="E674" s="123" t="b">
        <v>0</v>
      </c>
      <c r="F674" s="123" t="b">
        <v>1</v>
      </c>
      <c r="G674" s="123" t="b">
        <v>0</v>
      </c>
    </row>
    <row r="675" spans="1:7" ht="15">
      <c r="A675" s="123" t="s">
        <v>799</v>
      </c>
      <c r="B675" s="123">
        <v>2</v>
      </c>
      <c r="C675" s="125">
        <v>0.0069897000433601884</v>
      </c>
      <c r="D675" s="123" t="s">
        <v>754</v>
      </c>
      <c r="E675" s="123" t="b">
        <v>0</v>
      </c>
      <c r="F675" s="123" t="b">
        <v>0</v>
      </c>
      <c r="G675" s="123" t="b">
        <v>0</v>
      </c>
    </row>
    <row r="676" spans="1:7" ht="15">
      <c r="A676" s="123" t="s">
        <v>1052</v>
      </c>
      <c r="B676" s="123">
        <v>2</v>
      </c>
      <c r="C676" s="125">
        <v>0.01</v>
      </c>
      <c r="D676" s="123" t="s">
        <v>754</v>
      </c>
      <c r="E676" s="123" t="b">
        <v>0</v>
      </c>
      <c r="F676" s="123" t="b">
        <v>0</v>
      </c>
      <c r="G676" s="123" t="b">
        <v>0</v>
      </c>
    </row>
    <row r="677" spans="1:7" ht="15">
      <c r="A677" s="123" t="s">
        <v>1053</v>
      </c>
      <c r="B677" s="123">
        <v>2</v>
      </c>
      <c r="C677" s="125">
        <v>0.01</v>
      </c>
      <c r="D677" s="123" t="s">
        <v>754</v>
      </c>
      <c r="E677" s="123" t="b">
        <v>0</v>
      </c>
      <c r="F677" s="123" t="b">
        <v>0</v>
      </c>
      <c r="G677" s="123" t="b">
        <v>0</v>
      </c>
    </row>
    <row r="678" spans="1:7" ht="15">
      <c r="A678" s="123" t="s">
        <v>953</v>
      </c>
      <c r="B678" s="123">
        <v>2</v>
      </c>
      <c r="C678" s="125">
        <v>0.0069897000433601884</v>
      </c>
      <c r="D678" s="123" t="s">
        <v>754</v>
      </c>
      <c r="E678" s="123" t="b">
        <v>0</v>
      </c>
      <c r="F678" s="123" t="b">
        <v>0</v>
      </c>
      <c r="G678" s="123" t="b">
        <v>0</v>
      </c>
    </row>
    <row r="679" spans="1:7" ht="15">
      <c r="A679" s="123" t="s">
        <v>948</v>
      </c>
      <c r="B679" s="123">
        <v>2</v>
      </c>
      <c r="C679" s="125">
        <v>0.01</v>
      </c>
      <c r="D679" s="123" t="s">
        <v>754</v>
      </c>
      <c r="E679" s="123" t="b">
        <v>0</v>
      </c>
      <c r="F679" s="123" t="b">
        <v>0</v>
      </c>
      <c r="G679" s="123" t="b">
        <v>0</v>
      </c>
    </row>
    <row r="680" spans="1:7" ht="15">
      <c r="A680" s="123" t="s">
        <v>949</v>
      </c>
      <c r="B680" s="123">
        <v>2</v>
      </c>
      <c r="C680" s="125">
        <v>0.01</v>
      </c>
      <c r="D680" s="123" t="s">
        <v>754</v>
      </c>
      <c r="E680" s="123" t="b">
        <v>0</v>
      </c>
      <c r="F680" s="123" t="b">
        <v>0</v>
      </c>
      <c r="G680" s="123" t="b">
        <v>0</v>
      </c>
    </row>
    <row r="681" spans="1:7" ht="15">
      <c r="A681" s="123" t="s">
        <v>1049</v>
      </c>
      <c r="B681" s="123">
        <v>2</v>
      </c>
      <c r="C681" s="125">
        <v>0.01</v>
      </c>
      <c r="D681" s="123" t="s">
        <v>754</v>
      </c>
      <c r="E681" s="123" t="b">
        <v>0</v>
      </c>
      <c r="F681" s="123" t="b">
        <v>0</v>
      </c>
      <c r="G681" s="123" t="b">
        <v>0</v>
      </c>
    </row>
    <row r="682" spans="1:7" ht="15">
      <c r="A682" s="123" t="s">
        <v>1051</v>
      </c>
      <c r="B682" s="123">
        <v>2</v>
      </c>
      <c r="C682" s="125">
        <v>0.01</v>
      </c>
      <c r="D682" s="123" t="s">
        <v>754</v>
      </c>
      <c r="E682" s="123" t="b">
        <v>0</v>
      </c>
      <c r="F682" s="123" t="b">
        <v>0</v>
      </c>
      <c r="G682" s="123" t="b">
        <v>0</v>
      </c>
    </row>
    <row r="683" spans="1:7" ht="15">
      <c r="A683" s="123" t="s">
        <v>1045</v>
      </c>
      <c r="B683" s="123">
        <v>2</v>
      </c>
      <c r="C683" s="125">
        <v>0.01</v>
      </c>
      <c r="D683" s="123" t="s">
        <v>754</v>
      </c>
      <c r="E683" s="123" t="b">
        <v>0</v>
      </c>
      <c r="F683" s="123" t="b">
        <v>0</v>
      </c>
      <c r="G683" s="123" t="b">
        <v>0</v>
      </c>
    </row>
    <row r="684" spans="1:7" ht="15">
      <c r="A684" s="123" t="s">
        <v>1046</v>
      </c>
      <c r="B684" s="123">
        <v>2</v>
      </c>
      <c r="C684" s="125">
        <v>0.01</v>
      </c>
      <c r="D684" s="123" t="s">
        <v>754</v>
      </c>
      <c r="E684" s="123" t="b">
        <v>0</v>
      </c>
      <c r="F684" s="123" t="b">
        <v>0</v>
      </c>
      <c r="G684" s="123" t="b">
        <v>0</v>
      </c>
    </row>
    <row r="685" spans="1:7" ht="15">
      <c r="A685" s="123" t="s">
        <v>795</v>
      </c>
      <c r="B685" s="123">
        <v>2</v>
      </c>
      <c r="C685" s="125">
        <v>0.01</v>
      </c>
      <c r="D685" s="123" t="s">
        <v>754</v>
      </c>
      <c r="E685" s="123" t="b">
        <v>0</v>
      </c>
      <c r="F685" s="123" t="b">
        <v>0</v>
      </c>
      <c r="G685" s="123" t="b">
        <v>0</v>
      </c>
    </row>
    <row r="686" spans="1:7" ht="15">
      <c r="A686" s="123" t="s">
        <v>855</v>
      </c>
      <c r="B686" s="123">
        <v>2</v>
      </c>
      <c r="C686" s="125">
        <v>0.01</v>
      </c>
      <c r="D686" s="123" t="s">
        <v>754</v>
      </c>
      <c r="E686" s="123" t="b">
        <v>0</v>
      </c>
      <c r="F686" s="123" t="b">
        <v>0</v>
      </c>
      <c r="G686" s="123" t="b">
        <v>0</v>
      </c>
    </row>
    <row r="687" spans="1:7" ht="15">
      <c r="A687" s="123" t="s">
        <v>807</v>
      </c>
      <c r="B687" s="123">
        <v>2</v>
      </c>
      <c r="C687" s="125">
        <v>0.01</v>
      </c>
      <c r="D687" s="123" t="s">
        <v>754</v>
      </c>
      <c r="E687" s="123" t="b">
        <v>0</v>
      </c>
      <c r="F687" s="123" t="b">
        <v>0</v>
      </c>
      <c r="G687" s="123" t="b">
        <v>0</v>
      </c>
    </row>
    <row r="688" spans="1:7" ht="15">
      <c r="A688" s="123" t="s">
        <v>952</v>
      </c>
      <c r="B688" s="123">
        <v>2</v>
      </c>
      <c r="C688" s="125">
        <v>0.01</v>
      </c>
      <c r="D688" s="123" t="s">
        <v>754</v>
      </c>
      <c r="E688" s="123" t="b">
        <v>0</v>
      </c>
      <c r="F688" s="123" t="b">
        <v>0</v>
      </c>
      <c r="G688" s="123" t="b">
        <v>0</v>
      </c>
    </row>
    <row r="689" spans="1:7" ht="15">
      <c r="A689" s="123" t="s">
        <v>790</v>
      </c>
      <c r="B689" s="123">
        <v>5</v>
      </c>
      <c r="C689" s="125">
        <v>0.005303953586014495</v>
      </c>
      <c r="D689" s="123" t="s">
        <v>755</v>
      </c>
      <c r="E689" s="123" t="b">
        <v>0</v>
      </c>
      <c r="F689" s="123" t="b">
        <v>0</v>
      </c>
      <c r="G689" s="123" t="b">
        <v>0</v>
      </c>
    </row>
    <row r="690" spans="1:7" ht="15">
      <c r="A690" s="123" t="s">
        <v>780</v>
      </c>
      <c r="B690" s="123">
        <v>5</v>
      </c>
      <c r="C690" s="125">
        <v>0.0071855610650551575</v>
      </c>
      <c r="D690" s="123" t="s">
        <v>755</v>
      </c>
      <c r="E690" s="123" t="b">
        <v>0</v>
      </c>
      <c r="F690" s="123" t="b">
        <v>0</v>
      </c>
      <c r="G690" s="123" t="b">
        <v>0</v>
      </c>
    </row>
    <row r="691" spans="1:7" ht="15">
      <c r="A691" s="123" t="s">
        <v>821</v>
      </c>
      <c r="B691" s="123">
        <v>5</v>
      </c>
      <c r="C691" s="125">
        <v>0.003844465438302802</v>
      </c>
      <c r="D691" s="123" t="s">
        <v>755</v>
      </c>
      <c r="E691" s="123" t="b">
        <v>0</v>
      </c>
      <c r="F691" s="123" t="b">
        <v>0</v>
      </c>
      <c r="G691" s="123" t="b">
        <v>0</v>
      </c>
    </row>
    <row r="692" spans="1:7" ht="15">
      <c r="A692" s="123" t="s">
        <v>781</v>
      </c>
      <c r="B692" s="123">
        <v>4</v>
      </c>
      <c r="C692" s="125">
        <v>0.005748448852044126</v>
      </c>
      <c r="D692" s="123" t="s">
        <v>755</v>
      </c>
      <c r="E692" s="123" t="b">
        <v>0</v>
      </c>
      <c r="F692" s="123" t="b">
        <v>0</v>
      </c>
      <c r="G692" s="123" t="b">
        <v>0</v>
      </c>
    </row>
    <row r="693" spans="1:7" ht="15">
      <c r="A693" s="123" t="s">
        <v>779</v>
      </c>
      <c r="B693" s="123">
        <v>4</v>
      </c>
      <c r="C693" s="125">
        <v>0.005748448852044126</v>
      </c>
      <c r="D693" s="123" t="s">
        <v>755</v>
      </c>
      <c r="E693" s="123" t="b">
        <v>0</v>
      </c>
      <c r="F693" s="123" t="b">
        <v>0</v>
      </c>
      <c r="G693" s="123" t="b">
        <v>0</v>
      </c>
    </row>
    <row r="694" spans="1:7" ht="15">
      <c r="A694" s="123" t="s">
        <v>902</v>
      </c>
      <c r="B694" s="123">
        <v>4</v>
      </c>
      <c r="C694" s="125">
        <v>0.007870030286449925</v>
      </c>
      <c r="D694" s="123" t="s">
        <v>755</v>
      </c>
      <c r="E694" s="123" t="b">
        <v>0</v>
      </c>
      <c r="F694" s="123" t="b">
        <v>0</v>
      </c>
      <c r="G694" s="123" t="b">
        <v>0</v>
      </c>
    </row>
    <row r="695" spans="1:7" ht="15">
      <c r="A695" s="123" t="s">
        <v>903</v>
      </c>
      <c r="B695" s="123">
        <v>4</v>
      </c>
      <c r="C695" s="125">
        <v>0.007870030286449925</v>
      </c>
      <c r="D695" s="123" t="s">
        <v>755</v>
      </c>
      <c r="E695" s="123" t="b">
        <v>0</v>
      </c>
      <c r="F695" s="123" t="b">
        <v>0</v>
      </c>
      <c r="G695" s="123" t="b">
        <v>0</v>
      </c>
    </row>
    <row r="696" spans="1:7" ht="15">
      <c r="A696" s="123" t="s">
        <v>800</v>
      </c>
      <c r="B696" s="123">
        <v>4</v>
      </c>
      <c r="C696" s="125">
        <v>0.005748448852044126</v>
      </c>
      <c r="D696" s="123" t="s">
        <v>755</v>
      </c>
      <c r="E696" s="123" t="b">
        <v>0</v>
      </c>
      <c r="F696" s="123" t="b">
        <v>0</v>
      </c>
      <c r="G696" s="123" t="b">
        <v>0</v>
      </c>
    </row>
    <row r="697" spans="1:7" ht="15">
      <c r="A697" s="123" t="s">
        <v>905</v>
      </c>
      <c r="B697" s="123">
        <v>3</v>
      </c>
      <c r="C697" s="125">
        <v>0.005902522714837443</v>
      </c>
      <c r="D697" s="123" t="s">
        <v>755</v>
      </c>
      <c r="E697" s="123" t="b">
        <v>0</v>
      </c>
      <c r="F697" s="123" t="b">
        <v>0</v>
      </c>
      <c r="G697" s="123" t="b">
        <v>0</v>
      </c>
    </row>
    <row r="698" spans="1:7" ht="15">
      <c r="A698" s="123" t="s">
        <v>877</v>
      </c>
      <c r="B698" s="123">
        <v>3</v>
      </c>
      <c r="C698" s="125">
        <v>0.008622673278066189</v>
      </c>
      <c r="D698" s="123" t="s">
        <v>755</v>
      </c>
      <c r="E698" s="123" t="b">
        <v>0</v>
      </c>
      <c r="F698" s="123" t="b">
        <v>0</v>
      </c>
      <c r="G698" s="123" t="b">
        <v>0</v>
      </c>
    </row>
    <row r="699" spans="1:7" ht="15">
      <c r="A699" s="123" t="s">
        <v>801</v>
      </c>
      <c r="B699" s="123">
        <v>3</v>
      </c>
      <c r="C699" s="125">
        <v>0.008622673278066189</v>
      </c>
      <c r="D699" s="123" t="s">
        <v>755</v>
      </c>
      <c r="E699" s="123" t="b">
        <v>0</v>
      </c>
      <c r="F699" s="123" t="b">
        <v>0</v>
      </c>
      <c r="G699" s="123" t="b">
        <v>0</v>
      </c>
    </row>
    <row r="700" spans="1:7" ht="15">
      <c r="A700" s="123" t="s">
        <v>845</v>
      </c>
      <c r="B700" s="123">
        <v>3</v>
      </c>
      <c r="C700" s="125">
        <v>0.005902522714837443</v>
      </c>
      <c r="D700" s="123" t="s">
        <v>755</v>
      </c>
      <c r="E700" s="123" t="b">
        <v>0</v>
      </c>
      <c r="F700" s="123" t="b">
        <v>0</v>
      </c>
      <c r="G700" s="123" t="b">
        <v>0</v>
      </c>
    </row>
    <row r="701" spans="1:7" ht="15">
      <c r="A701" s="123" t="s">
        <v>846</v>
      </c>
      <c r="B701" s="123">
        <v>3</v>
      </c>
      <c r="C701" s="125">
        <v>0.005902522714837443</v>
      </c>
      <c r="D701" s="123" t="s">
        <v>755</v>
      </c>
      <c r="E701" s="123" t="b">
        <v>0</v>
      </c>
      <c r="F701" s="123" t="b">
        <v>0</v>
      </c>
      <c r="G701" s="123" t="b">
        <v>0</v>
      </c>
    </row>
    <row r="702" spans="1:7" ht="15">
      <c r="A702" s="123" t="s">
        <v>786</v>
      </c>
      <c r="B702" s="123">
        <v>3</v>
      </c>
      <c r="C702" s="125">
        <v>0.0043113366390330945</v>
      </c>
      <c r="D702" s="123" t="s">
        <v>755</v>
      </c>
      <c r="E702" s="123" t="b">
        <v>0</v>
      </c>
      <c r="F702" s="123" t="b">
        <v>0</v>
      </c>
      <c r="G702" s="123" t="b">
        <v>0</v>
      </c>
    </row>
    <row r="703" spans="1:7" ht="15">
      <c r="A703" s="123" t="s">
        <v>787</v>
      </c>
      <c r="B703" s="123">
        <v>3</v>
      </c>
      <c r="C703" s="125">
        <v>0.0043113366390330945</v>
      </c>
      <c r="D703" s="123" t="s">
        <v>755</v>
      </c>
      <c r="E703" s="123" t="b">
        <v>0</v>
      </c>
      <c r="F703" s="123" t="b">
        <v>0</v>
      </c>
      <c r="G703" s="123" t="b">
        <v>0</v>
      </c>
    </row>
    <row r="704" spans="1:7" ht="15">
      <c r="A704" s="123" t="s">
        <v>963</v>
      </c>
      <c r="B704" s="123">
        <v>3</v>
      </c>
      <c r="C704" s="125">
        <v>0.0043113366390330945</v>
      </c>
      <c r="D704" s="123" t="s">
        <v>755</v>
      </c>
      <c r="E704" s="123" t="b">
        <v>0</v>
      </c>
      <c r="F704" s="123" t="b">
        <v>0</v>
      </c>
      <c r="G704" s="123" t="b">
        <v>0</v>
      </c>
    </row>
    <row r="705" spans="1:7" ht="15">
      <c r="A705" s="123" t="s">
        <v>964</v>
      </c>
      <c r="B705" s="123">
        <v>3</v>
      </c>
      <c r="C705" s="125">
        <v>0.0043113366390330945</v>
      </c>
      <c r="D705" s="123" t="s">
        <v>755</v>
      </c>
      <c r="E705" s="123" t="b">
        <v>0</v>
      </c>
      <c r="F705" s="123" t="b">
        <v>0</v>
      </c>
      <c r="G705" s="123" t="b">
        <v>0</v>
      </c>
    </row>
    <row r="706" spans="1:7" ht="15">
      <c r="A706" s="123" t="s">
        <v>965</v>
      </c>
      <c r="B706" s="123">
        <v>3</v>
      </c>
      <c r="C706" s="125">
        <v>0.0043113366390330945</v>
      </c>
      <c r="D706" s="123" t="s">
        <v>755</v>
      </c>
      <c r="E706" s="123" t="b">
        <v>0</v>
      </c>
      <c r="F706" s="123" t="b">
        <v>0</v>
      </c>
      <c r="G706" s="123" t="b">
        <v>0</v>
      </c>
    </row>
    <row r="707" spans="1:7" ht="15">
      <c r="A707" s="123" t="s">
        <v>904</v>
      </c>
      <c r="B707" s="123">
        <v>3</v>
      </c>
      <c r="C707" s="125">
        <v>0.0043113366390330945</v>
      </c>
      <c r="D707" s="123" t="s">
        <v>755</v>
      </c>
      <c r="E707" s="123" t="b">
        <v>0</v>
      </c>
      <c r="F707" s="123" t="b">
        <v>0</v>
      </c>
      <c r="G707" s="123" t="b">
        <v>0</v>
      </c>
    </row>
    <row r="708" spans="1:7" ht="15">
      <c r="A708" s="123" t="s">
        <v>966</v>
      </c>
      <c r="B708" s="123">
        <v>3</v>
      </c>
      <c r="C708" s="125">
        <v>0.005902522714837443</v>
      </c>
      <c r="D708" s="123" t="s">
        <v>755</v>
      </c>
      <c r="E708" s="123" t="b">
        <v>0</v>
      </c>
      <c r="F708" s="123" t="b">
        <v>0</v>
      </c>
      <c r="G708" s="123" t="b">
        <v>0</v>
      </c>
    </row>
    <row r="709" spans="1:7" ht="15">
      <c r="A709" s="123" t="s">
        <v>967</v>
      </c>
      <c r="B709" s="123">
        <v>3</v>
      </c>
      <c r="C709" s="125">
        <v>0.005902522714837443</v>
      </c>
      <c r="D709" s="123" t="s">
        <v>755</v>
      </c>
      <c r="E709" s="123" t="b">
        <v>0</v>
      </c>
      <c r="F709" s="123" t="b">
        <v>0</v>
      </c>
      <c r="G709" s="123" t="b">
        <v>0</v>
      </c>
    </row>
    <row r="710" spans="1:7" ht="15">
      <c r="A710" s="123" t="s">
        <v>862</v>
      </c>
      <c r="B710" s="123">
        <v>2</v>
      </c>
      <c r="C710" s="125">
        <v>0.003935015143224962</v>
      </c>
      <c r="D710" s="123" t="s">
        <v>755</v>
      </c>
      <c r="E710" s="123" t="b">
        <v>0</v>
      </c>
      <c r="F710" s="123" t="b">
        <v>0</v>
      </c>
      <c r="G710" s="123" t="b">
        <v>0</v>
      </c>
    </row>
    <row r="711" spans="1:7" ht="15">
      <c r="A711" s="123" t="s">
        <v>808</v>
      </c>
      <c r="B711" s="123">
        <v>2</v>
      </c>
      <c r="C711" s="125">
        <v>0.005748448852044126</v>
      </c>
      <c r="D711" s="123" t="s">
        <v>755</v>
      </c>
      <c r="E711" s="123" t="b">
        <v>0</v>
      </c>
      <c r="F711" s="123" t="b">
        <v>0</v>
      </c>
      <c r="G711" s="123" t="b">
        <v>0</v>
      </c>
    </row>
    <row r="712" spans="1:7" ht="15">
      <c r="A712" s="123" t="s">
        <v>1093</v>
      </c>
      <c r="B712" s="123">
        <v>2</v>
      </c>
      <c r="C712" s="125">
        <v>0.003935015143224962</v>
      </c>
      <c r="D712" s="123" t="s">
        <v>755</v>
      </c>
      <c r="E712" s="123" t="b">
        <v>0</v>
      </c>
      <c r="F712" s="123" t="b">
        <v>0</v>
      </c>
      <c r="G712" s="123" t="b">
        <v>0</v>
      </c>
    </row>
    <row r="713" spans="1:7" ht="15">
      <c r="A713" s="123" t="s">
        <v>897</v>
      </c>
      <c r="B713" s="123">
        <v>2</v>
      </c>
      <c r="C713" s="125">
        <v>0.005748448852044126</v>
      </c>
      <c r="D713" s="123" t="s">
        <v>755</v>
      </c>
      <c r="E713" s="123" t="b">
        <v>0</v>
      </c>
      <c r="F713" s="123" t="b">
        <v>0</v>
      </c>
      <c r="G713" s="123" t="b">
        <v>0</v>
      </c>
    </row>
    <row r="714" spans="1:7" ht="15">
      <c r="A714" s="123" t="s">
        <v>970</v>
      </c>
      <c r="B714" s="123">
        <v>2</v>
      </c>
      <c r="C714" s="125">
        <v>0.005748448852044126</v>
      </c>
      <c r="D714" s="123" t="s">
        <v>755</v>
      </c>
      <c r="E714" s="123" t="b">
        <v>0</v>
      </c>
      <c r="F714" s="123" t="b">
        <v>0</v>
      </c>
      <c r="G714" s="123" t="b">
        <v>0</v>
      </c>
    </row>
    <row r="715" spans="1:7" ht="15">
      <c r="A715" s="123" t="s">
        <v>799</v>
      </c>
      <c r="B715" s="123">
        <v>2</v>
      </c>
      <c r="C715" s="125">
        <v>0.003935015143224962</v>
      </c>
      <c r="D715" s="123" t="s">
        <v>755</v>
      </c>
      <c r="E715" s="123" t="b">
        <v>0</v>
      </c>
      <c r="F715" s="123" t="b">
        <v>0</v>
      </c>
      <c r="G715" s="123" t="b">
        <v>0</v>
      </c>
    </row>
    <row r="716" spans="1:7" ht="15">
      <c r="A716" s="123" t="s">
        <v>784</v>
      </c>
      <c r="B716" s="123">
        <v>2</v>
      </c>
      <c r="C716" s="125">
        <v>0.003935015143224962</v>
      </c>
      <c r="D716" s="123" t="s">
        <v>755</v>
      </c>
      <c r="E716" s="123" t="b">
        <v>0</v>
      </c>
      <c r="F716" s="123" t="b">
        <v>0</v>
      </c>
      <c r="G716" s="123" t="b">
        <v>0</v>
      </c>
    </row>
    <row r="717" spans="1:7" ht="15">
      <c r="A717" s="123" t="s">
        <v>805</v>
      </c>
      <c r="B717" s="123">
        <v>2</v>
      </c>
      <c r="C717" s="125">
        <v>0.003935015143224962</v>
      </c>
      <c r="D717" s="123" t="s">
        <v>755</v>
      </c>
      <c r="E717" s="123" t="b">
        <v>0</v>
      </c>
      <c r="F717" s="123" t="b">
        <v>0</v>
      </c>
      <c r="G717" s="123" t="b">
        <v>0</v>
      </c>
    </row>
    <row r="718" spans="1:7" ht="15">
      <c r="A718" s="123" t="s">
        <v>796</v>
      </c>
      <c r="B718" s="123">
        <v>2</v>
      </c>
      <c r="C718" s="125">
        <v>0.003935015143224962</v>
      </c>
      <c r="D718" s="123" t="s">
        <v>755</v>
      </c>
      <c r="E718" s="123" t="b">
        <v>0</v>
      </c>
      <c r="F718" s="123" t="b">
        <v>0</v>
      </c>
      <c r="G718" s="123" t="b">
        <v>0</v>
      </c>
    </row>
    <row r="719" spans="1:7" ht="15">
      <c r="A719" s="123" t="s">
        <v>1066</v>
      </c>
      <c r="B719" s="123">
        <v>2</v>
      </c>
      <c r="C719" s="125">
        <v>0.003935015143224962</v>
      </c>
      <c r="D719" s="123" t="s">
        <v>755</v>
      </c>
      <c r="E719" s="123" t="b">
        <v>0</v>
      </c>
      <c r="F719" s="123" t="b">
        <v>0</v>
      </c>
      <c r="G719" s="123" t="b">
        <v>0</v>
      </c>
    </row>
    <row r="720" spans="1:7" ht="15">
      <c r="A720" s="123" t="s">
        <v>943</v>
      </c>
      <c r="B720" s="123">
        <v>2</v>
      </c>
      <c r="C720" s="125">
        <v>0.003935015143224962</v>
      </c>
      <c r="D720" s="123" t="s">
        <v>755</v>
      </c>
      <c r="E720" s="123" t="b">
        <v>0</v>
      </c>
      <c r="F720" s="123" t="b">
        <v>0</v>
      </c>
      <c r="G720" s="123" t="b">
        <v>0</v>
      </c>
    </row>
    <row r="721" spans="1:7" ht="15">
      <c r="A721" s="123" t="s">
        <v>1067</v>
      </c>
      <c r="B721" s="123">
        <v>2</v>
      </c>
      <c r="C721" s="125">
        <v>0.003935015143224962</v>
      </c>
      <c r="D721" s="123" t="s">
        <v>755</v>
      </c>
      <c r="E721" s="123" t="b">
        <v>0</v>
      </c>
      <c r="F721" s="123" t="b">
        <v>0</v>
      </c>
      <c r="G721" s="123" t="b">
        <v>0</v>
      </c>
    </row>
    <row r="722" spans="1:7" ht="15">
      <c r="A722" s="123" t="s">
        <v>1068</v>
      </c>
      <c r="B722" s="123">
        <v>2</v>
      </c>
      <c r="C722" s="125">
        <v>0.003935015143224962</v>
      </c>
      <c r="D722" s="123" t="s">
        <v>755</v>
      </c>
      <c r="E722" s="123" t="b">
        <v>0</v>
      </c>
      <c r="F722" s="123" t="b">
        <v>0</v>
      </c>
      <c r="G722" s="123" t="b">
        <v>0</v>
      </c>
    </row>
    <row r="723" spans="1:7" ht="15">
      <c r="A723" s="123" t="s">
        <v>1069</v>
      </c>
      <c r="B723" s="123">
        <v>2</v>
      </c>
      <c r="C723" s="125">
        <v>0.003935015143224962</v>
      </c>
      <c r="D723" s="123" t="s">
        <v>755</v>
      </c>
      <c r="E723" s="123" t="b">
        <v>0</v>
      </c>
      <c r="F723" s="123" t="b">
        <v>0</v>
      </c>
      <c r="G723" s="123" t="b">
        <v>0</v>
      </c>
    </row>
    <row r="724" spans="1:7" ht="15">
      <c r="A724" s="123" t="s">
        <v>1070</v>
      </c>
      <c r="B724" s="123">
        <v>2</v>
      </c>
      <c r="C724" s="125">
        <v>0.003935015143224962</v>
      </c>
      <c r="D724" s="123" t="s">
        <v>755</v>
      </c>
      <c r="E724" s="123" t="b">
        <v>0</v>
      </c>
      <c r="F724" s="123" t="b">
        <v>0</v>
      </c>
      <c r="G724" s="123" t="b">
        <v>0</v>
      </c>
    </row>
    <row r="725" spans="1:7" ht="15">
      <c r="A725" s="123" t="s">
        <v>1071</v>
      </c>
      <c r="B725" s="123">
        <v>2</v>
      </c>
      <c r="C725" s="125">
        <v>0.003935015143224962</v>
      </c>
      <c r="D725" s="123" t="s">
        <v>755</v>
      </c>
      <c r="E725" s="123" t="b">
        <v>0</v>
      </c>
      <c r="F725" s="123" t="b">
        <v>0</v>
      </c>
      <c r="G725" s="123" t="b">
        <v>0</v>
      </c>
    </row>
    <row r="726" spans="1:7" ht="15">
      <c r="A726" s="123" t="s">
        <v>1072</v>
      </c>
      <c r="B726" s="123">
        <v>2</v>
      </c>
      <c r="C726" s="125">
        <v>0.003935015143224962</v>
      </c>
      <c r="D726" s="123" t="s">
        <v>755</v>
      </c>
      <c r="E726" s="123" t="b">
        <v>0</v>
      </c>
      <c r="F726" s="123" t="b">
        <v>0</v>
      </c>
      <c r="G726" s="123" t="b">
        <v>0</v>
      </c>
    </row>
    <row r="727" spans="1:7" ht="15">
      <c r="A727" s="123" t="s">
        <v>1073</v>
      </c>
      <c r="B727" s="123">
        <v>2</v>
      </c>
      <c r="C727" s="125">
        <v>0.003935015143224962</v>
      </c>
      <c r="D727" s="123" t="s">
        <v>755</v>
      </c>
      <c r="E727" s="123" t="b">
        <v>0</v>
      </c>
      <c r="F727" s="123" t="b">
        <v>0</v>
      </c>
      <c r="G727" s="123" t="b">
        <v>0</v>
      </c>
    </row>
    <row r="728" spans="1:7" ht="15">
      <c r="A728" s="123" t="s">
        <v>1074</v>
      </c>
      <c r="B728" s="123">
        <v>2</v>
      </c>
      <c r="C728" s="125">
        <v>0.003935015143224962</v>
      </c>
      <c r="D728" s="123" t="s">
        <v>755</v>
      </c>
      <c r="E728" s="123" t="b">
        <v>0</v>
      </c>
      <c r="F728" s="123" t="b">
        <v>0</v>
      </c>
      <c r="G728" s="123" t="b">
        <v>0</v>
      </c>
    </row>
    <row r="729" spans="1:7" ht="15">
      <c r="A729" s="123" t="s">
        <v>954</v>
      </c>
      <c r="B729" s="123">
        <v>2</v>
      </c>
      <c r="C729" s="125">
        <v>0.003935015143224962</v>
      </c>
      <c r="D729" s="123" t="s">
        <v>755</v>
      </c>
      <c r="E729" s="123" t="b">
        <v>0</v>
      </c>
      <c r="F729" s="123" t="b">
        <v>0</v>
      </c>
      <c r="G729" s="123" t="b">
        <v>0</v>
      </c>
    </row>
    <row r="730" spans="1:7" ht="15">
      <c r="A730" s="123" t="s">
        <v>956</v>
      </c>
      <c r="B730" s="123">
        <v>2</v>
      </c>
      <c r="C730" s="125">
        <v>0.003935015143224962</v>
      </c>
      <c r="D730" s="123" t="s">
        <v>755</v>
      </c>
      <c r="E730" s="123" t="b">
        <v>0</v>
      </c>
      <c r="F730" s="123" t="b">
        <v>0</v>
      </c>
      <c r="G730" s="123" t="b">
        <v>0</v>
      </c>
    </row>
    <row r="731" spans="1:7" ht="15">
      <c r="A731" s="123" t="s">
        <v>1075</v>
      </c>
      <c r="B731" s="123">
        <v>2</v>
      </c>
      <c r="C731" s="125">
        <v>0.003935015143224962</v>
      </c>
      <c r="D731" s="123" t="s">
        <v>755</v>
      </c>
      <c r="E731" s="123" t="b">
        <v>0</v>
      </c>
      <c r="F731" s="123" t="b">
        <v>0</v>
      </c>
      <c r="G731" s="123" t="b">
        <v>0</v>
      </c>
    </row>
    <row r="732" spans="1:7" ht="15">
      <c r="A732" s="123" t="s">
        <v>880</v>
      </c>
      <c r="B732" s="123">
        <v>2</v>
      </c>
      <c r="C732" s="125">
        <v>0.003935015143224962</v>
      </c>
      <c r="D732" s="123" t="s">
        <v>755</v>
      </c>
      <c r="E732" s="123" t="b">
        <v>0</v>
      </c>
      <c r="F732" s="123" t="b">
        <v>0</v>
      </c>
      <c r="G732" s="123" t="b">
        <v>0</v>
      </c>
    </row>
    <row r="733" spans="1:7" ht="15">
      <c r="A733" s="123" t="s">
        <v>958</v>
      </c>
      <c r="B733" s="123">
        <v>2</v>
      </c>
      <c r="C733" s="125">
        <v>0.003935015143224962</v>
      </c>
      <c r="D733" s="123" t="s">
        <v>755</v>
      </c>
      <c r="E733" s="123" t="b">
        <v>0</v>
      </c>
      <c r="F733" s="123" t="b">
        <v>0</v>
      </c>
      <c r="G733" s="123" t="b">
        <v>0</v>
      </c>
    </row>
    <row r="734" spans="1:7" ht="15">
      <c r="A734" s="123" t="s">
        <v>1094</v>
      </c>
      <c r="B734" s="123">
        <v>2</v>
      </c>
      <c r="C734" s="125">
        <v>0.003935015143224962</v>
      </c>
      <c r="D734" s="123" t="s">
        <v>755</v>
      </c>
      <c r="E734" s="123" t="b">
        <v>0</v>
      </c>
      <c r="F734" s="123" t="b">
        <v>0</v>
      </c>
      <c r="G734" s="123" t="b">
        <v>0</v>
      </c>
    </row>
    <row r="735" spans="1:7" ht="15">
      <c r="A735" s="123" t="s">
        <v>961</v>
      </c>
      <c r="B735" s="123">
        <v>2</v>
      </c>
      <c r="C735" s="125">
        <v>0.003935015143224962</v>
      </c>
      <c r="D735" s="123" t="s">
        <v>755</v>
      </c>
      <c r="E735" s="123" t="b">
        <v>0</v>
      </c>
      <c r="F735" s="123" t="b">
        <v>0</v>
      </c>
      <c r="G735" s="123" t="b">
        <v>0</v>
      </c>
    </row>
    <row r="736" spans="1:7" ht="15">
      <c r="A736" s="123" t="s">
        <v>1078</v>
      </c>
      <c r="B736" s="123">
        <v>2</v>
      </c>
      <c r="C736" s="125">
        <v>0.003935015143224962</v>
      </c>
      <c r="D736" s="123" t="s">
        <v>755</v>
      </c>
      <c r="E736" s="123" t="b">
        <v>0</v>
      </c>
      <c r="F736" s="123" t="b">
        <v>0</v>
      </c>
      <c r="G736" s="123" t="b">
        <v>0</v>
      </c>
    </row>
    <row r="737" spans="1:7" ht="15">
      <c r="A737" s="123" t="s">
        <v>1079</v>
      </c>
      <c r="B737" s="123">
        <v>2</v>
      </c>
      <c r="C737" s="125">
        <v>0.003935015143224962</v>
      </c>
      <c r="D737" s="123" t="s">
        <v>755</v>
      </c>
      <c r="E737" s="123" t="b">
        <v>0</v>
      </c>
      <c r="F737" s="123" t="b">
        <v>0</v>
      </c>
      <c r="G737" s="123" t="b">
        <v>0</v>
      </c>
    </row>
    <row r="738" spans="1:7" ht="15">
      <c r="A738" s="123" t="s">
        <v>1080</v>
      </c>
      <c r="B738" s="123">
        <v>2</v>
      </c>
      <c r="C738" s="125">
        <v>0.003935015143224962</v>
      </c>
      <c r="D738" s="123" t="s">
        <v>755</v>
      </c>
      <c r="E738" s="123" t="b">
        <v>0</v>
      </c>
      <c r="F738" s="123" t="b">
        <v>0</v>
      </c>
      <c r="G738" s="123" t="b">
        <v>0</v>
      </c>
    </row>
    <row r="739" spans="1:7" ht="15">
      <c r="A739" s="123" t="s">
        <v>1081</v>
      </c>
      <c r="B739" s="123">
        <v>2</v>
      </c>
      <c r="C739" s="125">
        <v>0.003935015143224962</v>
      </c>
      <c r="D739" s="123" t="s">
        <v>755</v>
      </c>
      <c r="E739" s="123" t="b">
        <v>0</v>
      </c>
      <c r="F739" s="123" t="b">
        <v>0</v>
      </c>
      <c r="G739" s="123" t="b">
        <v>0</v>
      </c>
    </row>
    <row r="740" spans="1:7" ht="15">
      <c r="A740" s="123" t="s">
        <v>1089</v>
      </c>
      <c r="B740" s="123">
        <v>2</v>
      </c>
      <c r="C740" s="125">
        <v>0.005748448852044126</v>
      </c>
      <c r="D740" s="123" t="s">
        <v>755</v>
      </c>
      <c r="E740" s="123" t="b">
        <v>0</v>
      </c>
      <c r="F740" s="123" t="b">
        <v>0</v>
      </c>
      <c r="G740" s="123" t="b">
        <v>0</v>
      </c>
    </row>
    <row r="741" spans="1:7" ht="15">
      <c r="A741" s="123" t="s">
        <v>1090</v>
      </c>
      <c r="B741" s="123">
        <v>2</v>
      </c>
      <c r="C741" s="125">
        <v>0.005748448852044126</v>
      </c>
      <c r="D741" s="123" t="s">
        <v>755</v>
      </c>
      <c r="E741" s="123" t="b">
        <v>0</v>
      </c>
      <c r="F741" s="123" t="b">
        <v>0</v>
      </c>
      <c r="G741" s="123" t="b">
        <v>0</v>
      </c>
    </row>
    <row r="742" spans="1:7" ht="15">
      <c r="A742" s="123" t="s">
        <v>1091</v>
      </c>
      <c r="B742" s="123">
        <v>2</v>
      </c>
      <c r="C742" s="125">
        <v>0.005748448852044126</v>
      </c>
      <c r="D742" s="123" t="s">
        <v>755</v>
      </c>
      <c r="E742" s="123" t="b">
        <v>0</v>
      </c>
      <c r="F742" s="123" t="b">
        <v>0</v>
      </c>
      <c r="G742" s="123" t="b">
        <v>0</v>
      </c>
    </row>
    <row r="743" spans="1:7" ht="15">
      <c r="A743" s="123" t="s">
        <v>1082</v>
      </c>
      <c r="B743" s="123">
        <v>2</v>
      </c>
      <c r="C743" s="125">
        <v>0.005748448852044126</v>
      </c>
      <c r="D743" s="123" t="s">
        <v>755</v>
      </c>
      <c r="E743" s="123" t="b">
        <v>0</v>
      </c>
      <c r="F743" s="123" t="b">
        <v>0</v>
      </c>
      <c r="G743" s="123" t="b">
        <v>0</v>
      </c>
    </row>
    <row r="744" spans="1:7" ht="15">
      <c r="A744" s="123" t="s">
        <v>837</v>
      </c>
      <c r="B744" s="123">
        <v>2</v>
      </c>
      <c r="C744" s="125">
        <v>0.005748448852044126</v>
      </c>
      <c r="D744" s="123" t="s">
        <v>755</v>
      </c>
      <c r="E744" s="123" t="b">
        <v>0</v>
      </c>
      <c r="F744" s="123" t="b">
        <v>0</v>
      </c>
      <c r="G744" s="123" t="b">
        <v>0</v>
      </c>
    </row>
    <row r="745" spans="1:7" ht="15">
      <c r="A745" s="123" t="s">
        <v>1076</v>
      </c>
      <c r="B745" s="123">
        <v>2</v>
      </c>
      <c r="C745" s="125">
        <v>0.005748448852044126</v>
      </c>
      <c r="D745" s="123" t="s">
        <v>755</v>
      </c>
      <c r="E745" s="123" t="b">
        <v>0</v>
      </c>
      <c r="F745" s="123" t="b">
        <v>0</v>
      </c>
      <c r="G745" s="123" t="b">
        <v>0</v>
      </c>
    </row>
    <row r="746" spans="1:7" ht="15">
      <c r="A746" s="123" t="s">
        <v>968</v>
      </c>
      <c r="B746" s="123">
        <v>2</v>
      </c>
      <c r="C746" s="125">
        <v>0.005748448852044126</v>
      </c>
      <c r="D746" s="123" t="s">
        <v>755</v>
      </c>
      <c r="E746" s="123" t="b">
        <v>0</v>
      </c>
      <c r="F746" s="123" t="b">
        <v>0</v>
      </c>
      <c r="G746" s="123" t="b">
        <v>0</v>
      </c>
    </row>
    <row r="747" spans="1:7" ht="15">
      <c r="A747" s="123" t="s">
        <v>840</v>
      </c>
      <c r="B747" s="123">
        <v>2</v>
      </c>
      <c r="C747" s="125">
        <v>0.005748448852044126</v>
      </c>
      <c r="D747" s="123" t="s">
        <v>755</v>
      </c>
      <c r="E747" s="123" t="b">
        <v>0</v>
      </c>
      <c r="F747" s="123" t="b">
        <v>0</v>
      </c>
      <c r="G747" s="123" t="b">
        <v>0</v>
      </c>
    </row>
    <row r="748" spans="1:7" ht="15">
      <c r="A748" s="123" t="s">
        <v>779</v>
      </c>
      <c r="B748" s="123">
        <v>15</v>
      </c>
      <c r="C748" s="125">
        <v>0.008441806527587834</v>
      </c>
      <c r="D748" s="123" t="s">
        <v>756</v>
      </c>
      <c r="E748" s="123" t="b">
        <v>0</v>
      </c>
      <c r="F748" s="123" t="b">
        <v>0</v>
      </c>
      <c r="G748" s="123" t="b">
        <v>0</v>
      </c>
    </row>
    <row r="749" spans="1:7" ht="15">
      <c r="A749" s="123" t="s">
        <v>780</v>
      </c>
      <c r="B749" s="123">
        <v>12</v>
      </c>
      <c r="C749" s="125">
        <v>0.0162718916575125</v>
      </c>
      <c r="D749" s="123" t="s">
        <v>756</v>
      </c>
      <c r="E749" s="123" t="b">
        <v>0</v>
      </c>
      <c r="F749" s="123" t="b">
        <v>0</v>
      </c>
      <c r="G749" s="123" t="b">
        <v>0</v>
      </c>
    </row>
    <row r="750" spans="1:7" ht="15">
      <c r="A750" s="123" t="s">
        <v>781</v>
      </c>
      <c r="B750" s="123">
        <v>11</v>
      </c>
      <c r="C750" s="125">
        <v>0.006190658120231078</v>
      </c>
      <c r="D750" s="123" t="s">
        <v>756</v>
      </c>
      <c r="E750" s="123" t="b">
        <v>0</v>
      </c>
      <c r="F750" s="123" t="b">
        <v>0</v>
      </c>
      <c r="G750" s="123" t="b">
        <v>0</v>
      </c>
    </row>
    <row r="751" spans="1:7" ht="15">
      <c r="A751" s="123" t="s">
        <v>786</v>
      </c>
      <c r="B751" s="123">
        <v>9</v>
      </c>
      <c r="C751" s="125">
        <v>0.005065083916552701</v>
      </c>
      <c r="D751" s="123" t="s">
        <v>756</v>
      </c>
      <c r="E751" s="123" t="b">
        <v>0</v>
      </c>
      <c r="F751" s="123" t="b">
        <v>0</v>
      </c>
      <c r="G751" s="123" t="b">
        <v>0</v>
      </c>
    </row>
    <row r="752" spans="1:7" ht="15">
      <c r="A752" s="123" t="s">
        <v>819</v>
      </c>
      <c r="B752" s="123">
        <v>8</v>
      </c>
      <c r="C752" s="125">
        <v>0.03254378331502499</v>
      </c>
      <c r="D752" s="123" t="s">
        <v>756</v>
      </c>
      <c r="E752" s="123" t="b">
        <v>0</v>
      </c>
      <c r="F752" s="123" t="b">
        <v>0</v>
      </c>
      <c r="G752" s="123" t="b">
        <v>0</v>
      </c>
    </row>
    <row r="753" spans="1:7" ht="15">
      <c r="A753" s="123" t="s">
        <v>807</v>
      </c>
      <c r="B753" s="123">
        <v>5</v>
      </c>
      <c r="C753" s="125">
        <v>0.006779954857296874</v>
      </c>
      <c r="D753" s="123" t="s">
        <v>756</v>
      </c>
      <c r="E753" s="123" t="b">
        <v>0</v>
      </c>
      <c r="F753" s="123" t="b">
        <v>0</v>
      </c>
      <c r="G753" s="123" t="b">
        <v>0</v>
      </c>
    </row>
    <row r="754" spans="1:7" ht="15">
      <c r="A754" s="123" t="s">
        <v>784</v>
      </c>
      <c r="B754" s="123">
        <v>4</v>
      </c>
      <c r="C754" s="125">
        <v>0.007675112293194254</v>
      </c>
      <c r="D754" s="123" t="s">
        <v>756</v>
      </c>
      <c r="E754" s="123" t="b">
        <v>0</v>
      </c>
      <c r="F754" s="123" t="b">
        <v>0</v>
      </c>
      <c r="G754" s="123" t="b">
        <v>0</v>
      </c>
    </row>
    <row r="755" spans="1:7" ht="15">
      <c r="A755" s="123" t="s">
        <v>801</v>
      </c>
      <c r="B755" s="123">
        <v>4</v>
      </c>
      <c r="C755" s="125">
        <v>0.007675112293194254</v>
      </c>
      <c r="D755" s="123" t="s">
        <v>756</v>
      </c>
      <c r="E755" s="123" t="b">
        <v>0</v>
      </c>
      <c r="F755" s="123" t="b">
        <v>0</v>
      </c>
      <c r="G755" s="123" t="b">
        <v>0</v>
      </c>
    </row>
    <row r="756" spans="1:7" ht="15">
      <c r="A756" s="123" t="s">
        <v>886</v>
      </c>
      <c r="B756" s="123">
        <v>3</v>
      </c>
      <c r="C756" s="125">
        <v>0.00813594582875625</v>
      </c>
      <c r="D756" s="123" t="s">
        <v>756</v>
      </c>
      <c r="E756" s="123" t="b">
        <v>0</v>
      </c>
      <c r="F756" s="123" t="b">
        <v>0</v>
      </c>
      <c r="G756" s="123" t="b">
        <v>0</v>
      </c>
    </row>
    <row r="757" spans="1:7" ht="15">
      <c r="A757" s="123" t="s">
        <v>820</v>
      </c>
      <c r="B757" s="123">
        <v>3</v>
      </c>
      <c r="C757" s="125">
        <v>0.005756334219895691</v>
      </c>
      <c r="D757" s="123" t="s">
        <v>756</v>
      </c>
      <c r="E757" s="123" t="b">
        <v>0</v>
      </c>
      <c r="F757" s="123" t="b">
        <v>0</v>
      </c>
      <c r="G757" s="123" t="b">
        <v>0</v>
      </c>
    </row>
    <row r="758" spans="1:7" ht="15">
      <c r="A758" s="123" t="s">
        <v>791</v>
      </c>
      <c r="B758" s="123">
        <v>3</v>
      </c>
      <c r="C758" s="125">
        <v>0.012203918743134373</v>
      </c>
      <c r="D758" s="123" t="s">
        <v>756</v>
      </c>
      <c r="E758" s="123" t="b">
        <v>0</v>
      </c>
      <c r="F758" s="123" t="b">
        <v>0</v>
      </c>
      <c r="G758" s="123" t="b">
        <v>0</v>
      </c>
    </row>
    <row r="759" spans="1:7" ht="15">
      <c r="A759" s="123" t="s">
        <v>808</v>
      </c>
      <c r="B759" s="123">
        <v>3</v>
      </c>
      <c r="C759" s="125">
        <v>0.005756334219895691</v>
      </c>
      <c r="D759" s="123" t="s">
        <v>756</v>
      </c>
      <c r="E759" s="123" t="b">
        <v>0</v>
      </c>
      <c r="F759" s="123" t="b">
        <v>0</v>
      </c>
      <c r="G759" s="123" t="b">
        <v>0</v>
      </c>
    </row>
    <row r="760" spans="1:7" ht="15">
      <c r="A760" s="123" t="s">
        <v>839</v>
      </c>
      <c r="B760" s="123">
        <v>3</v>
      </c>
      <c r="C760" s="125">
        <v>0.012203918743134373</v>
      </c>
      <c r="D760" s="123" t="s">
        <v>756</v>
      </c>
      <c r="E760" s="123" t="b">
        <v>0</v>
      </c>
      <c r="F760" s="123" t="b">
        <v>0</v>
      </c>
      <c r="G760" s="123" t="b">
        <v>0</v>
      </c>
    </row>
    <row r="761" spans="1:7" ht="15">
      <c r="A761" s="123" t="s">
        <v>1144</v>
      </c>
      <c r="B761" s="123">
        <v>2</v>
      </c>
      <c r="C761" s="125">
        <v>0.008135945828756248</v>
      </c>
      <c r="D761" s="123" t="s">
        <v>756</v>
      </c>
      <c r="E761" s="123" t="b">
        <v>0</v>
      </c>
      <c r="F761" s="123" t="b">
        <v>0</v>
      </c>
      <c r="G761" s="123" t="b">
        <v>0</v>
      </c>
    </row>
    <row r="762" spans="1:7" ht="15">
      <c r="A762" s="123" t="s">
        <v>867</v>
      </c>
      <c r="B762" s="123">
        <v>2</v>
      </c>
      <c r="C762" s="125">
        <v>0.008135945828756248</v>
      </c>
      <c r="D762" s="123" t="s">
        <v>756</v>
      </c>
      <c r="E762" s="123" t="b">
        <v>0</v>
      </c>
      <c r="F762" s="123" t="b">
        <v>0</v>
      </c>
      <c r="G762" s="123" t="b">
        <v>0</v>
      </c>
    </row>
    <row r="763" spans="1:7" ht="15">
      <c r="A763" s="123" t="s">
        <v>933</v>
      </c>
      <c r="B763" s="123">
        <v>2</v>
      </c>
      <c r="C763" s="125">
        <v>0.008135945828756248</v>
      </c>
      <c r="D763" s="123" t="s">
        <v>756</v>
      </c>
      <c r="E763" s="123" t="b">
        <v>0</v>
      </c>
      <c r="F763" s="123" t="b">
        <v>0</v>
      </c>
      <c r="G763" s="123" t="b">
        <v>0</v>
      </c>
    </row>
    <row r="764" spans="1:7" ht="15">
      <c r="A764" s="123" t="s">
        <v>915</v>
      </c>
      <c r="B764" s="123">
        <v>2</v>
      </c>
      <c r="C764" s="125">
        <v>0.005423963885837499</v>
      </c>
      <c r="D764" s="123" t="s">
        <v>756</v>
      </c>
      <c r="E764" s="123" t="b">
        <v>0</v>
      </c>
      <c r="F764" s="123" t="b">
        <v>0</v>
      </c>
      <c r="G764" s="123" t="b">
        <v>0</v>
      </c>
    </row>
    <row r="765" spans="1:7" ht="15">
      <c r="A765" s="123" t="s">
        <v>852</v>
      </c>
      <c r="B765" s="123">
        <v>2</v>
      </c>
      <c r="C765" s="125">
        <v>0.005423963885837499</v>
      </c>
      <c r="D765" s="123" t="s">
        <v>756</v>
      </c>
      <c r="E765" s="123" t="b">
        <v>0</v>
      </c>
      <c r="F765" s="123" t="b">
        <v>0</v>
      </c>
      <c r="G765" s="123" t="b">
        <v>0</v>
      </c>
    </row>
    <row r="766" spans="1:7" ht="15">
      <c r="A766" s="123" t="s">
        <v>981</v>
      </c>
      <c r="B766" s="123">
        <v>2</v>
      </c>
      <c r="C766" s="125">
        <v>0.008135945828756248</v>
      </c>
      <c r="D766" s="123" t="s">
        <v>756</v>
      </c>
      <c r="E766" s="123" t="b">
        <v>0</v>
      </c>
      <c r="F766" s="123" t="b">
        <v>0</v>
      </c>
      <c r="G766" s="123" t="b">
        <v>0</v>
      </c>
    </row>
    <row r="767" spans="1:7" ht="15">
      <c r="A767" s="123" t="s">
        <v>1146</v>
      </c>
      <c r="B767" s="123">
        <v>2</v>
      </c>
      <c r="C767" s="125">
        <v>0.005423963885837499</v>
      </c>
      <c r="D767" s="123" t="s">
        <v>756</v>
      </c>
      <c r="E767" s="123" t="b">
        <v>0</v>
      </c>
      <c r="F767" s="123" t="b">
        <v>1</v>
      </c>
      <c r="G767" s="123" t="b">
        <v>0</v>
      </c>
    </row>
    <row r="768" spans="1:7" ht="15">
      <c r="A768" s="123" t="s">
        <v>790</v>
      </c>
      <c r="B768" s="123">
        <v>2</v>
      </c>
      <c r="C768" s="125">
        <v>0.005423963885837499</v>
      </c>
      <c r="D768" s="123" t="s">
        <v>756</v>
      </c>
      <c r="E768" s="123" t="b">
        <v>0</v>
      </c>
      <c r="F768" s="123" t="b">
        <v>0</v>
      </c>
      <c r="G768" s="123" t="b">
        <v>0</v>
      </c>
    </row>
    <row r="769" spans="1:7" ht="15">
      <c r="A769" s="123" t="s">
        <v>842</v>
      </c>
      <c r="B769" s="123">
        <v>2</v>
      </c>
      <c r="C769" s="125">
        <v>0.005423963885837499</v>
      </c>
      <c r="D769" s="123" t="s">
        <v>756</v>
      </c>
      <c r="E769" s="123" t="b">
        <v>0</v>
      </c>
      <c r="F769" s="123" t="b">
        <v>0</v>
      </c>
      <c r="G769" s="123" t="b">
        <v>0</v>
      </c>
    </row>
    <row r="770" spans="1:7" ht="15">
      <c r="A770" s="123" t="s">
        <v>799</v>
      </c>
      <c r="B770" s="123">
        <v>2</v>
      </c>
      <c r="C770" s="125">
        <v>0.005423963885837499</v>
      </c>
      <c r="D770" s="123" t="s">
        <v>756</v>
      </c>
      <c r="E770" s="123" t="b">
        <v>0</v>
      </c>
      <c r="F770" s="123" t="b">
        <v>0</v>
      </c>
      <c r="G770" s="123" t="b">
        <v>0</v>
      </c>
    </row>
    <row r="771" spans="1:7" ht="15">
      <c r="A771" s="123" t="s">
        <v>869</v>
      </c>
      <c r="B771" s="123">
        <v>2</v>
      </c>
      <c r="C771" s="125">
        <v>0.005423963885837499</v>
      </c>
      <c r="D771" s="123" t="s">
        <v>756</v>
      </c>
      <c r="E771" s="123" t="b">
        <v>0</v>
      </c>
      <c r="F771" s="123" t="b">
        <v>0</v>
      </c>
      <c r="G771" s="123" t="b">
        <v>0</v>
      </c>
    </row>
    <row r="772" spans="1:7" ht="15">
      <c r="A772" s="123" t="s">
        <v>1041</v>
      </c>
      <c r="B772" s="123">
        <v>2</v>
      </c>
      <c r="C772" s="125">
        <v>0.005423963885837499</v>
      </c>
      <c r="D772" s="123" t="s">
        <v>756</v>
      </c>
      <c r="E772" s="123" t="b">
        <v>0</v>
      </c>
      <c r="F772" s="123" t="b">
        <v>0</v>
      </c>
      <c r="G772" s="123" t="b">
        <v>0</v>
      </c>
    </row>
    <row r="773" spans="1:7" ht="15">
      <c r="A773" s="123" t="s">
        <v>870</v>
      </c>
      <c r="B773" s="123">
        <v>2</v>
      </c>
      <c r="C773" s="125">
        <v>0.005423963885837499</v>
      </c>
      <c r="D773" s="123" t="s">
        <v>756</v>
      </c>
      <c r="E773" s="123" t="b">
        <v>0</v>
      </c>
      <c r="F773" s="123" t="b">
        <v>0</v>
      </c>
      <c r="G773" s="123" t="b">
        <v>0</v>
      </c>
    </row>
    <row r="774" spans="1:7" ht="15">
      <c r="A774" s="123" t="s">
        <v>896</v>
      </c>
      <c r="B774" s="123">
        <v>2</v>
      </c>
      <c r="C774" s="125">
        <v>0.005423963885837499</v>
      </c>
      <c r="D774" s="123" t="s">
        <v>756</v>
      </c>
      <c r="E774" s="123" t="b">
        <v>0</v>
      </c>
      <c r="F774" s="123" t="b">
        <v>0</v>
      </c>
      <c r="G774" s="123" t="b">
        <v>0</v>
      </c>
    </row>
    <row r="775" spans="1:7" ht="15">
      <c r="A775" s="123" t="s">
        <v>818</v>
      </c>
      <c r="B775" s="123">
        <v>2</v>
      </c>
      <c r="C775" s="125">
        <v>0.005423963885837499</v>
      </c>
      <c r="D775" s="123" t="s">
        <v>756</v>
      </c>
      <c r="E775" s="123" t="b">
        <v>0</v>
      </c>
      <c r="F775" s="123" t="b">
        <v>0</v>
      </c>
      <c r="G775" s="123" t="b">
        <v>0</v>
      </c>
    </row>
    <row r="776" spans="1:7" ht="15">
      <c r="A776" s="123" t="s">
        <v>941</v>
      </c>
      <c r="B776" s="123">
        <v>2</v>
      </c>
      <c r="C776" s="125">
        <v>0.008135945828756248</v>
      </c>
      <c r="D776" s="123" t="s">
        <v>756</v>
      </c>
      <c r="E776" s="123" t="b">
        <v>0</v>
      </c>
      <c r="F776" s="123" t="b">
        <v>0</v>
      </c>
      <c r="G776" s="123" t="b">
        <v>0</v>
      </c>
    </row>
    <row r="777" spans="1:7" ht="15">
      <c r="A777" s="123" t="s">
        <v>858</v>
      </c>
      <c r="B777" s="123">
        <v>2</v>
      </c>
      <c r="C777" s="125">
        <v>0.008135945828756248</v>
      </c>
      <c r="D777" s="123" t="s">
        <v>756</v>
      </c>
      <c r="E777" s="123" t="b">
        <v>0</v>
      </c>
      <c r="F777" s="123" t="b">
        <v>0</v>
      </c>
      <c r="G777" s="123" t="b">
        <v>0</v>
      </c>
    </row>
    <row r="778" spans="1:7" ht="15">
      <c r="A778" s="123" t="s">
        <v>779</v>
      </c>
      <c r="B778" s="123">
        <v>51</v>
      </c>
      <c r="C778" s="125">
        <v>0.022920415708716894</v>
      </c>
      <c r="D778" s="123" t="s">
        <v>757</v>
      </c>
      <c r="E778" s="123" t="b">
        <v>0</v>
      </c>
      <c r="F778" s="123" t="b">
        <v>0</v>
      </c>
      <c r="G778" s="123" t="b">
        <v>0</v>
      </c>
    </row>
    <row r="779" spans="1:7" ht="15">
      <c r="A779" s="123" t="s">
        <v>781</v>
      </c>
      <c r="B779" s="123">
        <v>18</v>
      </c>
      <c r="C779" s="125">
        <v>0.008089558485429492</v>
      </c>
      <c r="D779" s="123" t="s">
        <v>757</v>
      </c>
      <c r="E779" s="123" t="b">
        <v>0</v>
      </c>
      <c r="F779" s="123" t="b">
        <v>0</v>
      </c>
      <c r="G779" s="123" t="b">
        <v>0</v>
      </c>
    </row>
    <row r="780" spans="1:7" ht="15">
      <c r="A780" s="123" t="s">
        <v>780</v>
      </c>
      <c r="B780" s="123">
        <v>14</v>
      </c>
      <c r="C780" s="125">
        <v>0.002920457761466238</v>
      </c>
      <c r="D780" s="123" t="s">
        <v>757</v>
      </c>
      <c r="E780" s="123" t="b">
        <v>0</v>
      </c>
      <c r="F780" s="123" t="b">
        <v>0</v>
      </c>
      <c r="G780" s="123" t="b">
        <v>0</v>
      </c>
    </row>
    <row r="781" spans="1:7" ht="15">
      <c r="A781" s="123" t="s">
        <v>786</v>
      </c>
      <c r="B781" s="123">
        <v>12</v>
      </c>
      <c r="C781" s="125">
        <v>0.005393038990286328</v>
      </c>
      <c r="D781" s="123" t="s">
        <v>757</v>
      </c>
      <c r="E781" s="123" t="b">
        <v>0</v>
      </c>
      <c r="F781" s="123" t="b">
        <v>0</v>
      </c>
      <c r="G781" s="123" t="b">
        <v>0</v>
      </c>
    </row>
    <row r="782" spans="1:7" ht="15">
      <c r="A782" s="123" t="s">
        <v>809</v>
      </c>
      <c r="B782" s="123">
        <v>11</v>
      </c>
      <c r="C782" s="125">
        <v>0.02382251764247333</v>
      </c>
      <c r="D782" s="123" t="s">
        <v>757</v>
      </c>
      <c r="E782" s="123" t="b">
        <v>0</v>
      </c>
      <c r="F782" s="123" t="b">
        <v>1</v>
      </c>
      <c r="G782" s="123" t="b">
        <v>0</v>
      </c>
    </row>
    <row r="783" spans="1:7" ht="15">
      <c r="A783" s="123" t="s">
        <v>795</v>
      </c>
      <c r="B783" s="123">
        <v>9</v>
      </c>
      <c r="C783" s="125">
        <v>0.029236726197580908</v>
      </c>
      <c r="D783" s="123" t="s">
        <v>757</v>
      </c>
      <c r="E783" s="123" t="b">
        <v>0</v>
      </c>
      <c r="F783" s="123" t="b">
        <v>0</v>
      </c>
      <c r="G783" s="123" t="b">
        <v>0</v>
      </c>
    </row>
    <row r="784" spans="1:7" ht="15">
      <c r="A784" s="123" t="s">
        <v>838</v>
      </c>
      <c r="B784" s="123">
        <v>7</v>
      </c>
      <c r="C784" s="125">
        <v>0.022739675931451816</v>
      </c>
      <c r="D784" s="123" t="s">
        <v>757</v>
      </c>
      <c r="E784" s="123" t="b">
        <v>0</v>
      </c>
      <c r="F784" s="123" t="b">
        <v>0</v>
      </c>
      <c r="G784" s="123" t="b">
        <v>0</v>
      </c>
    </row>
    <row r="785" spans="1:7" ht="15">
      <c r="A785" s="123" t="s">
        <v>818</v>
      </c>
      <c r="B785" s="123">
        <v>5</v>
      </c>
      <c r="C785" s="125">
        <v>0.007661308134393544</v>
      </c>
      <c r="D785" s="123" t="s">
        <v>757</v>
      </c>
      <c r="E785" s="123" t="b">
        <v>0</v>
      </c>
      <c r="F785" s="123" t="b">
        <v>0</v>
      </c>
      <c r="G785" s="123" t="b">
        <v>0</v>
      </c>
    </row>
    <row r="786" spans="1:7" ht="15">
      <c r="A786" s="123" t="s">
        <v>873</v>
      </c>
      <c r="B786" s="123">
        <v>5</v>
      </c>
      <c r="C786" s="125">
        <v>0.016242625665322724</v>
      </c>
      <c r="D786" s="123" t="s">
        <v>757</v>
      </c>
      <c r="E786" s="123" t="b">
        <v>0</v>
      </c>
      <c r="F786" s="123" t="b">
        <v>0</v>
      </c>
      <c r="G786" s="123" t="b">
        <v>0</v>
      </c>
    </row>
    <row r="787" spans="1:7" ht="15">
      <c r="A787" s="123" t="s">
        <v>872</v>
      </c>
      <c r="B787" s="123">
        <v>4</v>
      </c>
      <c r="C787" s="125">
        <v>0.0061290465075148366</v>
      </c>
      <c r="D787" s="123" t="s">
        <v>757</v>
      </c>
      <c r="E787" s="123" t="b">
        <v>0</v>
      </c>
      <c r="F787" s="123" t="b">
        <v>0</v>
      </c>
      <c r="G787" s="123" t="b">
        <v>0</v>
      </c>
    </row>
    <row r="788" spans="1:7" ht="15">
      <c r="A788" s="123" t="s">
        <v>836</v>
      </c>
      <c r="B788" s="123">
        <v>3</v>
      </c>
      <c r="C788" s="125">
        <v>0.004596784880636127</v>
      </c>
      <c r="D788" s="123" t="s">
        <v>757</v>
      </c>
      <c r="E788" s="123" t="b">
        <v>0</v>
      </c>
      <c r="F788" s="123" t="b">
        <v>0</v>
      </c>
      <c r="G788" s="123" t="b">
        <v>0</v>
      </c>
    </row>
    <row r="789" spans="1:7" ht="15">
      <c r="A789" s="123" t="s">
        <v>871</v>
      </c>
      <c r="B789" s="123">
        <v>3</v>
      </c>
      <c r="C789" s="125">
        <v>0.006497050266129091</v>
      </c>
      <c r="D789" s="123" t="s">
        <v>757</v>
      </c>
      <c r="E789" s="123" t="b">
        <v>0</v>
      </c>
      <c r="F789" s="123" t="b">
        <v>0</v>
      </c>
      <c r="G789" s="123" t="b">
        <v>0</v>
      </c>
    </row>
    <row r="790" spans="1:7" ht="15">
      <c r="A790" s="123" t="s">
        <v>935</v>
      </c>
      <c r="B790" s="123">
        <v>3</v>
      </c>
      <c r="C790" s="125">
        <v>0.009745575399193636</v>
      </c>
      <c r="D790" s="123" t="s">
        <v>757</v>
      </c>
      <c r="E790" s="123" t="b">
        <v>0</v>
      </c>
      <c r="F790" s="123" t="b">
        <v>0</v>
      </c>
      <c r="G790" s="123" t="b">
        <v>0</v>
      </c>
    </row>
    <row r="791" spans="1:7" ht="15">
      <c r="A791" s="123" t="s">
        <v>891</v>
      </c>
      <c r="B791" s="123">
        <v>2</v>
      </c>
      <c r="C791" s="125">
        <v>0.006497050266129091</v>
      </c>
      <c r="D791" s="123" t="s">
        <v>757</v>
      </c>
      <c r="E791" s="123" t="b">
        <v>0</v>
      </c>
      <c r="F791" s="123" t="b">
        <v>0</v>
      </c>
      <c r="G791" s="123" t="b">
        <v>0</v>
      </c>
    </row>
    <row r="792" spans="1:7" ht="15">
      <c r="A792" s="123" t="s">
        <v>1020</v>
      </c>
      <c r="B792" s="123">
        <v>2</v>
      </c>
      <c r="C792" s="125">
        <v>0.006497050266129091</v>
      </c>
      <c r="D792" s="123" t="s">
        <v>757</v>
      </c>
      <c r="E792" s="123" t="b">
        <v>0</v>
      </c>
      <c r="F792" s="123" t="b">
        <v>0</v>
      </c>
      <c r="G792" s="123" t="b">
        <v>0</v>
      </c>
    </row>
    <row r="793" spans="1:7" ht="15">
      <c r="A793" s="123" t="s">
        <v>854</v>
      </c>
      <c r="B793" s="123">
        <v>2</v>
      </c>
      <c r="C793" s="125">
        <v>0.00433136684408606</v>
      </c>
      <c r="D793" s="123" t="s">
        <v>757</v>
      </c>
      <c r="E793" s="123" t="b">
        <v>0</v>
      </c>
      <c r="F793" s="123" t="b">
        <v>0</v>
      </c>
      <c r="G793" s="123" t="b">
        <v>0</v>
      </c>
    </row>
    <row r="794" spans="1:7" ht="15">
      <c r="A794" s="123" t="s">
        <v>890</v>
      </c>
      <c r="B794" s="123">
        <v>2</v>
      </c>
      <c r="C794" s="125">
        <v>0.00433136684408606</v>
      </c>
      <c r="D794" s="123" t="s">
        <v>757</v>
      </c>
      <c r="E794" s="123" t="b">
        <v>0</v>
      </c>
      <c r="F794" s="123" t="b">
        <v>1</v>
      </c>
      <c r="G794" s="123" t="b">
        <v>0</v>
      </c>
    </row>
    <row r="795" spans="1:7" ht="15">
      <c r="A795" s="123" t="s">
        <v>807</v>
      </c>
      <c r="B795" s="123">
        <v>2</v>
      </c>
      <c r="C795" s="125">
        <v>0.00433136684408606</v>
      </c>
      <c r="D795" s="123" t="s">
        <v>757</v>
      </c>
      <c r="E795" s="123" t="b">
        <v>0</v>
      </c>
      <c r="F795" s="123" t="b">
        <v>0</v>
      </c>
      <c r="G795" s="123" t="b">
        <v>0</v>
      </c>
    </row>
    <row r="796" spans="1:7" ht="15">
      <c r="A796" s="123" t="s">
        <v>894</v>
      </c>
      <c r="B796" s="123">
        <v>2</v>
      </c>
      <c r="C796" s="125">
        <v>0.00433136684408606</v>
      </c>
      <c r="D796" s="123" t="s">
        <v>757</v>
      </c>
      <c r="E796" s="123" t="b">
        <v>0</v>
      </c>
      <c r="F796" s="123" t="b">
        <v>0</v>
      </c>
      <c r="G796" s="123" t="b">
        <v>0</v>
      </c>
    </row>
    <row r="797" spans="1:7" ht="15">
      <c r="A797" s="123" t="s">
        <v>1038</v>
      </c>
      <c r="B797" s="123">
        <v>2</v>
      </c>
      <c r="C797" s="125">
        <v>0.006497050266129091</v>
      </c>
      <c r="D797" s="123" t="s">
        <v>757</v>
      </c>
      <c r="E797" s="123" t="b">
        <v>0</v>
      </c>
      <c r="F797" s="123" t="b">
        <v>1</v>
      </c>
      <c r="G797" s="123" t="b">
        <v>0</v>
      </c>
    </row>
    <row r="798" spans="1:7" ht="15">
      <c r="A798" s="123" t="s">
        <v>803</v>
      </c>
      <c r="B798" s="123">
        <v>2</v>
      </c>
      <c r="C798" s="125">
        <v>0.006497050266129091</v>
      </c>
      <c r="D798" s="123" t="s">
        <v>757</v>
      </c>
      <c r="E798" s="123" t="b">
        <v>0</v>
      </c>
      <c r="F798" s="123" t="b">
        <v>0</v>
      </c>
      <c r="G798" s="123" t="b">
        <v>0</v>
      </c>
    </row>
    <row r="799" spans="1:7" ht="15">
      <c r="A799" s="123" t="s">
        <v>1033</v>
      </c>
      <c r="B799" s="123">
        <v>2</v>
      </c>
      <c r="C799" s="125">
        <v>0.006497050266129091</v>
      </c>
      <c r="D799" s="123" t="s">
        <v>757</v>
      </c>
      <c r="E799" s="123" t="b">
        <v>0</v>
      </c>
      <c r="F799" s="123" t="b">
        <v>1</v>
      </c>
      <c r="G799" s="123" t="b">
        <v>0</v>
      </c>
    </row>
    <row r="800" spans="1:7" ht="15">
      <c r="A800" s="123" t="s">
        <v>896</v>
      </c>
      <c r="B800" s="123">
        <v>2</v>
      </c>
      <c r="C800" s="125">
        <v>0.00433136684408606</v>
      </c>
      <c r="D800" s="123" t="s">
        <v>757</v>
      </c>
      <c r="E800" s="123" t="b">
        <v>0</v>
      </c>
      <c r="F800" s="123" t="b">
        <v>0</v>
      </c>
      <c r="G800" s="123" t="b">
        <v>0</v>
      </c>
    </row>
    <row r="801" spans="1:7" ht="15">
      <c r="A801" s="123" t="s">
        <v>1026</v>
      </c>
      <c r="B801" s="123">
        <v>2</v>
      </c>
      <c r="C801" s="125">
        <v>0.00433136684408606</v>
      </c>
      <c r="D801" s="123" t="s">
        <v>757</v>
      </c>
      <c r="E801" s="123" t="b">
        <v>0</v>
      </c>
      <c r="F801" s="123" t="b">
        <v>0</v>
      </c>
      <c r="G801" s="123" t="b">
        <v>0</v>
      </c>
    </row>
    <row r="802" spans="1:7" ht="15">
      <c r="A802" s="123" t="s">
        <v>1035</v>
      </c>
      <c r="B802" s="123">
        <v>2</v>
      </c>
      <c r="C802" s="125">
        <v>0.006497050266129091</v>
      </c>
      <c r="D802" s="123" t="s">
        <v>757</v>
      </c>
      <c r="E802" s="123" t="b">
        <v>0</v>
      </c>
      <c r="F802" s="123" t="b">
        <v>0</v>
      </c>
      <c r="G802" s="123" t="b">
        <v>0</v>
      </c>
    </row>
    <row r="803" spans="1:7" ht="15">
      <c r="A803" s="123" t="s">
        <v>1029</v>
      </c>
      <c r="B803" s="123">
        <v>2</v>
      </c>
      <c r="C803" s="125">
        <v>0.006497050266129091</v>
      </c>
      <c r="D803" s="123" t="s">
        <v>757</v>
      </c>
      <c r="E803" s="123" t="b">
        <v>0</v>
      </c>
      <c r="F803" s="123" t="b">
        <v>0</v>
      </c>
      <c r="G803" s="123" t="b">
        <v>0</v>
      </c>
    </row>
    <row r="804" spans="1:7" ht="15">
      <c r="A804" s="123" t="s">
        <v>1027</v>
      </c>
      <c r="B804" s="123">
        <v>2</v>
      </c>
      <c r="C804" s="125">
        <v>0.006497050266129091</v>
      </c>
      <c r="D804" s="123" t="s">
        <v>757</v>
      </c>
      <c r="E804" s="123" t="b">
        <v>0</v>
      </c>
      <c r="F804" s="123" t="b">
        <v>0</v>
      </c>
      <c r="G804" s="123" t="b">
        <v>0</v>
      </c>
    </row>
    <row r="805" spans="1:7" ht="15">
      <c r="A805" s="123" t="s">
        <v>1028</v>
      </c>
      <c r="B805" s="123">
        <v>2</v>
      </c>
      <c r="C805" s="125">
        <v>0.006497050266129091</v>
      </c>
      <c r="D805" s="123" t="s">
        <v>757</v>
      </c>
      <c r="E805" s="123" t="b">
        <v>0</v>
      </c>
      <c r="F805" s="123" t="b">
        <v>0</v>
      </c>
      <c r="G805" s="123" t="b">
        <v>0</v>
      </c>
    </row>
    <row r="806" spans="1:7" ht="15">
      <c r="A806" s="123" t="s">
        <v>937</v>
      </c>
      <c r="B806" s="123">
        <v>2</v>
      </c>
      <c r="C806" s="125">
        <v>0.006497050266129091</v>
      </c>
      <c r="D806" s="123" t="s">
        <v>757</v>
      </c>
      <c r="E806" s="123" t="b">
        <v>0</v>
      </c>
      <c r="F806" s="123" t="b">
        <v>0</v>
      </c>
      <c r="G806" s="123" t="b">
        <v>0</v>
      </c>
    </row>
    <row r="807" spans="1:7" ht="15">
      <c r="A807" s="123" t="s">
        <v>1023</v>
      </c>
      <c r="B807" s="123">
        <v>2</v>
      </c>
      <c r="C807" s="125">
        <v>0.006497050266129091</v>
      </c>
      <c r="D807" s="123" t="s">
        <v>757</v>
      </c>
      <c r="E807" s="123" t="b">
        <v>0</v>
      </c>
      <c r="F807" s="123" t="b">
        <v>0</v>
      </c>
      <c r="G807" s="123" t="b">
        <v>0</v>
      </c>
    </row>
    <row r="808" spans="1:7" ht="15">
      <c r="A808" s="123" t="s">
        <v>934</v>
      </c>
      <c r="B808" s="123">
        <v>2</v>
      </c>
      <c r="C808" s="125">
        <v>0.00433136684408606</v>
      </c>
      <c r="D808" s="123" t="s">
        <v>757</v>
      </c>
      <c r="E808" s="123" t="b">
        <v>0</v>
      </c>
      <c r="F808" s="123" t="b">
        <v>0</v>
      </c>
      <c r="G808" s="123" t="b">
        <v>0</v>
      </c>
    </row>
    <row r="809" spans="1:7" ht="15">
      <c r="A809" s="123" t="s">
        <v>1025</v>
      </c>
      <c r="B809" s="123">
        <v>2</v>
      </c>
      <c r="C809" s="125">
        <v>0.006497050266129091</v>
      </c>
      <c r="D809" s="123" t="s">
        <v>757</v>
      </c>
      <c r="E809" s="123" t="b">
        <v>0</v>
      </c>
      <c r="F809" s="123" t="b">
        <v>0</v>
      </c>
      <c r="G809" s="123" t="b">
        <v>0</v>
      </c>
    </row>
    <row r="810" spans="1:7" ht="15">
      <c r="A810" s="123" t="s">
        <v>932</v>
      </c>
      <c r="B810" s="123">
        <v>2</v>
      </c>
      <c r="C810" s="125">
        <v>0.006497050266129091</v>
      </c>
      <c r="D810" s="123" t="s">
        <v>757</v>
      </c>
      <c r="E810" s="123" t="b">
        <v>0</v>
      </c>
      <c r="F810" s="123" t="b">
        <v>0</v>
      </c>
      <c r="G810" s="123" t="b">
        <v>0</v>
      </c>
    </row>
    <row r="811" spans="1:7" ht="15">
      <c r="A811" s="123" t="s">
        <v>1021</v>
      </c>
      <c r="B811" s="123">
        <v>2</v>
      </c>
      <c r="C811" s="125">
        <v>0.006497050266129091</v>
      </c>
      <c r="D811" s="123" t="s">
        <v>757</v>
      </c>
      <c r="E811" s="123" t="b">
        <v>1</v>
      </c>
      <c r="F811" s="123" t="b">
        <v>0</v>
      </c>
      <c r="G811" s="12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03FC-925B-45DD-ACAB-2FC83C30B3E8}">
  <dimension ref="A1:L5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1176</v>
      </c>
      <c r="B1" s="13" t="s">
        <v>1177</v>
      </c>
      <c r="C1" s="13" t="s">
        <v>1167</v>
      </c>
      <c r="D1" s="13" t="s">
        <v>1171</v>
      </c>
      <c r="E1" s="13" t="s">
        <v>1178</v>
      </c>
      <c r="F1" s="13" t="s">
        <v>144</v>
      </c>
      <c r="G1" s="13" t="s">
        <v>1179</v>
      </c>
      <c r="H1" s="13" t="s">
        <v>1180</v>
      </c>
      <c r="I1" s="13" t="s">
        <v>1181</v>
      </c>
      <c r="J1" s="13" t="s">
        <v>1182</v>
      </c>
      <c r="K1" s="13" t="s">
        <v>1183</v>
      </c>
      <c r="L1" s="13" t="s">
        <v>1184</v>
      </c>
    </row>
    <row r="2" spans="1:12" ht="15">
      <c r="A2" s="123" t="s">
        <v>781</v>
      </c>
      <c r="B2" s="123" t="s">
        <v>779</v>
      </c>
      <c r="C2" s="123">
        <v>61</v>
      </c>
      <c r="D2" s="125">
        <v>0.009646181291561699</v>
      </c>
      <c r="E2" s="125">
        <v>1.396579458638184</v>
      </c>
      <c r="F2" s="123" t="s">
        <v>1172</v>
      </c>
      <c r="G2" s="123" t="b">
        <v>0</v>
      </c>
      <c r="H2" s="123" t="b">
        <v>0</v>
      </c>
      <c r="I2" s="123" t="b">
        <v>0</v>
      </c>
      <c r="J2" s="123" t="b">
        <v>0</v>
      </c>
      <c r="K2" s="123" t="b">
        <v>0</v>
      </c>
      <c r="L2" s="123" t="b">
        <v>0</v>
      </c>
    </row>
    <row r="3" spans="1:12" ht="15">
      <c r="A3" s="123" t="s">
        <v>783</v>
      </c>
      <c r="B3" s="123" t="s">
        <v>785</v>
      </c>
      <c r="C3" s="123">
        <v>36</v>
      </c>
      <c r="D3" s="125">
        <v>0.011899449197249714</v>
      </c>
      <c r="E3" s="125">
        <v>1.649705816442153</v>
      </c>
      <c r="F3" s="123" t="s">
        <v>1172</v>
      </c>
      <c r="G3" s="123" t="b">
        <v>0</v>
      </c>
      <c r="H3" s="123" t="b">
        <v>0</v>
      </c>
      <c r="I3" s="123" t="b">
        <v>0</v>
      </c>
      <c r="J3" s="123" t="b">
        <v>0</v>
      </c>
      <c r="K3" s="123" t="b">
        <v>0</v>
      </c>
      <c r="L3" s="123" t="b">
        <v>0</v>
      </c>
    </row>
    <row r="4" spans="1:12" ht="15">
      <c r="A4" s="123" t="s">
        <v>782</v>
      </c>
      <c r="B4" s="123" t="s">
        <v>783</v>
      </c>
      <c r="C4" s="123">
        <v>28</v>
      </c>
      <c r="D4" s="125">
        <v>0.009255127153416445</v>
      </c>
      <c r="E4" s="125">
        <v>1.4680106798684731</v>
      </c>
      <c r="F4" s="123" t="s">
        <v>1172</v>
      </c>
      <c r="G4" s="123" t="b">
        <v>0</v>
      </c>
      <c r="H4" s="123" t="b">
        <v>0</v>
      </c>
      <c r="I4" s="123" t="b">
        <v>0</v>
      </c>
      <c r="J4" s="123" t="b">
        <v>0</v>
      </c>
      <c r="K4" s="123" t="b">
        <v>0</v>
      </c>
      <c r="L4" s="123" t="b">
        <v>0</v>
      </c>
    </row>
    <row r="5" spans="1:12" ht="15">
      <c r="A5" s="123" t="s">
        <v>785</v>
      </c>
      <c r="B5" s="123" t="s">
        <v>782</v>
      </c>
      <c r="C5" s="123">
        <v>18</v>
      </c>
      <c r="D5" s="125">
        <v>0.005949724598624857</v>
      </c>
      <c r="E5" s="125">
        <v>1.4414298740150706</v>
      </c>
      <c r="F5" s="123" t="s">
        <v>1172</v>
      </c>
      <c r="G5" s="123" t="b">
        <v>0</v>
      </c>
      <c r="H5" s="123" t="b">
        <v>0</v>
      </c>
      <c r="I5" s="123" t="b">
        <v>0</v>
      </c>
      <c r="J5" s="123" t="b">
        <v>0</v>
      </c>
      <c r="K5" s="123" t="b">
        <v>0</v>
      </c>
      <c r="L5" s="123" t="b">
        <v>0</v>
      </c>
    </row>
    <row r="6" spans="1:12" ht="15">
      <c r="A6" s="123" t="s">
        <v>779</v>
      </c>
      <c r="B6" s="123" t="s">
        <v>786</v>
      </c>
      <c r="C6" s="123">
        <v>16</v>
      </c>
      <c r="D6" s="125">
        <v>0.0043270535945297145</v>
      </c>
      <c r="E6" s="125">
        <v>0.9742928402020089</v>
      </c>
      <c r="F6" s="123" t="s">
        <v>1172</v>
      </c>
      <c r="G6" s="123" t="b">
        <v>0</v>
      </c>
      <c r="H6" s="123" t="b">
        <v>0</v>
      </c>
      <c r="I6" s="123" t="b">
        <v>0</v>
      </c>
      <c r="J6" s="123" t="b">
        <v>0</v>
      </c>
      <c r="K6" s="123" t="b">
        <v>0</v>
      </c>
      <c r="L6" s="123" t="b">
        <v>0</v>
      </c>
    </row>
    <row r="7" spans="1:12" ht="15">
      <c r="A7" s="123" t="s">
        <v>787</v>
      </c>
      <c r="B7" s="123" t="s">
        <v>796</v>
      </c>
      <c r="C7" s="123">
        <v>16</v>
      </c>
      <c r="D7" s="125">
        <v>0.004856255030751182</v>
      </c>
      <c r="E7" s="125">
        <v>1.8296100453979518</v>
      </c>
      <c r="F7" s="123" t="s">
        <v>1172</v>
      </c>
      <c r="G7" s="123" t="b">
        <v>0</v>
      </c>
      <c r="H7" s="123" t="b">
        <v>0</v>
      </c>
      <c r="I7" s="123" t="b">
        <v>0</v>
      </c>
      <c r="J7" s="123" t="b">
        <v>0</v>
      </c>
      <c r="K7" s="123" t="b">
        <v>0</v>
      </c>
      <c r="L7" s="123" t="b">
        <v>0</v>
      </c>
    </row>
    <row r="8" spans="1:12" ht="15">
      <c r="A8" s="123" t="s">
        <v>799</v>
      </c>
      <c r="B8" s="123" t="s">
        <v>784</v>
      </c>
      <c r="C8" s="123">
        <v>14</v>
      </c>
      <c r="D8" s="125">
        <v>0.00392934088063473</v>
      </c>
      <c r="E8" s="125">
        <v>1.7996468220205086</v>
      </c>
      <c r="F8" s="123" t="s">
        <v>1172</v>
      </c>
      <c r="G8" s="123" t="b">
        <v>0</v>
      </c>
      <c r="H8" s="123" t="b">
        <v>0</v>
      </c>
      <c r="I8" s="123" t="b">
        <v>0</v>
      </c>
      <c r="J8" s="123" t="b">
        <v>0</v>
      </c>
      <c r="K8" s="123" t="b">
        <v>0</v>
      </c>
      <c r="L8" s="123" t="b">
        <v>0</v>
      </c>
    </row>
    <row r="9" spans="1:12" ht="15">
      <c r="A9" s="123" t="s">
        <v>797</v>
      </c>
      <c r="B9" s="123" t="s">
        <v>792</v>
      </c>
      <c r="C9" s="123">
        <v>13</v>
      </c>
      <c r="D9" s="125">
        <v>0.003791472611335249</v>
      </c>
      <c r="E9" s="125">
        <v>2.0684921343130886</v>
      </c>
      <c r="F9" s="123" t="s">
        <v>1172</v>
      </c>
      <c r="G9" s="123" t="b">
        <v>0</v>
      </c>
      <c r="H9" s="123" t="b">
        <v>0</v>
      </c>
      <c r="I9" s="123" t="b">
        <v>0</v>
      </c>
      <c r="J9" s="123" t="b">
        <v>0</v>
      </c>
      <c r="K9" s="123" t="b">
        <v>0</v>
      </c>
      <c r="L9" s="123" t="b">
        <v>0</v>
      </c>
    </row>
    <row r="10" spans="1:12" ht="15">
      <c r="A10" s="123" t="s">
        <v>789</v>
      </c>
      <c r="B10" s="123" t="s">
        <v>782</v>
      </c>
      <c r="C10" s="123">
        <v>13</v>
      </c>
      <c r="D10" s="125">
        <v>0.004726999488159007</v>
      </c>
      <c r="E10" s="125">
        <v>1.4811553998058327</v>
      </c>
      <c r="F10" s="123" t="s">
        <v>1172</v>
      </c>
      <c r="G10" s="123" t="b">
        <v>0</v>
      </c>
      <c r="H10" s="123" t="b">
        <v>0</v>
      </c>
      <c r="I10" s="123" t="b">
        <v>0</v>
      </c>
      <c r="J10" s="123" t="b">
        <v>0</v>
      </c>
      <c r="K10" s="123" t="b">
        <v>0</v>
      </c>
      <c r="L10" s="123" t="b">
        <v>0</v>
      </c>
    </row>
    <row r="11" spans="1:12" ht="15">
      <c r="A11" s="123" t="s">
        <v>779</v>
      </c>
      <c r="B11" s="123" t="s">
        <v>779</v>
      </c>
      <c r="C11" s="123">
        <v>12</v>
      </c>
      <c r="D11" s="125">
        <v>0.004153885757465981</v>
      </c>
      <c r="E11" s="125">
        <v>0.43360453650311376</v>
      </c>
      <c r="F11" s="123" t="s">
        <v>1172</v>
      </c>
      <c r="G11" s="123" t="b">
        <v>0</v>
      </c>
      <c r="H11" s="123" t="b">
        <v>0</v>
      </c>
      <c r="I11" s="123" t="b">
        <v>0</v>
      </c>
      <c r="J11" s="123" t="b">
        <v>0</v>
      </c>
      <c r="K11" s="123" t="b">
        <v>0</v>
      </c>
      <c r="L11" s="123" t="b">
        <v>0</v>
      </c>
    </row>
    <row r="12" spans="1:12" ht="15">
      <c r="A12" s="123" t="s">
        <v>817</v>
      </c>
      <c r="B12" s="123" t="s">
        <v>812</v>
      </c>
      <c r="C12" s="123">
        <v>11</v>
      </c>
      <c r="D12" s="125">
        <v>0.004217486004756472</v>
      </c>
      <c r="E12" s="125">
        <v>2.3736780897482275</v>
      </c>
      <c r="F12" s="123" t="s">
        <v>1172</v>
      </c>
      <c r="G12" s="123" t="b">
        <v>0</v>
      </c>
      <c r="H12" s="123" t="b">
        <v>0</v>
      </c>
      <c r="I12" s="123" t="b">
        <v>0</v>
      </c>
      <c r="J12" s="123" t="b">
        <v>0</v>
      </c>
      <c r="K12" s="123" t="b">
        <v>0</v>
      </c>
      <c r="L12" s="123" t="b">
        <v>0</v>
      </c>
    </row>
    <row r="13" spans="1:12" ht="15">
      <c r="A13" s="123" t="s">
        <v>786</v>
      </c>
      <c r="B13" s="123" t="s">
        <v>781</v>
      </c>
      <c r="C13" s="123">
        <v>10</v>
      </c>
      <c r="D13" s="125">
        <v>0.003636153452430005</v>
      </c>
      <c r="E13" s="125">
        <v>1.0559628866533286</v>
      </c>
      <c r="F13" s="123" t="s">
        <v>1172</v>
      </c>
      <c r="G13" s="123" t="b">
        <v>0</v>
      </c>
      <c r="H13" s="123" t="b">
        <v>0</v>
      </c>
      <c r="I13" s="123" t="b">
        <v>0</v>
      </c>
      <c r="J13" s="123" t="b">
        <v>0</v>
      </c>
      <c r="K13" s="123" t="b">
        <v>0</v>
      </c>
      <c r="L13" s="123" t="b">
        <v>0</v>
      </c>
    </row>
    <row r="14" spans="1:12" ht="15">
      <c r="A14" s="123" t="s">
        <v>779</v>
      </c>
      <c r="B14" s="123" t="s">
        <v>781</v>
      </c>
      <c r="C14" s="123">
        <v>10</v>
      </c>
      <c r="D14" s="125">
        <v>0.003636153452430005</v>
      </c>
      <c r="E14" s="125">
        <v>0.6402133195627333</v>
      </c>
      <c r="F14" s="123" t="s">
        <v>1172</v>
      </c>
      <c r="G14" s="123" t="b">
        <v>0</v>
      </c>
      <c r="H14" s="123" t="b">
        <v>0</v>
      </c>
      <c r="I14" s="123" t="b">
        <v>0</v>
      </c>
      <c r="J14" s="123" t="b">
        <v>0</v>
      </c>
      <c r="K14" s="123" t="b">
        <v>0</v>
      </c>
      <c r="L14" s="123" t="b">
        <v>0</v>
      </c>
    </row>
    <row r="15" spans="1:12" ht="15">
      <c r="A15" s="123" t="s">
        <v>780</v>
      </c>
      <c r="B15" s="123" t="s">
        <v>780</v>
      </c>
      <c r="C15" s="123">
        <v>10</v>
      </c>
      <c r="D15" s="125">
        <v>0.0033054025547915875</v>
      </c>
      <c r="E15" s="125">
        <v>0.904101507222148</v>
      </c>
      <c r="F15" s="123" t="s">
        <v>1172</v>
      </c>
      <c r="G15" s="123" t="b">
        <v>0</v>
      </c>
      <c r="H15" s="123" t="b">
        <v>0</v>
      </c>
      <c r="I15" s="123" t="b">
        <v>0</v>
      </c>
      <c r="J15" s="123" t="b">
        <v>0</v>
      </c>
      <c r="K15" s="123" t="b">
        <v>0</v>
      </c>
      <c r="L15" s="123" t="b">
        <v>0</v>
      </c>
    </row>
    <row r="16" spans="1:12" ht="15">
      <c r="A16" s="123" t="s">
        <v>780</v>
      </c>
      <c r="B16" s="123" t="s">
        <v>790</v>
      </c>
      <c r="C16" s="123">
        <v>10</v>
      </c>
      <c r="D16" s="125">
        <v>0.0033054025547915875</v>
      </c>
      <c r="E16" s="125">
        <v>1.3092201005213089</v>
      </c>
      <c r="F16" s="123" t="s">
        <v>1172</v>
      </c>
      <c r="G16" s="123" t="b">
        <v>0</v>
      </c>
      <c r="H16" s="123" t="b">
        <v>0</v>
      </c>
      <c r="I16" s="123" t="b">
        <v>0</v>
      </c>
      <c r="J16" s="123" t="b">
        <v>0</v>
      </c>
      <c r="K16" s="123" t="b">
        <v>0</v>
      </c>
      <c r="L16" s="123" t="b">
        <v>0</v>
      </c>
    </row>
    <row r="17" spans="1:12" ht="15">
      <c r="A17" s="123" t="s">
        <v>782</v>
      </c>
      <c r="B17" s="123" t="s">
        <v>815</v>
      </c>
      <c r="C17" s="123">
        <v>10</v>
      </c>
      <c r="D17" s="125">
        <v>0.0033054025547915875</v>
      </c>
      <c r="E17" s="125">
        <v>1.695463307002828</v>
      </c>
      <c r="F17" s="123" t="s">
        <v>1172</v>
      </c>
      <c r="G17" s="123" t="b">
        <v>0</v>
      </c>
      <c r="H17" s="123" t="b">
        <v>0</v>
      </c>
      <c r="I17" s="123" t="b">
        <v>0</v>
      </c>
      <c r="J17" s="123" t="b">
        <v>0</v>
      </c>
      <c r="K17" s="123" t="b">
        <v>0</v>
      </c>
      <c r="L17" s="123" t="b">
        <v>0</v>
      </c>
    </row>
    <row r="18" spans="1:12" ht="15">
      <c r="A18" s="123" t="s">
        <v>796</v>
      </c>
      <c r="B18" s="123" t="s">
        <v>811</v>
      </c>
      <c r="C18" s="123">
        <v>10</v>
      </c>
      <c r="D18" s="125">
        <v>0.0033054025547915875</v>
      </c>
      <c r="E18" s="125">
        <v>2.169558107092303</v>
      </c>
      <c r="F18" s="123" t="s">
        <v>1172</v>
      </c>
      <c r="G18" s="123" t="b">
        <v>0</v>
      </c>
      <c r="H18" s="123" t="b">
        <v>0</v>
      </c>
      <c r="I18" s="123" t="b">
        <v>0</v>
      </c>
      <c r="J18" s="123" t="b">
        <v>0</v>
      </c>
      <c r="K18" s="123" t="b">
        <v>0</v>
      </c>
      <c r="L18" s="123" t="b">
        <v>0</v>
      </c>
    </row>
    <row r="19" spans="1:12" ht="15">
      <c r="A19" s="123" t="s">
        <v>785</v>
      </c>
      <c r="B19" s="123" t="s">
        <v>783</v>
      </c>
      <c r="C19" s="123">
        <v>10</v>
      </c>
      <c r="D19" s="125">
        <v>0.0033054025547915875</v>
      </c>
      <c r="E19" s="125">
        <v>1.0934033156748657</v>
      </c>
      <c r="F19" s="123" t="s">
        <v>1172</v>
      </c>
      <c r="G19" s="123" t="b">
        <v>0</v>
      </c>
      <c r="H19" s="123" t="b">
        <v>0</v>
      </c>
      <c r="I19" s="123" t="b">
        <v>0</v>
      </c>
      <c r="J19" s="123" t="b">
        <v>0</v>
      </c>
      <c r="K19" s="123" t="b">
        <v>0</v>
      </c>
      <c r="L19" s="123" t="b">
        <v>0</v>
      </c>
    </row>
    <row r="20" spans="1:12" ht="15">
      <c r="A20" s="123" t="s">
        <v>779</v>
      </c>
      <c r="B20" s="123" t="s">
        <v>795</v>
      </c>
      <c r="C20" s="123">
        <v>9</v>
      </c>
      <c r="D20" s="125">
        <v>0.00458097448618036</v>
      </c>
      <c r="E20" s="125">
        <v>1.1537638399090708</v>
      </c>
      <c r="F20" s="123" t="s">
        <v>1172</v>
      </c>
      <c r="G20" s="123" t="b">
        <v>0</v>
      </c>
      <c r="H20" s="123" t="b">
        <v>0</v>
      </c>
      <c r="I20" s="123" t="b">
        <v>0</v>
      </c>
      <c r="J20" s="123" t="b">
        <v>0</v>
      </c>
      <c r="K20" s="123" t="b">
        <v>0</v>
      </c>
      <c r="L20" s="123" t="b">
        <v>0</v>
      </c>
    </row>
    <row r="21" spans="1:12" ht="15">
      <c r="A21" s="123" t="s">
        <v>804</v>
      </c>
      <c r="B21" s="123" t="s">
        <v>780</v>
      </c>
      <c r="C21" s="123">
        <v>9</v>
      </c>
      <c r="D21" s="125">
        <v>0.0034506703675280218</v>
      </c>
      <c r="E21" s="125">
        <v>1.5078286579175733</v>
      </c>
      <c r="F21" s="123" t="s">
        <v>1172</v>
      </c>
      <c r="G21" s="123" t="b">
        <v>0</v>
      </c>
      <c r="H21" s="123" t="b">
        <v>0</v>
      </c>
      <c r="I21" s="123" t="b">
        <v>0</v>
      </c>
      <c r="J21" s="123" t="b">
        <v>0</v>
      </c>
      <c r="K21" s="123" t="b">
        <v>0</v>
      </c>
      <c r="L21" s="123" t="b">
        <v>0</v>
      </c>
    </row>
    <row r="22" spans="1:12" ht="15">
      <c r="A22" s="123" t="s">
        <v>820</v>
      </c>
      <c r="B22" s="123" t="s">
        <v>801</v>
      </c>
      <c r="C22" s="123">
        <v>9</v>
      </c>
      <c r="D22" s="125">
        <v>0.003115414318099485</v>
      </c>
      <c r="E22" s="125">
        <v>2.3067313001176144</v>
      </c>
      <c r="F22" s="123" t="s">
        <v>1172</v>
      </c>
      <c r="G22" s="123" t="b">
        <v>0</v>
      </c>
      <c r="H22" s="123" t="b">
        <v>0</v>
      </c>
      <c r="I22" s="123" t="b">
        <v>0</v>
      </c>
      <c r="J22" s="123" t="b">
        <v>0</v>
      </c>
      <c r="K22" s="123" t="b">
        <v>0</v>
      </c>
      <c r="L22" s="123" t="b">
        <v>0</v>
      </c>
    </row>
    <row r="23" spans="1:12" ht="15">
      <c r="A23" s="123" t="s">
        <v>826</v>
      </c>
      <c r="B23" s="123" t="s">
        <v>827</v>
      </c>
      <c r="C23" s="123">
        <v>9</v>
      </c>
      <c r="D23" s="125">
        <v>0.003115414318099485</v>
      </c>
      <c r="E23" s="125">
        <v>2.4986168263565274</v>
      </c>
      <c r="F23" s="123" t="s">
        <v>1172</v>
      </c>
      <c r="G23" s="123" t="b">
        <v>0</v>
      </c>
      <c r="H23" s="123" t="b">
        <v>0</v>
      </c>
      <c r="I23" s="123" t="b">
        <v>0</v>
      </c>
      <c r="J23" s="123" t="b">
        <v>0</v>
      </c>
      <c r="K23" s="123" t="b">
        <v>0</v>
      </c>
      <c r="L23" s="123" t="b">
        <v>0</v>
      </c>
    </row>
    <row r="24" spans="1:12" ht="15">
      <c r="A24" s="123" t="s">
        <v>805</v>
      </c>
      <c r="B24" s="123" t="s">
        <v>788</v>
      </c>
      <c r="C24" s="123">
        <v>9</v>
      </c>
      <c r="D24" s="125">
        <v>0.003115414318099485</v>
      </c>
      <c r="E24" s="125">
        <v>1.7368559921610531</v>
      </c>
      <c r="F24" s="123" t="s">
        <v>1172</v>
      </c>
      <c r="G24" s="123" t="b">
        <v>0</v>
      </c>
      <c r="H24" s="123" t="b">
        <v>0</v>
      </c>
      <c r="I24" s="123" t="b">
        <v>0</v>
      </c>
      <c r="J24" s="123" t="b">
        <v>0</v>
      </c>
      <c r="K24" s="123" t="b">
        <v>1</v>
      </c>
      <c r="L24" s="123" t="b">
        <v>0</v>
      </c>
    </row>
    <row r="25" spans="1:12" ht="15">
      <c r="A25" s="123" t="s">
        <v>788</v>
      </c>
      <c r="B25" s="123" t="s">
        <v>787</v>
      </c>
      <c r="C25" s="123">
        <v>9</v>
      </c>
      <c r="D25" s="125">
        <v>0.003115414318099485</v>
      </c>
      <c r="E25" s="125">
        <v>1.2397845104870011</v>
      </c>
      <c r="F25" s="123" t="s">
        <v>1172</v>
      </c>
      <c r="G25" s="123" t="b">
        <v>0</v>
      </c>
      <c r="H25" s="123" t="b">
        <v>1</v>
      </c>
      <c r="I25" s="123" t="b">
        <v>0</v>
      </c>
      <c r="J25" s="123" t="b">
        <v>0</v>
      </c>
      <c r="K25" s="123" t="b">
        <v>0</v>
      </c>
      <c r="L25" s="123" t="b">
        <v>0</v>
      </c>
    </row>
    <row r="26" spans="1:12" ht="15">
      <c r="A26" s="123" t="s">
        <v>787</v>
      </c>
      <c r="B26" s="123" t="s">
        <v>803</v>
      </c>
      <c r="C26" s="123">
        <v>9</v>
      </c>
      <c r="D26" s="125">
        <v>0.003115414318099485</v>
      </c>
      <c r="E26" s="125">
        <v>1.6699092025304398</v>
      </c>
      <c r="F26" s="123" t="s">
        <v>1172</v>
      </c>
      <c r="G26" s="123" t="b">
        <v>0</v>
      </c>
      <c r="H26" s="123" t="b">
        <v>0</v>
      </c>
      <c r="I26" s="123" t="b">
        <v>0</v>
      </c>
      <c r="J26" s="123" t="b">
        <v>0</v>
      </c>
      <c r="K26" s="123" t="b">
        <v>0</v>
      </c>
      <c r="L26" s="123" t="b">
        <v>0</v>
      </c>
    </row>
    <row r="27" spans="1:12" ht="15">
      <c r="A27" s="123" t="s">
        <v>803</v>
      </c>
      <c r="B27" s="123" t="s">
        <v>788</v>
      </c>
      <c r="C27" s="123">
        <v>9</v>
      </c>
      <c r="D27" s="125">
        <v>0.003115414318099485</v>
      </c>
      <c r="E27" s="125">
        <v>1.7716180984202652</v>
      </c>
      <c r="F27" s="123" t="s">
        <v>1172</v>
      </c>
      <c r="G27" s="123" t="b">
        <v>0</v>
      </c>
      <c r="H27" s="123" t="b">
        <v>0</v>
      </c>
      <c r="I27" s="123" t="b">
        <v>0</v>
      </c>
      <c r="J27" s="123" t="b">
        <v>0</v>
      </c>
      <c r="K27" s="123" t="b">
        <v>1</v>
      </c>
      <c r="L27" s="123" t="b">
        <v>0</v>
      </c>
    </row>
    <row r="28" spans="1:12" ht="15">
      <c r="A28" s="123" t="s">
        <v>788</v>
      </c>
      <c r="B28" s="123" t="s">
        <v>828</v>
      </c>
      <c r="C28" s="123">
        <v>9</v>
      </c>
      <c r="D28" s="125">
        <v>0.003115414318099485</v>
      </c>
      <c r="E28" s="125">
        <v>1.9087912914455767</v>
      </c>
      <c r="F28" s="123" t="s">
        <v>1172</v>
      </c>
      <c r="G28" s="123" t="b">
        <v>0</v>
      </c>
      <c r="H28" s="123" t="b">
        <v>1</v>
      </c>
      <c r="I28" s="123" t="b">
        <v>0</v>
      </c>
      <c r="J28" s="123" t="b">
        <v>0</v>
      </c>
      <c r="K28" s="123" t="b">
        <v>0</v>
      </c>
      <c r="L28" s="123" t="b">
        <v>0</v>
      </c>
    </row>
    <row r="29" spans="1:12" ht="15">
      <c r="A29" s="123" t="s">
        <v>793</v>
      </c>
      <c r="B29" s="123" t="s">
        <v>830</v>
      </c>
      <c r="C29" s="123">
        <v>8</v>
      </c>
      <c r="D29" s="125">
        <v>0.002908922761944004</v>
      </c>
      <c r="E29" s="125">
        <v>2.197586830692546</v>
      </c>
      <c r="F29" s="123" t="s">
        <v>1172</v>
      </c>
      <c r="G29" s="123" t="b">
        <v>0</v>
      </c>
      <c r="H29" s="123" t="b">
        <v>0</v>
      </c>
      <c r="I29" s="123" t="b">
        <v>0</v>
      </c>
      <c r="J29" s="123" t="b">
        <v>0</v>
      </c>
      <c r="K29" s="123" t="b">
        <v>0</v>
      </c>
      <c r="L29" s="123" t="b">
        <v>0</v>
      </c>
    </row>
    <row r="30" spans="1:12" ht="15">
      <c r="A30" s="123" t="s">
        <v>830</v>
      </c>
      <c r="B30" s="123" t="s">
        <v>792</v>
      </c>
      <c r="C30" s="123">
        <v>8</v>
      </c>
      <c r="D30" s="125">
        <v>0.002908922761944004</v>
      </c>
      <c r="E30" s="125">
        <v>2.130640041061933</v>
      </c>
      <c r="F30" s="123" t="s">
        <v>1172</v>
      </c>
      <c r="G30" s="123" t="b">
        <v>0</v>
      </c>
      <c r="H30" s="123" t="b">
        <v>0</v>
      </c>
      <c r="I30" s="123" t="b">
        <v>0</v>
      </c>
      <c r="J30" s="123" t="b">
        <v>0</v>
      </c>
      <c r="K30" s="123" t="b">
        <v>0</v>
      </c>
      <c r="L30" s="123" t="b">
        <v>0</v>
      </c>
    </row>
    <row r="31" spans="1:12" ht="15">
      <c r="A31" s="123" t="s">
        <v>792</v>
      </c>
      <c r="B31" s="123" t="s">
        <v>791</v>
      </c>
      <c r="C31" s="123">
        <v>8</v>
      </c>
      <c r="D31" s="125">
        <v>0.002908922761944004</v>
      </c>
      <c r="E31" s="125">
        <v>1.7115107333199573</v>
      </c>
      <c r="F31" s="123" t="s">
        <v>1172</v>
      </c>
      <c r="G31" s="123" t="b">
        <v>0</v>
      </c>
      <c r="H31" s="123" t="b">
        <v>0</v>
      </c>
      <c r="I31" s="123" t="b">
        <v>0</v>
      </c>
      <c r="J31" s="123" t="b">
        <v>0</v>
      </c>
      <c r="K31" s="123" t="b">
        <v>0</v>
      </c>
      <c r="L31" s="123" t="b">
        <v>0</v>
      </c>
    </row>
    <row r="32" spans="1:12" ht="15">
      <c r="A32" s="123" t="s">
        <v>791</v>
      </c>
      <c r="B32" s="123" t="s">
        <v>823</v>
      </c>
      <c r="C32" s="123">
        <v>8</v>
      </c>
      <c r="D32" s="125">
        <v>0.002908922761944004</v>
      </c>
      <c r="E32" s="125">
        <v>2.0794875186145516</v>
      </c>
      <c r="F32" s="123" t="s">
        <v>1172</v>
      </c>
      <c r="G32" s="123" t="b">
        <v>0</v>
      </c>
      <c r="H32" s="123" t="b">
        <v>0</v>
      </c>
      <c r="I32" s="123" t="b">
        <v>0</v>
      </c>
      <c r="J32" s="123" t="b">
        <v>0</v>
      </c>
      <c r="K32" s="123" t="b">
        <v>0</v>
      </c>
      <c r="L32" s="123" t="b">
        <v>0</v>
      </c>
    </row>
    <row r="33" spans="1:12" ht="15">
      <c r="A33" s="123" t="s">
        <v>823</v>
      </c>
      <c r="B33" s="123" t="s">
        <v>787</v>
      </c>
      <c r="C33" s="123">
        <v>8</v>
      </c>
      <c r="D33" s="125">
        <v>0.002908922761944004</v>
      </c>
      <c r="E33" s="125">
        <v>1.7784575229505706</v>
      </c>
      <c r="F33" s="123" t="s">
        <v>1172</v>
      </c>
      <c r="G33" s="123" t="b">
        <v>0</v>
      </c>
      <c r="H33" s="123" t="b">
        <v>0</v>
      </c>
      <c r="I33" s="123" t="b">
        <v>0</v>
      </c>
      <c r="J33" s="123" t="b">
        <v>0</v>
      </c>
      <c r="K33" s="123" t="b">
        <v>0</v>
      </c>
      <c r="L33" s="123" t="b">
        <v>0</v>
      </c>
    </row>
    <row r="34" spans="1:12" ht="15">
      <c r="A34" s="123" t="s">
        <v>787</v>
      </c>
      <c r="B34" s="123" t="s">
        <v>831</v>
      </c>
      <c r="C34" s="123">
        <v>8</v>
      </c>
      <c r="D34" s="125">
        <v>0.002908922761944004</v>
      </c>
      <c r="E34" s="125">
        <v>1.8296100453979518</v>
      </c>
      <c r="F34" s="123" t="s">
        <v>1172</v>
      </c>
      <c r="G34" s="123" t="b">
        <v>0</v>
      </c>
      <c r="H34" s="123" t="b">
        <v>0</v>
      </c>
      <c r="I34" s="123" t="b">
        <v>0</v>
      </c>
      <c r="J34" s="123" t="b">
        <v>0</v>
      </c>
      <c r="K34" s="123" t="b">
        <v>0</v>
      </c>
      <c r="L34" s="123" t="b">
        <v>0</v>
      </c>
    </row>
    <row r="35" spans="1:12" ht="15">
      <c r="A35" s="123" t="s">
        <v>831</v>
      </c>
      <c r="B35" s="123" t="s">
        <v>788</v>
      </c>
      <c r="C35" s="123">
        <v>8</v>
      </c>
      <c r="D35" s="125">
        <v>0.002908922761944004</v>
      </c>
      <c r="E35" s="125">
        <v>1.8965568350285649</v>
      </c>
      <c r="F35" s="123" t="s">
        <v>1172</v>
      </c>
      <c r="G35" s="123" t="b">
        <v>0</v>
      </c>
      <c r="H35" s="123" t="b">
        <v>0</v>
      </c>
      <c r="I35" s="123" t="b">
        <v>0</v>
      </c>
      <c r="J35" s="123" t="b">
        <v>0</v>
      </c>
      <c r="K35" s="123" t="b">
        <v>1</v>
      </c>
      <c r="L35" s="123" t="b">
        <v>0</v>
      </c>
    </row>
    <row r="36" spans="1:12" ht="15">
      <c r="A36" s="123" t="s">
        <v>788</v>
      </c>
      <c r="B36" s="123" t="s">
        <v>824</v>
      </c>
      <c r="C36" s="123">
        <v>8</v>
      </c>
      <c r="D36" s="125">
        <v>0.002908922761944004</v>
      </c>
      <c r="E36" s="125">
        <v>1.8576387689981955</v>
      </c>
      <c r="F36" s="123" t="s">
        <v>1172</v>
      </c>
      <c r="G36" s="123" t="b">
        <v>0</v>
      </c>
      <c r="H36" s="123" t="b">
        <v>1</v>
      </c>
      <c r="I36" s="123" t="b">
        <v>0</v>
      </c>
      <c r="J36" s="123" t="b">
        <v>1</v>
      </c>
      <c r="K36" s="123" t="b">
        <v>0</v>
      </c>
      <c r="L36" s="123" t="b">
        <v>0</v>
      </c>
    </row>
    <row r="37" spans="1:12" ht="15">
      <c r="A37" s="123" t="s">
        <v>824</v>
      </c>
      <c r="B37" s="123" t="s">
        <v>797</v>
      </c>
      <c r="C37" s="123">
        <v>8</v>
      </c>
      <c r="D37" s="125">
        <v>0.002908922761944004</v>
      </c>
      <c r="E37" s="125">
        <v>2.322525567300846</v>
      </c>
      <c r="F37" s="123" t="s">
        <v>1172</v>
      </c>
      <c r="G37" s="123" t="b">
        <v>1</v>
      </c>
      <c r="H37" s="123" t="b">
        <v>0</v>
      </c>
      <c r="I37" s="123" t="b">
        <v>0</v>
      </c>
      <c r="J37" s="123" t="b">
        <v>0</v>
      </c>
      <c r="K37" s="123" t="b">
        <v>0</v>
      </c>
      <c r="L37" s="123" t="b">
        <v>0</v>
      </c>
    </row>
    <row r="38" spans="1:12" ht="15">
      <c r="A38" s="123" t="s">
        <v>792</v>
      </c>
      <c r="B38" s="123" t="s">
        <v>814</v>
      </c>
      <c r="C38" s="123">
        <v>8</v>
      </c>
      <c r="D38" s="125">
        <v>0.002908922761944004</v>
      </c>
      <c r="E38" s="125">
        <v>1.9923373428956517</v>
      </c>
      <c r="F38" s="123" t="s">
        <v>1172</v>
      </c>
      <c r="G38" s="123" t="b">
        <v>0</v>
      </c>
      <c r="H38" s="123" t="b">
        <v>0</v>
      </c>
      <c r="I38" s="123" t="b">
        <v>0</v>
      </c>
      <c r="J38" s="123" t="b">
        <v>0</v>
      </c>
      <c r="K38" s="123" t="b">
        <v>0</v>
      </c>
      <c r="L38" s="123" t="b">
        <v>0</v>
      </c>
    </row>
    <row r="39" spans="1:12" ht="15">
      <c r="A39" s="123" t="s">
        <v>815</v>
      </c>
      <c r="B39" s="123" t="s">
        <v>787</v>
      </c>
      <c r="C39" s="123">
        <v>8</v>
      </c>
      <c r="D39" s="125">
        <v>0.002908922761944004</v>
      </c>
      <c r="E39" s="125">
        <v>1.6913073472316704</v>
      </c>
      <c r="F39" s="123" t="s">
        <v>1172</v>
      </c>
      <c r="G39" s="123" t="b">
        <v>0</v>
      </c>
      <c r="H39" s="123" t="b">
        <v>0</v>
      </c>
      <c r="I39" s="123" t="b">
        <v>0</v>
      </c>
      <c r="J39" s="123" t="b">
        <v>0</v>
      </c>
      <c r="K39" s="123" t="b">
        <v>0</v>
      </c>
      <c r="L39" s="123" t="b">
        <v>0</v>
      </c>
    </row>
    <row r="40" spans="1:12" ht="15">
      <c r="A40" s="123" t="s">
        <v>811</v>
      </c>
      <c r="B40" s="123" t="s">
        <v>805</v>
      </c>
      <c r="C40" s="123">
        <v>8</v>
      </c>
      <c r="D40" s="125">
        <v>0.002908922761944004</v>
      </c>
      <c r="E40" s="125">
        <v>2.1628247244333343</v>
      </c>
      <c r="F40" s="123" t="s">
        <v>1172</v>
      </c>
      <c r="G40" s="123" t="b">
        <v>0</v>
      </c>
      <c r="H40" s="123" t="b">
        <v>0</v>
      </c>
      <c r="I40" s="123" t="b">
        <v>0</v>
      </c>
      <c r="J40" s="123" t="b">
        <v>0</v>
      </c>
      <c r="K40" s="123" t="b">
        <v>0</v>
      </c>
      <c r="L40" s="123" t="b">
        <v>0</v>
      </c>
    </row>
    <row r="41" spans="1:12" ht="15">
      <c r="A41" s="123" t="s">
        <v>828</v>
      </c>
      <c r="B41" s="123" t="s">
        <v>785</v>
      </c>
      <c r="C41" s="123">
        <v>8</v>
      </c>
      <c r="D41" s="125">
        <v>0.002908922761944004</v>
      </c>
      <c r="E41" s="125">
        <v>1.7582541368622835</v>
      </c>
      <c r="F41" s="123" t="s">
        <v>1172</v>
      </c>
      <c r="G41" s="123" t="b">
        <v>0</v>
      </c>
      <c r="H41" s="123" t="b">
        <v>0</v>
      </c>
      <c r="I41" s="123" t="b">
        <v>0</v>
      </c>
      <c r="J41" s="123" t="b">
        <v>0</v>
      </c>
      <c r="K41" s="123" t="b">
        <v>0</v>
      </c>
      <c r="L41" s="123" t="b">
        <v>0</v>
      </c>
    </row>
    <row r="42" spans="1:12" ht="15">
      <c r="A42" s="123" t="s">
        <v>783</v>
      </c>
      <c r="B42" s="123" t="s">
        <v>783</v>
      </c>
      <c r="C42" s="123">
        <v>8</v>
      </c>
      <c r="D42" s="125">
        <v>0.002908922761944004</v>
      </c>
      <c r="E42" s="125">
        <v>0.9239426355181976</v>
      </c>
      <c r="F42" s="123" t="s">
        <v>1172</v>
      </c>
      <c r="G42" s="123" t="b">
        <v>0</v>
      </c>
      <c r="H42" s="123" t="b">
        <v>0</v>
      </c>
      <c r="I42" s="123" t="b">
        <v>0</v>
      </c>
      <c r="J42" s="123" t="b">
        <v>0</v>
      </c>
      <c r="K42" s="123" t="b">
        <v>0</v>
      </c>
      <c r="L42" s="123" t="b">
        <v>0</v>
      </c>
    </row>
    <row r="43" spans="1:12" ht="15">
      <c r="A43" s="123" t="s">
        <v>785</v>
      </c>
      <c r="B43" s="123" t="s">
        <v>789</v>
      </c>
      <c r="C43" s="123">
        <v>8</v>
      </c>
      <c r="D43" s="125">
        <v>0.002908922761944004</v>
      </c>
      <c r="E43" s="125">
        <v>1.2500986484026524</v>
      </c>
      <c r="F43" s="123" t="s">
        <v>1172</v>
      </c>
      <c r="G43" s="123" t="b">
        <v>0</v>
      </c>
      <c r="H43" s="123" t="b">
        <v>0</v>
      </c>
      <c r="I43" s="123" t="b">
        <v>0</v>
      </c>
      <c r="J43" s="123" t="b">
        <v>0</v>
      </c>
      <c r="K43" s="123" t="b">
        <v>0</v>
      </c>
      <c r="L43" s="123" t="b">
        <v>0</v>
      </c>
    </row>
    <row r="44" spans="1:12" ht="15">
      <c r="A44" s="123" t="s">
        <v>783</v>
      </c>
      <c r="B44" s="123" t="s">
        <v>780</v>
      </c>
      <c r="C44" s="123">
        <v>8</v>
      </c>
      <c r="D44" s="125">
        <v>0.002908922761944004</v>
      </c>
      <c r="E44" s="125">
        <v>0.8546161441422296</v>
      </c>
      <c r="F44" s="123" t="s">
        <v>1172</v>
      </c>
      <c r="G44" s="123" t="b">
        <v>0</v>
      </c>
      <c r="H44" s="123" t="b">
        <v>0</v>
      </c>
      <c r="I44" s="123" t="b">
        <v>0</v>
      </c>
      <c r="J44" s="123" t="b">
        <v>0</v>
      </c>
      <c r="K44" s="123" t="b">
        <v>0</v>
      </c>
      <c r="L44" s="123" t="b">
        <v>0</v>
      </c>
    </row>
    <row r="45" spans="1:12" ht="15">
      <c r="A45" s="123" t="s">
        <v>791</v>
      </c>
      <c r="B45" s="123" t="s">
        <v>793</v>
      </c>
      <c r="C45" s="123">
        <v>7</v>
      </c>
      <c r="D45" s="125">
        <v>0.0026838547302995724</v>
      </c>
      <c r="E45" s="125">
        <v>1.9757380810761898</v>
      </c>
      <c r="F45" s="123" t="s">
        <v>1172</v>
      </c>
      <c r="G45" s="123" t="b">
        <v>0</v>
      </c>
      <c r="H45" s="123" t="b">
        <v>0</v>
      </c>
      <c r="I45" s="123" t="b">
        <v>0</v>
      </c>
      <c r="J45" s="123" t="b">
        <v>0</v>
      </c>
      <c r="K45" s="123" t="b">
        <v>0</v>
      </c>
      <c r="L45" s="123" t="b">
        <v>0</v>
      </c>
    </row>
    <row r="46" spans="1:12" ht="15">
      <c r="A46" s="123" t="s">
        <v>793</v>
      </c>
      <c r="B46" s="123" t="s">
        <v>822</v>
      </c>
      <c r="C46" s="123">
        <v>7</v>
      </c>
      <c r="D46" s="125">
        <v>0.0026838547302995724</v>
      </c>
      <c r="E46" s="125">
        <v>2.0884423612674783</v>
      </c>
      <c r="F46" s="123" t="s">
        <v>1172</v>
      </c>
      <c r="G46" s="123" t="b">
        <v>0</v>
      </c>
      <c r="H46" s="123" t="b">
        <v>0</v>
      </c>
      <c r="I46" s="123" t="b">
        <v>0</v>
      </c>
      <c r="J46" s="123" t="b">
        <v>0</v>
      </c>
      <c r="K46" s="123" t="b">
        <v>0</v>
      </c>
      <c r="L46" s="123" t="b">
        <v>0</v>
      </c>
    </row>
    <row r="47" spans="1:12" ht="15">
      <c r="A47" s="123" t="s">
        <v>814</v>
      </c>
      <c r="B47" s="123" t="s">
        <v>798</v>
      </c>
      <c r="C47" s="123">
        <v>7</v>
      </c>
      <c r="D47" s="125">
        <v>0.0026838547302995724</v>
      </c>
      <c r="E47" s="125">
        <v>2.080473431596203</v>
      </c>
      <c r="F47" s="123" t="s">
        <v>1172</v>
      </c>
      <c r="G47" s="123" t="b">
        <v>0</v>
      </c>
      <c r="H47" s="123" t="b">
        <v>0</v>
      </c>
      <c r="I47" s="123" t="b">
        <v>0</v>
      </c>
      <c r="J47" s="123" t="b">
        <v>0</v>
      </c>
      <c r="K47" s="123" t="b">
        <v>0</v>
      </c>
      <c r="L47" s="123" t="b">
        <v>0</v>
      </c>
    </row>
    <row r="48" spans="1:12" ht="15">
      <c r="A48" s="123" t="s">
        <v>798</v>
      </c>
      <c r="B48" s="123" t="s">
        <v>832</v>
      </c>
      <c r="C48" s="123">
        <v>7</v>
      </c>
      <c r="D48" s="125">
        <v>0.0026838547302995724</v>
      </c>
      <c r="E48" s="125">
        <v>2.2187761297624844</v>
      </c>
      <c r="F48" s="123" t="s">
        <v>1172</v>
      </c>
      <c r="G48" s="123" t="b">
        <v>0</v>
      </c>
      <c r="H48" s="123" t="b">
        <v>0</v>
      </c>
      <c r="I48" s="123" t="b">
        <v>0</v>
      </c>
      <c r="J48" s="123" t="b">
        <v>0</v>
      </c>
      <c r="K48" s="123" t="b">
        <v>0</v>
      </c>
      <c r="L48" s="123" t="b">
        <v>0</v>
      </c>
    </row>
    <row r="49" spans="1:12" ht="15">
      <c r="A49" s="123" t="s">
        <v>832</v>
      </c>
      <c r="B49" s="123" t="s">
        <v>833</v>
      </c>
      <c r="C49" s="123">
        <v>7</v>
      </c>
      <c r="D49" s="125">
        <v>0.0026838547302995724</v>
      </c>
      <c r="E49" s="125">
        <v>2.491777401826222</v>
      </c>
      <c r="F49" s="123" t="s">
        <v>1172</v>
      </c>
      <c r="G49" s="123" t="b">
        <v>0</v>
      </c>
      <c r="H49" s="123" t="b">
        <v>0</v>
      </c>
      <c r="I49" s="123" t="b">
        <v>0</v>
      </c>
      <c r="J49" s="123" t="b">
        <v>0</v>
      </c>
      <c r="K49" s="123" t="b">
        <v>0</v>
      </c>
      <c r="L49" s="123" t="b">
        <v>0</v>
      </c>
    </row>
    <row r="50" spans="1:12" ht="15">
      <c r="A50" s="123" t="s">
        <v>833</v>
      </c>
      <c r="B50" s="123" t="s">
        <v>834</v>
      </c>
      <c r="C50" s="123">
        <v>7</v>
      </c>
      <c r="D50" s="125">
        <v>0.0026838547302995724</v>
      </c>
      <c r="E50" s="125">
        <v>2.491777401826222</v>
      </c>
      <c r="F50" s="123" t="s">
        <v>1172</v>
      </c>
      <c r="G50" s="123" t="b">
        <v>0</v>
      </c>
      <c r="H50" s="123" t="b">
        <v>0</v>
      </c>
      <c r="I50" s="123" t="b">
        <v>0</v>
      </c>
      <c r="J50" s="123" t="b">
        <v>0</v>
      </c>
      <c r="K50" s="123" t="b">
        <v>0</v>
      </c>
      <c r="L50" s="123" t="b">
        <v>0</v>
      </c>
    </row>
    <row r="51" spans="1:12" ht="15">
      <c r="A51" s="123" t="s">
        <v>834</v>
      </c>
      <c r="B51" s="123" t="s">
        <v>843</v>
      </c>
      <c r="C51" s="123">
        <v>7</v>
      </c>
      <c r="D51" s="125">
        <v>0.0026838547302995724</v>
      </c>
      <c r="E51" s="125">
        <v>2.549769348803909</v>
      </c>
      <c r="F51" s="123" t="s">
        <v>1172</v>
      </c>
      <c r="G51" s="123" t="b">
        <v>0</v>
      </c>
      <c r="H51" s="123" t="b">
        <v>0</v>
      </c>
      <c r="I51" s="123" t="b">
        <v>0</v>
      </c>
      <c r="J51" s="123" t="b">
        <v>0</v>
      </c>
      <c r="K51" s="123" t="b">
        <v>0</v>
      </c>
      <c r="L51" s="123" t="b">
        <v>0</v>
      </c>
    </row>
    <row r="52" spans="1:12" ht="15">
      <c r="A52" s="123" t="s">
        <v>845</v>
      </c>
      <c r="B52" s="123" t="s">
        <v>846</v>
      </c>
      <c r="C52" s="123">
        <v>7</v>
      </c>
      <c r="D52" s="125">
        <v>0.0035629801559180574</v>
      </c>
      <c r="E52" s="125">
        <v>2.6077612957815957</v>
      </c>
      <c r="F52" s="123" t="s">
        <v>1172</v>
      </c>
      <c r="G52" s="123" t="b">
        <v>0</v>
      </c>
      <c r="H52" s="123" t="b">
        <v>0</v>
      </c>
      <c r="I52" s="123" t="b">
        <v>0</v>
      </c>
      <c r="J52" s="123" t="b">
        <v>0</v>
      </c>
      <c r="K52" s="123" t="b">
        <v>0</v>
      </c>
      <c r="L52" s="123" t="b">
        <v>0</v>
      </c>
    </row>
    <row r="53" spans="1:12" ht="15">
      <c r="A53" s="123" t="s">
        <v>835</v>
      </c>
      <c r="B53" s="123" t="s">
        <v>847</v>
      </c>
      <c r="C53" s="123">
        <v>7</v>
      </c>
      <c r="D53" s="125">
        <v>0.0026838547302995724</v>
      </c>
      <c r="E53" s="125">
        <v>2.549769348803909</v>
      </c>
      <c r="F53" s="123" t="s">
        <v>1172</v>
      </c>
      <c r="G53" s="123" t="b">
        <v>0</v>
      </c>
      <c r="H53" s="123" t="b">
        <v>0</v>
      </c>
      <c r="I53" s="123" t="b">
        <v>0</v>
      </c>
      <c r="J53" s="123" t="b">
        <v>0</v>
      </c>
      <c r="K53" s="123" t="b">
        <v>0</v>
      </c>
      <c r="L53" s="123" t="b">
        <v>0</v>
      </c>
    </row>
    <row r="54" spans="1:12" ht="15">
      <c r="A54" s="123" t="s">
        <v>847</v>
      </c>
      <c r="B54" s="123" t="s">
        <v>800</v>
      </c>
      <c r="C54" s="123">
        <v>7</v>
      </c>
      <c r="D54" s="125">
        <v>0.0026838547302995724</v>
      </c>
      <c r="E54" s="125">
        <v>2.3067313001176144</v>
      </c>
      <c r="F54" s="123" t="s">
        <v>1172</v>
      </c>
      <c r="G54" s="123" t="b">
        <v>0</v>
      </c>
      <c r="H54" s="123" t="b">
        <v>0</v>
      </c>
      <c r="I54" s="123" t="b">
        <v>0</v>
      </c>
      <c r="J54" s="123" t="b">
        <v>0</v>
      </c>
      <c r="K54" s="123" t="b">
        <v>0</v>
      </c>
      <c r="L54" s="123" t="b">
        <v>0</v>
      </c>
    </row>
    <row r="55" spans="1:12" ht="15">
      <c r="A55" s="123" t="s">
        <v>800</v>
      </c>
      <c r="B55" s="123" t="s">
        <v>848</v>
      </c>
      <c r="C55" s="123">
        <v>7</v>
      </c>
      <c r="D55" s="125">
        <v>0.0026838547302995724</v>
      </c>
      <c r="E55" s="125">
        <v>2.3067313001176144</v>
      </c>
      <c r="F55" s="123" t="s">
        <v>1172</v>
      </c>
      <c r="G55" s="123" t="b">
        <v>0</v>
      </c>
      <c r="H55" s="123" t="b">
        <v>0</v>
      </c>
      <c r="I55" s="123" t="b">
        <v>0</v>
      </c>
      <c r="J55" s="123" t="b">
        <v>0</v>
      </c>
      <c r="K55" s="123" t="b">
        <v>0</v>
      </c>
      <c r="L55" s="123" t="b">
        <v>0</v>
      </c>
    </row>
    <row r="56" spans="1:12" ht="15">
      <c r="A56" s="123" t="s">
        <v>849</v>
      </c>
      <c r="B56" s="123" t="s">
        <v>850</v>
      </c>
      <c r="C56" s="123">
        <v>6</v>
      </c>
      <c r="D56" s="125">
        <v>0.0024375393136592998</v>
      </c>
      <c r="E56" s="125">
        <v>2.6747080854122087</v>
      </c>
      <c r="F56" s="123" t="s">
        <v>1172</v>
      </c>
      <c r="G56" s="123" t="b">
        <v>0</v>
      </c>
      <c r="H56" s="123" t="b">
        <v>0</v>
      </c>
      <c r="I56" s="123" t="b">
        <v>0</v>
      </c>
      <c r="J56" s="123" t="b">
        <v>0</v>
      </c>
      <c r="K56" s="123" t="b">
        <v>0</v>
      </c>
      <c r="L56" s="123" t="b">
        <v>0</v>
      </c>
    </row>
    <row r="57" spans="1:12" ht="15">
      <c r="A57" s="123" t="s">
        <v>802</v>
      </c>
      <c r="B57" s="123" t="s">
        <v>851</v>
      </c>
      <c r="C57" s="123">
        <v>6</v>
      </c>
      <c r="D57" s="125">
        <v>0.0030539829907869063</v>
      </c>
      <c r="E57" s="125">
        <v>2.3389159834890156</v>
      </c>
      <c r="F57" s="123" t="s">
        <v>1172</v>
      </c>
      <c r="G57" s="123" t="b">
        <v>0</v>
      </c>
      <c r="H57" s="123" t="b">
        <v>0</v>
      </c>
      <c r="I57" s="123" t="b">
        <v>0</v>
      </c>
      <c r="J57" s="123" t="b">
        <v>0</v>
      </c>
      <c r="K57" s="123" t="b">
        <v>0</v>
      </c>
      <c r="L57" s="123" t="b">
        <v>0</v>
      </c>
    </row>
    <row r="58" spans="1:12" ht="15">
      <c r="A58" s="123" t="s">
        <v>779</v>
      </c>
      <c r="B58" s="123" t="s">
        <v>780</v>
      </c>
      <c r="C58" s="123">
        <v>6</v>
      </c>
      <c r="D58" s="125">
        <v>0.0025996852100025588</v>
      </c>
      <c r="E58" s="125">
        <v>0.3964627284985472</v>
      </c>
      <c r="F58" s="123" t="s">
        <v>1172</v>
      </c>
      <c r="G58" s="123" t="b">
        <v>0</v>
      </c>
      <c r="H58" s="123" t="b">
        <v>0</v>
      </c>
      <c r="I58" s="123" t="b">
        <v>0</v>
      </c>
      <c r="J58" s="123" t="b">
        <v>0</v>
      </c>
      <c r="K58" s="123" t="b">
        <v>0</v>
      </c>
      <c r="L58" s="123" t="b">
        <v>0</v>
      </c>
    </row>
    <row r="59" spans="1:12" ht="15">
      <c r="A59" s="123" t="s">
        <v>841</v>
      </c>
      <c r="B59" s="123" t="s">
        <v>857</v>
      </c>
      <c r="C59" s="123">
        <v>6</v>
      </c>
      <c r="D59" s="125">
        <v>0.0034145794257132165</v>
      </c>
      <c r="E59" s="125">
        <v>2.6077612957815957</v>
      </c>
      <c r="F59" s="123" t="s">
        <v>1172</v>
      </c>
      <c r="G59" s="123" t="b">
        <v>0</v>
      </c>
      <c r="H59" s="123" t="b">
        <v>0</v>
      </c>
      <c r="I59" s="123" t="b">
        <v>0</v>
      </c>
      <c r="J59" s="123" t="b">
        <v>0</v>
      </c>
      <c r="K59" s="123" t="b">
        <v>0</v>
      </c>
      <c r="L59" s="123" t="b">
        <v>0</v>
      </c>
    </row>
    <row r="60" spans="1:12" ht="15">
      <c r="A60" s="123" t="s">
        <v>822</v>
      </c>
      <c r="B60" s="123" t="s">
        <v>859</v>
      </c>
      <c r="C60" s="123">
        <v>6</v>
      </c>
      <c r="D60" s="125">
        <v>0.0024375393136592998</v>
      </c>
      <c r="E60" s="125">
        <v>2.4986168263565274</v>
      </c>
      <c r="F60" s="123" t="s">
        <v>1172</v>
      </c>
      <c r="G60" s="123" t="b">
        <v>0</v>
      </c>
      <c r="H60" s="123" t="b">
        <v>0</v>
      </c>
      <c r="I60" s="123" t="b">
        <v>0</v>
      </c>
      <c r="J60" s="123" t="b">
        <v>0</v>
      </c>
      <c r="K60" s="123" t="b">
        <v>0</v>
      </c>
      <c r="L60" s="123" t="b">
        <v>0</v>
      </c>
    </row>
    <row r="61" spans="1:12" ht="15">
      <c r="A61" s="123" t="s">
        <v>859</v>
      </c>
      <c r="B61" s="123" t="s">
        <v>789</v>
      </c>
      <c r="C61" s="123">
        <v>6</v>
      </c>
      <c r="D61" s="125">
        <v>0.0024375393136592998</v>
      </c>
      <c r="E61" s="125">
        <v>1.990461337896896</v>
      </c>
      <c r="F61" s="123" t="s">
        <v>1172</v>
      </c>
      <c r="G61" s="123" t="b">
        <v>0</v>
      </c>
      <c r="H61" s="123" t="b">
        <v>0</v>
      </c>
      <c r="I61" s="123" t="b">
        <v>0</v>
      </c>
      <c r="J61" s="123" t="b">
        <v>0</v>
      </c>
      <c r="K61" s="123" t="b">
        <v>0</v>
      </c>
      <c r="L61" s="123" t="b">
        <v>0</v>
      </c>
    </row>
    <row r="62" spans="1:12" ht="15">
      <c r="A62" s="123" t="s">
        <v>843</v>
      </c>
      <c r="B62" s="123" t="s">
        <v>861</v>
      </c>
      <c r="C62" s="123">
        <v>6</v>
      </c>
      <c r="D62" s="125">
        <v>0.0024375393136592998</v>
      </c>
      <c r="E62" s="125">
        <v>2.6077612957815957</v>
      </c>
      <c r="F62" s="123" t="s">
        <v>1172</v>
      </c>
      <c r="G62" s="123" t="b">
        <v>0</v>
      </c>
      <c r="H62" s="123" t="b">
        <v>0</v>
      </c>
      <c r="I62" s="123" t="b">
        <v>0</v>
      </c>
      <c r="J62" s="123" t="b">
        <v>0</v>
      </c>
      <c r="K62" s="123" t="b">
        <v>0</v>
      </c>
      <c r="L62" s="123" t="b">
        <v>0</v>
      </c>
    </row>
    <row r="63" spans="1:12" ht="15">
      <c r="A63" s="123" t="s">
        <v>861</v>
      </c>
      <c r="B63" s="123" t="s">
        <v>844</v>
      </c>
      <c r="C63" s="123">
        <v>6</v>
      </c>
      <c r="D63" s="125">
        <v>0.0024375393136592998</v>
      </c>
      <c r="E63" s="125">
        <v>2.6077612957815957</v>
      </c>
      <c r="F63" s="123" t="s">
        <v>1172</v>
      </c>
      <c r="G63" s="123" t="b">
        <v>0</v>
      </c>
      <c r="H63" s="123" t="b">
        <v>0</v>
      </c>
      <c r="I63" s="123" t="b">
        <v>0</v>
      </c>
      <c r="J63" s="123" t="b">
        <v>0</v>
      </c>
      <c r="K63" s="123" t="b">
        <v>0</v>
      </c>
      <c r="L63" s="123" t="b">
        <v>0</v>
      </c>
    </row>
    <row r="64" spans="1:12" ht="15">
      <c r="A64" s="123" t="s">
        <v>827</v>
      </c>
      <c r="B64" s="123" t="s">
        <v>835</v>
      </c>
      <c r="C64" s="123">
        <v>6</v>
      </c>
      <c r="D64" s="125">
        <v>0.0024375393136592998</v>
      </c>
      <c r="E64" s="125">
        <v>2.3736780897482275</v>
      </c>
      <c r="F64" s="123" t="s">
        <v>1172</v>
      </c>
      <c r="G64" s="123" t="b">
        <v>0</v>
      </c>
      <c r="H64" s="123" t="b">
        <v>0</v>
      </c>
      <c r="I64" s="123" t="b">
        <v>0</v>
      </c>
      <c r="J64" s="123" t="b">
        <v>0</v>
      </c>
      <c r="K64" s="123" t="b">
        <v>0</v>
      </c>
      <c r="L64" s="123" t="b">
        <v>0</v>
      </c>
    </row>
    <row r="65" spans="1:12" ht="15">
      <c r="A65" s="123" t="s">
        <v>829</v>
      </c>
      <c r="B65" s="123" t="s">
        <v>865</v>
      </c>
      <c r="C65" s="123">
        <v>6</v>
      </c>
      <c r="D65" s="125">
        <v>0.0034145794257132165</v>
      </c>
      <c r="E65" s="125">
        <v>2.549769348803909</v>
      </c>
      <c r="F65" s="123" t="s">
        <v>1172</v>
      </c>
      <c r="G65" s="123" t="b">
        <v>0</v>
      </c>
      <c r="H65" s="123" t="b">
        <v>0</v>
      </c>
      <c r="I65" s="123" t="b">
        <v>0</v>
      </c>
      <c r="J65" s="123" t="b">
        <v>0</v>
      </c>
      <c r="K65" s="123" t="b">
        <v>0</v>
      </c>
      <c r="L65" s="123" t="b">
        <v>0</v>
      </c>
    </row>
    <row r="66" spans="1:12" ht="15">
      <c r="A66" s="123" t="s">
        <v>782</v>
      </c>
      <c r="B66" s="123" t="s">
        <v>784</v>
      </c>
      <c r="C66" s="123">
        <v>6</v>
      </c>
      <c r="D66" s="125">
        <v>0.0024375393136592998</v>
      </c>
      <c r="E66" s="125">
        <v>0.861794728769353</v>
      </c>
      <c r="F66" s="123" t="s">
        <v>1172</v>
      </c>
      <c r="G66" s="123" t="b">
        <v>0</v>
      </c>
      <c r="H66" s="123" t="b">
        <v>0</v>
      </c>
      <c r="I66" s="123" t="b">
        <v>0</v>
      </c>
      <c r="J66" s="123" t="b">
        <v>0</v>
      </c>
      <c r="K66" s="123" t="b">
        <v>0</v>
      </c>
      <c r="L66" s="123" t="b">
        <v>0</v>
      </c>
    </row>
    <row r="67" spans="1:12" ht="15">
      <c r="A67" s="123" t="s">
        <v>784</v>
      </c>
      <c r="B67" s="123" t="s">
        <v>783</v>
      </c>
      <c r="C67" s="123">
        <v>6</v>
      </c>
      <c r="D67" s="125">
        <v>0.0025996852100025588</v>
      </c>
      <c r="E67" s="125">
        <v>0.9239426355181976</v>
      </c>
      <c r="F67" s="123" t="s">
        <v>1172</v>
      </c>
      <c r="G67" s="123" t="b">
        <v>0</v>
      </c>
      <c r="H67" s="123" t="b">
        <v>0</v>
      </c>
      <c r="I67" s="123" t="b">
        <v>0</v>
      </c>
      <c r="J67" s="123" t="b">
        <v>0</v>
      </c>
      <c r="K67" s="123" t="b">
        <v>0</v>
      </c>
      <c r="L67" s="123" t="b">
        <v>0</v>
      </c>
    </row>
    <row r="68" spans="1:12" ht="15">
      <c r="A68" s="123" t="s">
        <v>795</v>
      </c>
      <c r="B68" s="123" t="s">
        <v>779</v>
      </c>
      <c r="C68" s="123">
        <v>5</v>
      </c>
      <c r="D68" s="125">
        <v>0.002544985825655755</v>
      </c>
      <c r="E68" s="125">
        <v>0.8984913348057647</v>
      </c>
      <c r="F68" s="123" t="s">
        <v>1172</v>
      </c>
      <c r="G68" s="123" t="b">
        <v>0</v>
      </c>
      <c r="H68" s="123" t="b">
        <v>0</v>
      </c>
      <c r="I68" s="123" t="b">
        <v>0</v>
      </c>
      <c r="J68" s="123" t="b">
        <v>0</v>
      </c>
      <c r="K68" s="123" t="b">
        <v>0</v>
      </c>
      <c r="L68" s="123" t="b">
        <v>0</v>
      </c>
    </row>
    <row r="69" spans="1:12" ht="15">
      <c r="A69" s="123" t="s">
        <v>864</v>
      </c>
      <c r="B69" s="123" t="s">
        <v>825</v>
      </c>
      <c r="C69" s="123">
        <v>5</v>
      </c>
      <c r="D69" s="125">
        <v>0.002544985825655755</v>
      </c>
      <c r="E69" s="125">
        <v>2.4194355803089027</v>
      </c>
      <c r="F69" s="123" t="s">
        <v>1172</v>
      </c>
      <c r="G69" s="123" t="b">
        <v>0</v>
      </c>
      <c r="H69" s="123" t="b">
        <v>0</v>
      </c>
      <c r="I69" s="123" t="b">
        <v>0</v>
      </c>
      <c r="J69" s="123" t="b">
        <v>0</v>
      </c>
      <c r="K69" s="123" t="b">
        <v>0</v>
      </c>
      <c r="L69" s="123" t="b">
        <v>0</v>
      </c>
    </row>
    <row r="70" spans="1:12" ht="15">
      <c r="A70" s="123" t="s">
        <v>848</v>
      </c>
      <c r="B70" s="123" t="s">
        <v>860</v>
      </c>
      <c r="C70" s="123">
        <v>5</v>
      </c>
      <c r="D70" s="125">
        <v>0.002166404341668799</v>
      </c>
      <c r="E70" s="125">
        <v>2.5285800497339705</v>
      </c>
      <c r="F70" s="123" t="s">
        <v>1172</v>
      </c>
      <c r="G70" s="123" t="b">
        <v>0</v>
      </c>
      <c r="H70" s="123" t="b">
        <v>0</v>
      </c>
      <c r="I70" s="123" t="b">
        <v>0</v>
      </c>
      <c r="J70" s="123" t="b">
        <v>0</v>
      </c>
      <c r="K70" s="123" t="b">
        <v>0</v>
      </c>
      <c r="L70" s="123" t="b">
        <v>0</v>
      </c>
    </row>
    <row r="71" spans="1:12" ht="15">
      <c r="A71" s="123" t="s">
        <v>782</v>
      </c>
      <c r="B71" s="123" t="s">
        <v>789</v>
      </c>
      <c r="C71" s="123">
        <v>5</v>
      </c>
      <c r="D71" s="125">
        <v>0.002166404341668799</v>
      </c>
      <c r="E71" s="125">
        <v>0.9734279985981158</v>
      </c>
      <c r="F71" s="123" t="s">
        <v>1172</v>
      </c>
      <c r="G71" s="123" t="b">
        <v>0</v>
      </c>
      <c r="H71" s="123" t="b">
        <v>0</v>
      </c>
      <c r="I71" s="123" t="b">
        <v>0</v>
      </c>
      <c r="J71" s="123" t="b">
        <v>0</v>
      </c>
      <c r="K71" s="123" t="b">
        <v>0</v>
      </c>
      <c r="L71" s="123" t="b">
        <v>0</v>
      </c>
    </row>
    <row r="72" spans="1:12" ht="15">
      <c r="A72" s="123" t="s">
        <v>790</v>
      </c>
      <c r="B72" s="123" t="s">
        <v>782</v>
      </c>
      <c r="C72" s="123">
        <v>5</v>
      </c>
      <c r="D72" s="125">
        <v>0.002166404341668799</v>
      </c>
      <c r="E72" s="125">
        <v>1.1483688080223646</v>
      </c>
      <c r="F72" s="123" t="s">
        <v>1172</v>
      </c>
      <c r="G72" s="123" t="b">
        <v>0</v>
      </c>
      <c r="H72" s="123" t="b">
        <v>0</v>
      </c>
      <c r="I72" s="123" t="b">
        <v>0</v>
      </c>
      <c r="J72" s="123" t="b">
        <v>0</v>
      </c>
      <c r="K72" s="123" t="b">
        <v>0</v>
      </c>
      <c r="L72" s="123" t="b">
        <v>0</v>
      </c>
    </row>
    <row r="73" spans="1:12" ht="15">
      <c r="A73" s="123" t="s">
        <v>785</v>
      </c>
      <c r="B73" s="123" t="s">
        <v>784</v>
      </c>
      <c r="C73" s="123">
        <v>5</v>
      </c>
      <c r="D73" s="125">
        <v>0.002166404341668799</v>
      </c>
      <c r="E73" s="125">
        <v>0.85516414987034</v>
      </c>
      <c r="F73" s="123" t="s">
        <v>1172</v>
      </c>
      <c r="G73" s="123" t="b">
        <v>0</v>
      </c>
      <c r="H73" s="123" t="b">
        <v>0</v>
      </c>
      <c r="I73" s="123" t="b">
        <v>0</v>
      </c>
      <c r="J73" s="123" t="b">
        <v>0</v>
      </c>
      <c r="K73" s="123" t="b">
        <v>0</v>
      </c>
      <c r="L73" s="123" t="b">
        <v>0</v>
      </c>
    </row>
    <row r="74" spans="1:12" ht="15">
      <c r="A74" s="123" t="s">
        <v>888</v>
      </c>
      <c r="B74" s="123" t="s">
        <v>870</v>
      </c>
      <c r="C74" s="123">
        <v>4</v>
      </c>
      <c r="D74" s="125">
        <v>0.0018654238323904066</v>
      </c>
      <c r="E74" s="125">
        <v>2.7538893314598334</v>
      </c>
      <c r="F74" s="123" t="s">
        <v>1172</v>
      </c>
      <c r="G74" s="123" t="b">
        <v>0</v>
      </c>
      <c r="H74" s="123" t="b">
        <v>0</v>
      </c>
      <c r="I74" s="123" t="b">
        <v>0</v>
      </c>
      <c r="J74" s="123" t="b">
        <v>0</v>
      </c>
      <c r="K74" s="123" t="b">
        <v>0</v>
      </c>
      <c r="L74" s="123" t="b">
        <v>0</v>
      </c>
    </row>
    <row r="75" spans="1:12" ht="15">
      <c r="A75" s="123" t="s">
        <v>779</v>
      </c>
      <c r="B75" s="123" t="s">
        <v>891</v>
      </c>
      <c r="C75" s="123">
        <v>4</v>
      </c>
      <c r="D75" s="125">
        <v>0.0020359886605246045</v>
      </c>
      <c r="E75" s="125">
        <v>1.4036413131256706</v>
      </c>
      <c r="F75" s="123" t="s">
        <v>1172</v>
      </c>
      <c r="G75" s="123" t="b">
        <v>0</v>
      </c>
      <c r="H75" s="123" t="b">
        <v>0</v>
      </c>
      <c r="I75" s="123" t="b">
        <v>0</v>
      </c>
      <c r="J75" s="123" t="b">
        <v>0</v>
      </c>
      <c r="K75" s="123" t="b">
        <v>0</v>
      </c>
      <c r="L75" s="123" t="b">
        <v>0</v>
      </c>
    </row>
    <row r="76" spans="1:12" ht="15">
      <c r="A76" s="123" t="s">
        <v>809</v>
      </c>
      <c r="B76" s="123" t="s">
        <v>780</v>
      </c>
      <c r="C76" s="123">
        <v>4</v>
      </c>
      <c r="D76" s="125">
        <v>0.002276386283808811</v>
      </c>
      <c r="E76" s="125">
        <v>1.1904082460654228</v>
      </c>
      <c r="F76" s="123" t="s">
        <v>1172</v>
      </c>
      <c r="G76" s="123" t="b">
        <v>0</v>
      </c>
      <c r="H76" s="123" t="b">
        <v>1</v>
      </c>
      <c r="I76" s="123" t="b">
        <v>0</v>
      </c>
      <c r="J76" s="123" t="b">
        <v>0</v>
      </c>
      <c r="K76" s="123" t="b">
        <v>0</v>
      </c>
      <c r="L76" s="123" t="b">
        <v>0</v>
      </c>
    </row>
    <row r="77" spans="1:12" ht="15">
      <c r="A77" s="123" t="s">
        <v>895</v>
      </c>
      <c r="B77" s="123" t="s">
        <v>853</v>
      </c>
      <c r="C77" s="123">
        <v>4</v>
      </c>
      <c r="D77" s="125">
        <v>0.0018654238323904066</v>
      </c>
      <c r="E77" s="125">
        <v>2.6747080854122087</v>
      </c>
      <c r="F77" s="123" t="s">
        <v>1172</v>
      </c>
      <c r="G77" s="123" t="b">
        <v>0</v>
      </c>
      <c r="H77" s="123" t="b">
        <v>0</v>
      </c>
      <c r="I77" s="123" t="b">
        <v>0</v>
      </c>
      <c r="J77" s="123" t="b">
        <v>0</v>
      </c>
      <c r="K77" s="123" t="b">
        <v>0</v>
      </c>
      <c r="L77" s="123" t="b">
        <v>0</v>
      </c>
    </row>
    <row r="78" spans="1:12" ht="15">
      <c r="A78" s="123" t="s">
        <v>898</v>
      </c>
      <c r="B78" s="123" t="s">
        <v>840</v>
      </c>
      <c r="C78" s="123">
        <v>4</v>
      </c>
      <c r="D78" s="125">
        <v>0.0018654238323904066</v>
      </c>
      <c r="E78" s="125">
        <v>2.6077612957815957</v>
      </c>
      <c r="F78" s="123" t="s">
        <v>1172</v>
      </c>
      <c r="G78" s="123" t="b">
        <v>0</v>
      </c>
      <c r="H78" s="123" t="b">
        <v>0</v>
      </c>
      <c r="I78" s="123" t="b">
        <v>0</v>
      </c>
      <c r="J78" s="123" t="b">
        <v>0</v>
      </c>
      <c r="K78" s="123" t="b">
        <v>0</v>
      </c>
      <c r="L78" s="123" t="b">
        <v>0</v>
      </c>
    </row>
    <row r="79" spans="1:12" ht="15">
      <c r="A79" s="123" t="s">
        <v>874</v>
      </c>
      <c r="B79" s="123" t="s">
        <v>875</v>
      </c>
      <c r="C79" s="123">
        <v>4</v>
      </c>
      <c r="D79" s="125">
        <v>0.0018654238323904066</v>
      </c>
      <c r="E79" s="125">
        <v>2.656979318451777</v>
      </c>
      <c r="F79" s="123" t="s">
        <v>1172</v>
      </c>
      <c r="G79" s="123" t="b">
        <v>0</v>
      </c>
      <c r="H79" s="123" t="b">
        <v>0</v>
      </c>
      <c r="I79" s="123" t="b">
        <v>0</v>
      </c>
      <c r="J79" s="123" t="b">
        <v>0</v>
      </c>
      <c r="K79" s="123" t="b">
        <v>0</v>
      </c>
      <c r="L79" s="123" t="b">
        <v>0</v>
      </c>
    </row>
    <row r="80" spans="1:12" ht="15">
      <c r="A80" s="123" t="s">
        <v>875</v>
      </c>
      <c r="B80" s="123" t="s">
        <v>790</v>
      </c>
      <c r="C80" s="123">
        <v>4</v>
      </c>
      <c r="D80" s="125">
        <v>0.0018654238323904066</v>
      </c>
      <c r="E80" s="125">
        <v>1.9757380810761898</v>
      </c>
      <c r="F80" s="123" t="s">
        <v>1172</v>
      </c>
      <c r="G80" s="123" t="b">
        <v>0</v>
      </c>
      <c r="H80" s="123" t="b">
        <v>0</v>
      </c>
      <c r="I80" s="123" t="b">
        <v>0</v>
      </c>
      <c r="J80" s="123" t="b">
        <v>0</v>
      </c>
      <c r="K80" s="123" t="b">
        <v>0</v>
      </c>
      <c r="L80" s="123" t="b">
        <v>0</v>
      </c>
    </row>
    <row r="81" spans="1:12" ht="15">
      <c r="A81" s="123" t="s">
        <v>790</v>
      </c>
      <c r="B81" s="123" t="s">
        <v>899</v>
      </c>
      <c r="C81" s="123">
        <v>4</v>
      </c>
      <c r="D81" s="125">
        <v>0.0018654238323904066</v>
      </c>
      <c r="E81" s="125">
        <v>2.072648094084246</v>
      </c>
      <c r="F81" s="123" t="s">
        <v>1172</v>
      </c>
      <c r="G81" s="123" t="b">
        <v>0</v>
      </c>
      <c r="H81" s="123" t="b">
        <v>0</v>
      </c>
      <c r="I81" s="123" t="b">
        <v>0</v>
      </c>
      <c r="J81" s="123" t="b">
        <v>0</v>
      </c>
      <c r="K81" s="123" t="b">
        <v>0</v>
      </c>
      <c r="L81" s="123" t="b">
        <v>0</v>
      </c>
    </row>
    <row r="82" spans="1:12" ht="15">
      <c r="A82" s="123" t="s">
        <v>899</v>
      </c>
      <c r="B82" s="123" t="s">
        <v>790</v>
      </c>
      <c r="C82" s="123">
        <v>4</v>
      </c>
      <c r="D82" s="125">
        <v>0.0018654238323904066</v>
      </c>
      <c r="E82" s="125">
        <v>2.072648094084246</v>
      </c>
      <c r="F82" s="123" t="s">
        <v>1172</v>
      </c>
      <c r="G82" s="123" t="b">
        <v>0</v>
      </c>
      <c r="H82" s="123" t="b">
        <v>0</v>
      </c>
      <c r="I82" s="123" t="b">
        <v>0</v>
      </c>
      <c r="J82" s="123" t="b">
        <v>0</v>
      </c>
      <c r="K82" s="123" t="b">
        <v>0</v>
      </c>
      <c r="L82" s="123" t="b">
        <v>0</v>
      </c>
    </row>
    <row r="83" spans="1:12" ht="15">
      <c r="A83" s="123" t="s">
        <v>902</v>
      </c>
      <c r="B83" s="123" t="s">
        <v>903</v>
      </c>
      <c r="C83" s="123">
        <v>4</v>
      </c>
      <c r="D83" s="125">
        <v>0.002276386283808811</v>
      </c>
      <c r="E83" s="125">
        <v>2.85079934446789</v>
      </c>
      <c r="F83" s="123" t="s">
        <v>1172</v>
      </c>
      <c r="G83" s="123" t="b">
        <v>0</v>
      </c>
      <c r="H83" s="123" t="b">
        <v>0</v>
      </c>
      <c r="I83" s="123" t="b">
        <v>0</v>
      </c>
      <c r="J83" s="123" t="b">
        <v>0</v>
      </c>
      <c r="K83" s="123" t="b">
        <v>0</v>
      </c>
      <c r="L83" s="123" t="b">
        <v>0</v>
      </c>
    </row>
    <row r="84" spans="1:12" ht="15">
      <c r="A84" s="123" t="s">
        <v>794</v>
      </c>
      <c r="B84" s="123" t="s">
        <v>806</v>
      </c>
      <c r="C84" s="123">
        <v>4</v>
      </c>
      <c r="D84" s="125">
        <v>0.002276386283808811</v>
      </c>
      <c r="E84" s="125">
        <v>1.710527053438704</v>
      </c>
      <c r="F84" s="123" t="s">
        <v>1172</v>
      </c>
      <c r="G84" s="123" t="b">
        <v>0</v>
      </c>
      <c r="H84" s="123" t="b">
        <v>0</v>
      </c>
      <c r="I84" s="123" t="b">
        <v>0</v>
      </c>
      <c r="J84" s="123" t="b">
        <v>0</v>
      </c>
      <c r="K84" s="123" t="b">
        <v>0</v>
      </c>
      <c r="L84" s="123" t="b">
        <v>0</v>
      </c>
    </row>
    <row r="85" spans="1:12" ht="15">
      <c r="A85" s="123" t="s">
        <v>806</v>
      </c>
      <c r="B85" s="123" t="s">
        <v>816</v>
      </c>
      <c r="C85" s="123">
        <v>4</v>
      </c>
      <c r="D85" s="125">
        <v>0.0020359886605246045</v>
      </c>
      <c r="E85" s="125">
        <v>1.8995832896587528</v>
      </c>
      <c r="F85" s="123" t="s">
        <v>1172</v>
      </c>
      <c r="G85" s="123" t="b">
        <v>0</v>
      </c>
      <c r="H85" s="123" t="b">
        <v>0</v>
      </c>
      <c r="I85" s="123" t="b">
        <v>0</v>
      </c>
      <c r="J85" s="123" t="b">
        <v>0</v>
      </c>
      <c r="K85" s="123" t="b">
        <v>0</v>
      </c>
      <c r="L85" s="123" t="b">
        <v>0</v>
      </c>
    </row>
    <row r="86" spans="1:12" ht="15">
      <c r="A86" s="123" t="s">
        <v>784</v>
      </c>
      <c r="B86" s="123" t="s">
        <v>784</v>
      </c>
      <c r="C86" s="123">
        <v>4</v>
      </c>
      <c r="D86" s="125">
        <v>0.0018654238323904066</v>
      </c>
      <c r="E86" s="125">
        <v>0.8106422063219718</v>
      </c>
      <c r="F86" s="123" t="s">
        <v>1172</v>
      </c>
      <c r="G86" s="123" t="b">
        <v>0</v>
      </c>
      <c r="H86" s="123" t="b">
        <v>0</v>
      </c>
      <c r="I86" s="123" t="b">
        <v>0</v>
      </c>
      <c r="J86" s="123" t="b">
        <v>0</v>
      </c>
      <c r="K86" s="123" t="b">
        <v>0</v>
      </c>
      <c r="L86" s="123" t="b">
        <v>0</v>
      </c>
    </row>
    <row r="87" spans="1:12" ht="15">
      <c r="A87" s="123" t="s">
        <v>790</v>
      </c>
      <c r="B87" s="123" t="s">
        <v>784</v>
      </c>
      <c r="C87" s="123">
        <v>4</v>
      </c>
      <c r="D87" s="125">
        <v>0.0018654238323904066</v>
      </c>
      <c r="E87" s="125">
        <v>1.021495571636865</v>
      </c>
      <c r="F87" s="123" t="s">
        <v>1172</v>
      </c>
      <c r="G87" s="123" t="b">
        <v>0</v>
      </c>
      <c r="H87" s="123" t="b">
        <v>0</v>
      </c>
      <c r="I87" s="123" t="b">
        <v>0</v>
      </c>
      <c r="J87" s="123" t="b">
        <v>0</v>
      </c>
      <c r="K87" s="123" t="b">
        <v>0</v>
      </c>
      <c r="L87" s="123" t="b">
        <v>0</v>
      </c>
    </row>
    <row r="88" spans="1:12" ht="15">
      <c r="A88" s="123" t="s">
        <v>811</v>
      </c>
      <c r="B88" s="123" t="s">
        <v>787</v>
      </c>
      <c r="C88" s="123">
        <v>4</v>
      </c>
      <c r="D88" s="125">
        <v>0.002276386283808811</v>
      </c>
      <c r="E88" s="125">
        <v>1.3524887906782894</v>
      </c>
      <c r="F88" s="123" t="s">
        <v>1172</v>
      </c>
      <c r="G88" s="123" t="b">
        <v>0</v>
      </c>
      <c r="H88" s="123" t="b">
        <v>0</v>
      </c>
      <c r="I88" s="123" t="b">
        <v>0</v>
      </c>
      <c r="J88" s="123" t="b">
        <v>0</v>
      </c>
      <c r="K88" s="123" t="b">
        <v>0</v>
      </c>
      <c r="L88" s="123" t="b">
        <v>0</v>
      </c>
    </row>
    <row r="89" spans="1:12" ht="15">
      <c r="A89" s="123" t="s">
        <v>866</v>
      </c>
      <c r="B89" s="123" t="s">
        <v>912</v>
      </c>
      <c r="C89" s="123">
        <v>4</v>
      </c>
      <c r="D89" s="125">
        <v>0.0018654238323904066</v>
      </c>
      <c r="E89" s="125">
        <v>2.6747080854122087</v>
      </c>
      <c r="F89" s="123" t="s">
        <v>1172</v>
      </c>
      <c r="G89" s="123" t="b">
        <v>0</v>
      </c>
      <c r="H89" s="123" t="b">
        <v>0</v>
      </c>
      <c r="I89" s="123" t="b">
        <v>0</v>
      </c>
      <c r="J89" s="123" t="b">
        <v>0</v>
      </c>
      <c r="K89" s="123" t="b">
        <v>0</v>
      </c>
      <c r="L89" s="123" t="b">
        <v>0</v>
      </c>
    </row>
    <row r="90" spans="1:12" ht="15">
      <c r="A90" s="123" t="s">
        <v>851</v>
      </c>
      <c r="B90" s="123" t="s">
        <v>916</v>
      </c>
      <c r="C90" s="123">
        <v>3</v>
      </c>
      <c r="D90" s="125">
        <v>0.0015269914953934532</v>
      </c>
      <c r="E90" s="125">
        <v>2.7538893314598334</v>
      </c>
      <c r="F90" s="123" t="s">
        <v>1172</v>
      </c>
      <c r="G90" s="123" t="b">
        <v>0</v>
      </c>
      <c r="H90" s="123" t="b">
        <v>0</v>
      </c>
      <c r="I90" s="123" t="b">
        <v>0</v>
      </c>
      <c r="J90" s="123" t="b">
        <v>0</v>
      </c>
      <c r="K90" s="123" t="b">
        <v>0</v>
      </c>
      <c r="L90" s="123" t="b">
        <v>0</v>
      </c>
    </row>
    <row r="91" spans="1:12" ht="15">
      <c r="A91" s="123" t="s">
        <v>916</v>
      </c>
      <c r="B91" s="123" t="s">
        <v>917</v>
      </c>
      <c r="C91" s="123">
        <v>3</v>
      </c>
      <c r="D91" s="125">
        <v>0.0015269914953934532</v>
      </c>
      <c r="E91" s="125">
        <v>2.97573808107619</v>
      </c>
      <c r="F91" s="123" t="s">
        <v>1172</v>
      </c>
      <c r="G91" s="123" t="b">
        <v>0</v>
      </c>
      <c r="H91" s="123" t="b">
        <v>0</v>
      </c>
      <c r="I91" s="123" t="b">
        <v>0</v>
      </c>
      <c r="J91" s="123" t="b">
        <v>0</v>
      </c>
      <c r="K91" s="123" t="b">
        <v>0</v>
      </c>
      <c r="L91" s="123" t="b">
        <v>0</v>
      </c>
    </row>
    <row r="92" spans="1:12" ht="15">
      <c r="A92" s="123" t="s">
        <v>917</v>
      </c>
      <c r="B92" s="123" t="s">
        <v>918</v>
      </c>
      <c r="C92" s="123">
        <v>3</v>
      </c>
      <c r="D92" s="125">
        <v>0.0015269914953934532</v>
      </c>
      <c r="E92" s="125">
        <v>2.97573808107619</v>
      </c>
      <c r="F92" s="123" t="s">
        <v>1172</v>
      </c>
      <c r="G92" s="123" t="b">
        <v>0</v>
      </c>
      <c r="H92" s="123" t="b">
        <v>0</v>
      </c>
      <c r="I92" s="123" t="b">
        <v>0</v>
      </c>
      <c r="J92" s="123" t="b">
        <v>0</v>
      </c>
      <c r="K92" s="123" t="b">
        <v>0</v>
      </c>
      <c r="L92" s="123" t="b">
        <v>0</v>
      </c>
    </row>
    <row r="93" spans="1:12" ht="15">
      <c r="A93" s="123" t="s">
        <v>918</v>
      </c>
      <c r="B93" s="123" t="s">
        <v>802</v>
      </c>
      <c r="C93" s="123">
        <v>3</v>
      </c>
      <c r="D93" s="125">
        <v>0.0015269914953934532</v>
      </c>
      <c r="E93" s="125">
        <v>2.549769348803909</v>
      </c>
      <c r="F93" s="123" t="s">
        <v>1172</v>
      </c>
      <c r="G93" s="123" t="b">
        <v>0</v>
      </c>
      <c r="H93" s="123" t="b">
        <v>0</v>
      </c>
      <c r="I93" s="123" t="b">
        <v>0</v>
      </c>
      <c r="J93" s="123" t="b">
        <v>0</v>
      </c>
      <c r="K93" s="123" t="b">
        <v>0</v>
      </c>
      <c r="L93" s="123" t="b">
        <v>0</v>
      </c>
    </row>
    <row r="94" spans="1:12" ht="15">
      <c r="A94" s="123" t="s">
        <v>802</v>
      </c>
      <c r="B94" s="123" t="s">
        <v>919</v>
      </c>
      <c r="C94" s="123">
        <v>3</v>
      </c>
      <c r="D94" s="125">
        <v>0.0015269914953934532</v>
      </c>
      <c r="E94" s="125">
        <v>2.3389159834890156</v>
      </c>
      <c r="F94" s="123" t="s">
        <v>1172</v>
      </c>
      <c r="G94" s="123" t="b">
        <v>0</v>
      </c>
      <c r="H94" s="123" t="b">
        <v>0</v>
      </c>
      <c r="I94" s="123" t="b">
        <v>0</v>
      </c>
      <c r="J94" s="123" t="b">
        <v>0</v>
      </c>
      <c r="K94" s="123" t="b">
        <v>0</v>
      </c>
      <c r="L94" s="123" t="b">
        <v>0</v>
      </c>
    </row>
    <row r="95" spans="1:12" ht="15">
      <c r="A95" s="123" t="s">
        <v>919</v>
      </c>
      <c r="B95" s="123" t="s">
        <v>920</v>
      </c>
      <c r="C95" s="123">
        <v>3</v>
      </c>
      <c r="D95" s="125">
        <v>0.0015269914953934532</v>
      </c>
      <c r="E95" s="125">
        <v>2.97573808107619</v>
      </c>
      <c r="F95" s="123" t="s">
        <v>1172</v>
      </c>
      <c r="G95" s="123" t="b">
        <v>0</v>
      </c>
      <c r="H95" s="123" t="b">
        <v>0</v>
      </c>
      <c r="I95" s="123" t="b">
        <v>0</v>
      </c>
      <c r="J95" s="123" t="b">
        <v>0</v>
      </c>
      <c r="K95" s="123" t="b">
        <v>0</v>
      </c>
      <c r="L95" s="123" t="b">
        <v>0</v>
      </c>
    </row>
    <row r="96" spans="1:12" ht="15">
      <c r="A96" s="123" t="s">
        <v>920</v>
      </c>
      <c r="B96" s="123" t="s">
        <v>802</v>
      </c>
      <c r="C96" s="123">
        <v>3</v>
      </c>
      <c r="D96" s="125">
        <v>0.0015269914953934532</v>
      </c>
      <c r="E96" s="125">
        <v>2.549769348803909</v>
      </c>
      <c r="F96" s="123" t="s">
        <v>1172</v>
      </c>
      <c r="G96" s="123" t="b">
        <v>0</v>
      </c>
      <c r="H96" s="123" t="b">
        <v>0</v>
      </c>
      <c r="I96" s="123" t="b">
        <v>0</v>
      </c>
      <c r="J96" s="123" t="b">
        <v>0</v>
      </c>
      <c r="K96" s="123" t="b">
        <v>0</v>
      </c>
      <c r="L96" s="123" t="b">
        <v>0</v>
      </c>
    </row>
    <row r="97" spans="1:12" ht="15">
      <c r="A97" s="123" t="s">
        <v>786</v>
      </c>
      <c r="B97" s="123" t="s">
        <v>813</v>
      </c>
      <c r="C97" s="123">
        <v>3</v>
      </c>
      <c r="D97" s="125">
        <v>0.0015269914953934532</v>
      </c>
      <c r="E97" s="125">
        <v>1.2551194497777032</v>
      </c>
      <c r="F97" s="123" t="s">
        <v>1172</v>
      </c>
      <c r="G97" s="123" t="b">
        <v>0</v>
      </c>
      <c r="H97" s="123" t="b">
        <v>0</v>
      </c>
      <c r="I97" s="123" t="b">
        <v>0</v>
      </c>
      <c r="J97" s="123" t="b">
        <v>0</v>
      </c>
      <c r="K97" s="123" t="b">
        <v>0</v>
      </c>
      <c r="L97" s="123" t="b">
        <v>0</v>
      </c>
    </row>
    <row r="98" spans="1:12" ht="15">
      <c r="A98" s="123" t="s">
        <v>868</v>
      </c>
      <c r="B98" s="123" t="s">
        <v>849</v>
      </c>
      <c r="C98" s="123">
        <v>3</v>
      </c>
      <c r="D98" s="125">
        <v>0.0015269914953934532</v>
      </c>
      <c r="E98" s="125">
        <v>2.549769348803909</v>
      </c>
      <c r="F98" s="123" t="s">
        <v>1172</v>
      </c>
      <c r="G98" s="123" t="b">
        <v>0</v>
      </c>
      <c r="H98" s="123" t="b">
        <v>0</v>
      </c>
      <c r="I98" s="123" t="b">
        <v>0</v>
      </c>
      <c r="J98" s="123" t="b">
        <v>0</v>
      </c>
      <c r="K98" s="123" t="b">
        <v>0</v>
      </c>
      <c r="L98" s="123" t="b">
        <v>0</v>
      </c>
    </row>
    <row r="99" spans="1:12" ht="15">
      <c r="A99" s="123" t="s">
        <v>931</v>
      </c>
      <c r="B99" s="123" t="s">
        <v>818</v>
      </c>
      <c r="C99" s="123">
        <v>3</v>
      </c>
      <c r="D99" s="125">
        <v>0.0015269914953934532</v>
      </c>
      <c r="E99" s="125">
        <v>2.452859335795852</v>
      </c>
      <c r="F99" s="123" t="s">
        <v>1172</v>
      </c>
      <c r="G99" s="123" t="b">
        <v>0</v>
      </c>
      <c r="H99" s="123" t="b">
        <v>0</v>
      </c>
      <c r="I99" s="123" t="b">
        <v>0</v>
      </c>
      <c r="J99" s="123" t="b">
        <v>0</v>
      </c>
      <c r="K99" s="123" t="b">
        <v>0</v>
      </c>
      <c r="L99" s="123" t="b">
        <v>0</v>
      </c>
    </row>
    <row r="100" spans="1:12" ht="15">
      <c r="A100" s="123" t="s">
        <v>779</v>
      </c>
      <c r="B100" s="123" t="s">
        <v>872</v>
      </c>
      <c r="C100" s="123">
        <v>3</v>
      </c>
      <c r="D100" s="125">
        <v>0.0017072897128566082</v>
      </c>
      <c r="E100" s="125">
        <v>1.1817925635093143</v>
      </c>
      <c r="F100" s="123" t="s">
        <v>1172</v>
      </c>
      <c r="G100" s="123" t="b">
        <v>0</v>
      </c>
      <c r="H100" s="123" t="b">
        <v>0</v>
      </c>
      <c r="I100" s="123" t="b">
        <v>0</v>
      </c>
      <c r="J100" s="123" t="b">
        <v>0</v>
      </c>
      <c r="K100" s="123" t="b">
        <v>0</v>
      </c>
      <c r="L100" s="123" t="b">
        <v>0</v>
      </c>
    </row>
    <row r="101" spans="1:12" ht="15">
      <c r="A101" s="123" t="s">
        <v>809</v>
      </c>
      <c r="B101" s="123" t="s">
        <v>809</v>
      </c>
      <c r="C101" s="123">
        <v>3</v>
      </c>
      <c r="D101" s="125">
        <v>0.0017072897128566082</v>
      </c>
      <c r="E101" s="125">
        <v>1.809406659309665</v>
      </c>
      <c r="F101" s="123" t="s">
        <v>1172</v>
      </c>
      <c r="G101" s="123" t="b">
        <v>0</v>
      </c>
      <c r="H101" s="123" t="b">
        <v>1</v>
      </c>
      <c r="I101" s="123" t="b">
        <v>0</v>
      </c>
      <c r="J101" s="123" t="b">
        <v>0</v>
      </c>
      <c r="K101" s="123" t="b">
        <v>1</v>
      </c>
      <c r="L101" s="123" t="b">
        <v>0</v>
      </c>
    </row>
    <row r="102" spans="1:12" ht="15">
      <c r="A102" s="123" t="s">
        <v>836</v>
      </c>
      <c r="B102" s="123" t="s">
        <v>818</v>
      </c>
      <c r="C102" s="123">
        <v>3</v>
      </c>
      <c r="D102" s="125">
        <v>0.0015269914953934532</v>
      </c>
      <c r="E102" s="125">
        <v>2.084882550501258</v>
      </c>
      <c r="F102" s="123" t="s">
        <v>1172</v>
      </c>
      <c r="G102" s="123" t="b">
        <v>0</v>
      </c>
      <c r="H102" s="123" t="b">
        <v>0</v>
      </c>
      <c r="I102" s="123" t="b">
        <v>0</v>
      </c>
      <c r="J102" s="123" t="b">
        <v>0</v>
      </c>
      <c r="K102" s="123" t="b">
        <v>0</v>
      </c>
      <c r="L102" s="123" t="b">
        <v>0</v>
      </c>
    </row>
    <row r="103" spans="1:12" ht="15">
      <c r="A103" s="123" t="s">
        <v>786</v>
      </c>
      <c r="B103" s="123" t="s">
        <v>944</v>
      </c>
      <c r="C103" s="123">
        <v>3</v>
      </c>
      <c r="D103" s="125">
        <v>0.0015269914953934532</v>
      </c>
      <c r="E103" s="125">
        <v>1.8193908802162657</v>
      </c>
      <c r="F103" s="123" t="s">
        <v>1172</v>
      </c>
      <c r="G103" s="123" t="b">
        <v>0</v>
      </c>
      <c r="H103" s="123" t="b">
        <v>0</v>
      </c>
      <c r="I103" s="123" t="b">
        <v>0</v>
      </c>
      <c r="J103" s="123" t="b">
        <v>0</v>
      </c>
      <c r="K103" s="123" t="b">
        <v>0</v>
      </c>
      <c r="L103" s="123" t="b">
        <v>0</v>
      </c>
    </row>
    <row r="104" spans="1:12" ht="15">
      <c r="A104" s="123" t="s">
        <v>780</v>
      </c>
      <c r="B104" s="123" t="s">
        <v>786</v>
      </c>
      <c r="C104" s="123">
        <v>3</v>
      </c>
      <c r="D104" s="125">
        <v>0.0015269914953934532</v>
      </c>
      <c r="E104" s="125">
        <v>0.5330841413729909</v>
      </c>
      <c r="F104" s="123" t="s">
        <v>1172</v>
      </c>
      <c r="G104" s="123" t="b">
        <v>0</v>
      </c>
      <c r="H104" s="123" t="b">
        <v>0</v>
      </c>
      <c r="I104" s="123" t="b">
        <v>0</v>
      </c>
      <c r="J104" s="123" t="b">
        <v>0</v>
      </c>
      <c r="K104" s="123" t="b">
        <v>0</v>
      </c>
      <c r="L104" s="123" t="b">
        <v>0</v>
      </c>
    </row>
    <row r="105" spans="1:12" ht="15">
      <c r="A105" s="123" t="s">
        <v>840</v>
      </c>
      <c r="B105" s="123" t="s">
        <v>840</v>
      </c>
      <c r="C105" s="123">
        <v>3</v>
      </c>
      <c r="D105" s="125">
        <v>0.0015269914953934532</v>
      </c>
      <c r="E105" s="125">
        <v>2.239784510487001</v>
      </c>
      <c r="F105" s="123" t="s">
        <v>1172</v>
      </c>
      <c r="G105" s="123" t="b">
        <v>0</v>
      </c>
      <c r="H105" s="123" t="b">
        <v>0</v>
      </c>
      <c r="I105" s="123" t="b">
        <v>0</v>
      </c>
      <c r="J105" s="123" t="b">
        <v>0</v>
      </c>
      <c r="K105" s="123" t="b">
        <v>0</v>
      </c>
      <c r="L105" s="123" t="b">
        <v>0</v>
      </c>
    </row>
    <row r="106" spans="1:12" ht="15">
      <c r="A106" s="123" t="s">
        <v>947</v>
      </c>
      <c r="B106" s="123" t="s">
        <v>780</v>
      </c>
      <c r="C106" s="123">
        <v>3</v>
      </c>
      <c r="D106" s="125">
        <v>0.0015269914953934532</v>
      </c>
      <c r="E106" s="125">
        <v>1.6675295007850852</v>
      </c>
      <c r="F106" s="123" t="s">
        <v>1172</v>
      </c>
      <c r="G106" s="123" t="b">
        <v>0</v>
      </c>
      <c r="H106" s="123" t="b">
        <v>0</v>
      </c>
      <c r="I106" s="123" t="b">
        <v>0</v>
      </c>
      <c r="J106" s="123" t="b">
        <v>0</v>
      </c>
      <c r="K106" s="123" t="b">
        <v>0</v>
      </c>
      <c r="L106" s="123" t="b">
        <v>0</v>
      </c>
    </row>
    <row r="107" spans="1:12" ht="15">
      <c r="A107" s="123" t="s">
        <v>876</v>
      </c>
      <c r="B107" s="123" t="s">
        <v>804</v>
      </c>
      <c r="C107" s="123">
        <v>3</v>
      </c>
      <c r="D107" s="125">
        <v>0.0015269914953934532</v>
      </c>
      <c r="E107" s="125">
        <v>2.189617901021271</v>
      </c>
      <c r="F107" s="123" t="s">
        <v>1172</v>
      </c>
      <c r="G107" s="123" t="b">
        <v>0</v>
      </c>
      <c r="H107" s="123" t="b">
        <v>0</v>
      </c>
      <c r="I107" s="123" t="b">
        <v>0</v>
      </c>
      <c r="J107" s="123" t="b">
        <v>0</v>
      </c>
      <c r="K107" s="123" t="b">
        <v>0</v>
      </c>
      <c r="L107" s="123" t="b">
        <v>0</v>
      </c>
    </row>
    <row r="108" spans="1:12" ht="15">
      <c r="A108" s="123" t="s">
        <v>948</v>
      </c>
      <c r="B108" s="123" t="s">
        <v>949</v>
      </c>
      <c r="C108" s="123">
        <v>3</v>
      </c>
      <c r="D108" s="125">
        <v>0.0017072897128566082</v>
      </c>
      <c r="E108" s="125">
        <v>2.97573808107619</v>
      </c>
      <c r="F108" s="123" t="s">
        <v>1172</v>
      </c>
      <c r="G108" s="123" t="b">
        <v>0</v>
      </c>
      <c r="H108" s="123" t="b">
        <v>0</v>
      </c>
      <c r="I108" s="123" t="b">
        <v>0</v>
      </c>
      <c r="J108" s="123" t="b">
        <v>0</v>
      </c>
      <c r="K108" s="123" t="b">
        <v>0</v>
      </c>
      <c r="L108" s="123" t="b">
        <v>0</v>
      </c>
    </row>
    <row r="109" spans="1:12" ht="15">
      <c r="A109" s="123" t="s">
        <v>839</v>
      </c>
      <c r="B109" s="123" t="s">
        <v>819</v>
      </c>
      <c r="C109" s="123">
        <v>3</v>
      </c>
      <c r="D109" s="125">
        <v>0.0020155115514204113</v>
      </c>
      <c r="E109" s="125">
        <v>2.181792563509314</v>
      </c>
      <c r="F109" s="123" t="s">
        <v>1172</v>
      </c>
      <c r="G109" s="123" t="b">
        <v>0</v>
      </c>
      <c r="H109" s="123" t="b">
        <v>0</v>
      </c>
      <c r="I109" s="123" t="b">
        <v>0</v>
      </c>
      <c r="J109" s="123" t="b">
        <v>0</v>
      </c>
      <c r="K109" s="123" t="b">
        <v>0</v>
      </c>
      <c r="L109" s="123" t="b">
        <v>0</v>
      </c>
    </row>
    <row r="110" spans="1:12" ht="15">
      <c r="A110" s="123" t="s">
        <v>779</v>
      </c>
      <c r="B110" s="123" t="s">
        <v>808</v>
      </c>
      <c r="C110" s="123">
        <v>3</v>
      </c>
      <c r="D110" s="125">
        <v>0.0015269914953934532</v>
      </c>
      <c r="E110" s="125">
        <v>0.8015813217977082</v>
      </c>
      <c r="F110" s="123" t="s">
        <v>1172</v>
      </c>
      <c r="G110" s="123" t="b">
        <v>0</v>
      </c>
      <c r="H110" s="123" t="b">
        <v>0</v>
      </c>
      <c r="I110" s="123" t="b">
        <v>0</v>
      </c>
      <c r="J110" s="123" t="b">
        <v>0</v>
      </c>
      <c r="K110" s="123" t="b">
        <v>0</v>
      </c>
      <c r="L110" s="123" t="b">
        <v>0</v>
      </c>
    </row>
    <row r="111" spans="1:12" ht="15">
      <c r="A111" s="123" t="s">
        <v>804</v>
      </c>
      <c r="B111" s="123" t="s">
        <v>878</v>
      </c>
      <c r="C111" s="123">
        <v>3</v>
      </c>
      <c r="D111" s="125">
        <v>0.0017072897128566082</v>
      </c>
      <c r="E111" s="125">
        <v>2.117067233872659</v>
      </c>
      <c r="F111" s="123" t="s">
        <v>1172</v>
      </c>
      <c r="G111" s="123" t="b">
        <v>0</v>
      </c>
      <c r="H111" s="123" t="b">
        <v>0</v>
      </c>
      <c r="I111" s="123" t="b">
        <v>0</v>
      </c>
      <c r="J111" s="123" t="b">
        <v>0</v>
      </c>
      <c r="K111" s="123" t="b">
        <v>0</v>
      </c>
      <c r="L111" s="123" t="b">
        <v>0</v>
      </c>
    </row>
    <row r="112" spans="1:12" ht="15">
      <c r="A112" s="123" t="s">
        <v>879</v>
      </c>
      <c r="B112" s="123" t="s">
        <v>901</v>
      </c>
      <c r="C112" s="123">
        <v>3</v>
      </c>
      <c r="D112" s="125">
        <v>0.0020155115514204113</v>
      </c>
      <c r="E112" s="125">
        <v>2.6289505948515335</v>
      </c>
      <c r="F112" s="123" t="s">
        <v>1172</v>
      </c>
      <c r="G112" s="123" t="b">
        <v>0</v>
      </c>
      <c r="H112" s="123" t="b">
        <v>0</v>
      </c>
      <c r="I112" s="123" t="b">
        <v>0</v>
      </c>
      <c r="J112" s="123" t="b">
        <v>0</v>
      </c>
      <c r="K112" s="123" t="b">
        <v>0</v>
      </c>
      <c r="L112" s="123" t="b">
        <v>0</v>
      </c>
    </row>
    <row r="113" spans="1:12" ht="15">
      <c r="A113" s="123" t="s">
        <v>805</v>
      </c>
      <c r="B113" s="123" t="s">
        <v>787</v>
      </c>
      <c r="C113" s="123">
        <v>3</v>
      </c>
      <c r="D113" s="125">
        <v>0.0015269914953934532</v>
      </c>
      <c r="E113" s="125">
        <v>1.1927879478107775</v>
      </c>
      <c r="F113" s="123" t="s">
        <v>1172</v>
      </c>
      <c r="G113" s="123" t="b">
        <v>0</v>
      </c>
      <c r="H113" s="123" t="b">
        <v>0</v>
      </c>
      <c r="I113" s="123" t="b">
        <v>0</v>
      </c>
      <c r="J113" s="123" t="b">
        <v>0</v>
      </c>
      <c r="K113" s="123" t="b">
        <v>0</v>
      </c>
      <c r="L113" s="123" t="b">
        <v>0</v>
      </c>
    </row>
    <row r="114" spans="1:12" ht="15">
      <c r="A114" s="123" t="s">
        <v>794</v>
      </c>
      <c r="B114" s="123" t="s">
        <v>610</v>
      </c>
      <c r="C114" s="123">
        <v>3</v>
      </c>
      <c r="D114" s="125">
        <v>0.0015269914953934532</v>
      </c>
      <c r="E114" s="125">
        <v>1.854433629122984</v>
      </c>
      <c r="F114" s="123" t="s">
        <v>1172</v>
      </c>
      <c r="G114" s="123" t="b">
        <v>0</v>
      </c>
      <c r="H114" s="123" t="b">
        <v>0</v>
      </c>
      <c r="I114" s="123" t="b">
        <v>0</v>
      </c>
      <c r="J114" s="123" t="b">
        <v>0</v>
      </c>
      <c r="K114" s="123" t="b">
        <v>0</v>
      </c>
      <c r="L114" s="123" t="b">
        <v>0</v>
      </c>
    </row>
    <row r="115" spans="1:12" ht="15">
      <c r="A115" s="123" t="s">
        <v>794</v>
      </c>
      <c r="B115" s="123" t="s">
        <v>816</v>
      </c>
      <c r="C115" s="123">
        <v>3</v>
      </c>
      <c r="D115" s="125">
        <v>0.0015269914953934532</v>
      </c>
      <c r="E115" s="125">
        <v>1.6581389839790157</v>
      </c>
      <c r="F115" s="123" t="s">
        <v>1172</v>
      </c>
      <c r="G115" s="123" t="b">
        <v>0</v>
      </c>
      <c r="H115" s="123" t="b">
        <v>0</v>
      </c>
      <c r="I115" s="123" t="b">
        <v>0</v>
      </c>
      <c r="J115" s="123" t="b">
        <v>0</v>
      </c>
      <c r="K115" s="123" t="b">
        <v>0</v>
      </c>
      <c r="L115" s="123" t="b">
        <v>0</v>
      </c>
    </row>
    <row r="116" spans="1:12" ht="15">
      <c r="A116" s="123" t="s">
        <v>816</v>
      </c>
      <c r="B116" s="123" t="s">
        <v>794</v>
      </c>
      <c r="C116" s="123">
        <v>3</v>
      </c>
      <c r="D116" s="125">
        <v>0.0015269914953934532</v>
      </c>
      <c r="E116" s="125">
        <v>1.7124966463016085</v>
      </c>
      <c r="F116" s="123" t="s">
        <v>1172</v>
      </c>
      <c r="G116" s="123" t="b">
        <v>0</v>
      </c>
      <c r="H116" s="123" t="b">
        <v>0</v>
      </c>
      <c r="I116" s="123" t="b">
        <v>0</v>
      </c>
      <c r="J116" s="123" t="b">
        <v>0</v>
      </c>
      <c r="K116" s="123" t="b">
        <v>0</v>
      </c>
      <c r="L116" s="123" t="b">
        <v>0</v>
      </c>
    </row>
    <row r="117" spans="1:12" ht="15">
      <c r="A117" s="123" t="s">
        <v>806</v>
      </c>
      <c r="B117" s="123" t="s">
        <v>794</v>
      </c>
      <c r="C117" s="123">
        <v>3</v>
      </c>
      <c r="D117" s="125">
        <v>0.0015269914953934532</v>
      </c>
      <c r="E117" s="125">
        <v>1.6399459791529967</v>
      </c>
      <c r="F117" s="123" t="s">
        <v>1172</v>
      </c>
      <c r="G117" s="123" t="b">
        <v>0</v>
      </c>
      <c r="H117" s="123" t="b">
        <v>0</v>
      </c>
      <c r="I117" s="123" t="b">
        <v>0</v>
      </c>
      <c r="J117" s="123" t="b">
        <v>0</v>
      </c>
      <c r="K117" s="123" t="b">
        <v>0</v>
      </c>
      <c r="L117" s="123" t="b">
        <v>0</v>
      </c>
    </row>
    <row r="118" spans="1:12" ht="15">
      <c r="A118" s="123" t="s">
        <v>806</v>
      </c>
      <c r="B118" s="123" t="s">
        <v>610</v>
      </c>
      <c r="C118" s="123">
        <v>3</v>
      </c>
      <c r="D118" s="125">
        <v>0.0015269914953934532</v>
      </c>
      <c r="E118" s="125">
        <v>1.970939198194421</v>
      </c>
      <c r="F118" s="123" t="s">
        <v>1172</v>
      </c>
      <c r="G118" s="123" t="b">
        <v>0</v>
      </c>
      <c r="H118" s="123" t="b">
        <v>0</v>
      </c>
      <c r="I118" s="123" t="b">
        <v>0</v>
      </c>
      <c r="J118" s="123" t="b">
        <v>0</v>
      </c>
      <c r="K118" s="123" t="b">
        <v>0</v>
      </c>
      <c r="L118" s="123" t="b">
        <v>0</v>
      </c>
    </row>
    <row r="119" spans="1:12" ht="15">
      <c r="A119" s="123" t="s">
        <v>610</v>
      </c>
      <c r="B119" s="123" t="s">
        <v>806</v>
      </c>
      <c r="C119" s="123">
        <v>3</v>
      </c>
      <c r="D119" s="125">
        <v>0.0015269914953934532</v>
      </c>
      <c r="E119" s="125">
        <v>1.970939198194421</v>
      </c>
      <c r="F119" s="123" t="s">
        <v>1172</v>
      </c>
      <c r="G119" s="123" t="b">
        <v>0</v>
      </c>
      <c r="H119" s="123" t="b">
        <v>0</v>
      </c>
      <c r="I119" s="123" t="b">
        <v>0</v>
      </c>
      <c r="J119" s="123" t="b">
        <v>0</v>
      </c>
      <c r="K119" s="123" t="b">
        <v>0</v>
      </c>
      <c r="L119" s="123" t="b">
        <v>0</v>
      </c>
    </row>
    <row r="120" spans="1:12" ht="15">
      <c r="A120" s="123" t="s">
        <v>816</v>
      </c>
      <c r="B120" s="123" t="s">
        <v>971</v>
      </c>
      <c r="C120" s="123">
        <v>3</v>
      </c>
      <c r="D120" s="125">
        <v>0.0015269914953934532</v>
      </c>
      <c r="E120" s="125">
        <v>2.411466650637627</v>
      </c>
      <c r="F120" s="123" t="s">
        <v>1172</v>
      </c>
      <c r="G120" s="123" t="b">
        <v>0</v>
      </c>
      <c r="H120" s="123" t="b">
        <v>0</v>
      </c>
      <c r="I120" s="123" t="b">
        <v>0</v>
      </c>
      <c r="J120" s="123" t="b">
        <v>0</v>
      </c>
      <c r="K120" s="123" t="b">
        <v>0</v>
      </c>
      <c r="L120" s="123" t="b">
        <v>0</v>
      </c>
    </row>
    <row r="121" spans="1:12" ht="15">
      <c r="A121" s="123" t="s">
        <v>825</v>
      </c>
      <c r="B121" s="123" t="s">
        <v>972</v>
      </c>
      <c r="C121" s="123">
        <v>3</v>
      </c>
      <c r="D121" s="125">
        <v>0.0015269914953934532</v>
      </c>
      <c r="E121" s="125">
        <v>2.4986168263565274</v>
      </c>
      <c r="F121" s="123" t="s">
        <v>1172</v>
      </c>
      <c r="G121" s="123" t="b">
        <v>0</v>
      </c>
      <c r="H121" s="123" t="b">
        <v>0</v>
      </c>
      <c r="I121" s="123" t="b">
        <v>0</v>
      </c>
      <c r="J121" s="123" t="b">
        <v>0</v>
      </c>
      <c r="K121" s="123" t="b">
        <v>0</v>
      </c>
      <c r="L121" s="123" t="b">
        <v>0</v>
      </c>
    </row>
    <row r="122" spans="1:12" ht="15">
      <c r="A122" s="123" t="s">
        <v>972</v>
      </c>
      <c r="B122" s="123" t="s">
        <v>973</v>
      </c>
      <c r="C122" s="123">
        <v>3</v>
      </c>
      <c r="D122" s="125">
        <v>0.0015269914953934532</v>
      </c>
      <c r="E122" s="125">
        <v>2.97573808107619</v>
      </c>
      <c r="F122" s="123" t="s">
        <v>1172</v>
      </c>
      <c r="G122" s="123" t="b">
        <v>0</v>
      </c>
      <c r="H122" s="123" t="b">
        <v>0</v>
      </c>
      <c r="I122" s="123" t="b">
        <v>0</v>
      </c>
      <c r="J122" s="123" t="b">
        <v>0</v>
      </c>
      <c r="K122" s="123" t="b">
        <v>0</v>
      </c>
      <c r="L122" s="123" t="b">
        <v>0</v>
      </c>
    </row>
    <row r="123" spans="1:12" ht="15">
      <c r="A123" s="123" t="s">
        <v>973</v>
      </c>
      <c r="B123" s="123" t="s">
        <v>974</v>
      </c>
      <c r="C123" s="123">
        <v>3</v>
      </c>
      <c r="D123" s="125">
        <v>0.0015269914953934532</v>
      </c>
      <c r="E123" s="125">
        <v>2.97573808107619</v>
      </c>
      <c r="F123" s="123" t="s">
        <v>1172</v>
      </c>
      <c r="G123" s="123" t="b">
        <v>0</v>
      </c>
      <c r="H123" s="123" t="b">
        <v>0</v>
      </c>
      <c r="I123" s="123" t="b">
        <v>0</v>
      </c>
      <c r="J123" s="123" t="b">
        <v>0</v>
      </c>
      <c r="K123" s="123" t="b">
        <v>0</v>
      </c>
      <c r="L123" s="123" t="b">
        <v>0</v>
      </c>
    </row>
    <row r="124" spans="1:12" ht="15">
      <c r="A124" s="123" t="s">
        <v>779</v>
      </c>
      <c r="B124" s="123" t="s">
        <v>799</v>
      </c>
      <c r="C124" s="123">
        <v>3</v>
      </c>
      <c r="D124" s="125">
        <v>0.0015269914953934532</v>
      </c>
      <c r="E124" s="125">
        <v>0.7668192155384963</v>
      </c>
      <c r="F124" s="123" t="s">
        <v>1172</v>
      </c>
      <c r="G124" s="123" t="b">
        <v>0</v>
      </c>
      <c r="H124" s="123" t="b">
        <v>0</v>
      </c>
      <c r="I124" s="123" t="b">
        <v>0</v>
      </c>
      <c r="J124" s="123" t="b">
        <v>0</v>
      </c>
      <c r="K124" s="123" t="b">
        <v>0</v>
      </c>
      <c r="L124" s="123" t="b">
        <v>0</v>
      </c>
    </row>
    <row r="125" spans="1:12" ht="15">
      <c r="A125" s="123" t="s">
        <v>806</v>
      </c>
      <c r="B125" s="123" t="s">
        <v>806</v>
      </c>
      <c r="C125" s="123">
        <v>3</v>
      </c>
      <c r="D125" s="125">
        <v>0.0020155115514204113</v>
      </c>
      <c r="E125" s="125">
        <v>1.702093885901841</v>
      </c>
      <c r="F125" s="123" t="s">
        <v>1172</v>
      </c>
      <c r="G125" s="123" t="b">
        <v>0</v>
      </c>
      <c r="H125" s="123" t="b">
        <v>0</v>
      </c>
      <c r="I125" s="123" t="b">
        <v>0</v>
      </c>
      <c r="J125" s="123" t="b">
        <v>0</v>
      </c>
      <c r="K125" s="123" t="b">
        <v>0</v>
      </c>
      <c r="L125" s="123" t="b">
        <v>0</v>
      </c>
    </row>
    <row r="126" spans="1:12" ht="15">
      <c r="A126" s="123" t="s">
        <v>792</v>
      </c>
      <c r="B126" s="123" t="s">
        <v>884</v>
      </c>
      <c r="C126" s="123">
        <v>3</v>
      </c>
      <c r="D126" s="125">
        <v>0.0015269914953934532</v>
      </c>
      <c r="E126" s="125">
        <v>1.9087912914455767</v>
      </c>
      <c r="F126" s="123" t="s">
        <v>1172</v>
      </c>
      <c r="G126" s="123" t="b">
        <v>0</v>
      </c>
      <c r="H126" s="123" t="b">
        <v>0</v>
      </c>
      <c r="I126" s="123" t="b">
        <v>0</v>
      </c>
      <c r="J126" s="123" t="b">
        <v>0</v>
      </c>
      <c r="K126" s="123" t="b">
        <v>0</v>
      </c>
      <c r="L126" s="123" t="b">
        <v>0</v>
      </c>
    </row>
    <row r="127" spans="1:12" ht="15">
      <c r="A127" s="123" t="s">
        <v>982</v>
      </c>
      <c r="B127" s="123" t="s">
        <v>983</v>
      </c>
      <c r="C127" s="123">
        <v>3</v>
      </c>
      <c r="D127" s="125">
        <v>0.0020155115514204113</v>
      </c>
      <c r="E127" s="125">
        <v>2.97573808107619</v>
      </c>
      <c r="F127" s="123" t="s">
        <v>1172</v>
      </c>
      <c r="G127" s="123" t="b">
        <v>0</v>
      </c>
      <c r="H127" s="123" t="b">
        <v>0</v>
      </c>
      <c r="I127" s="123" t="b">
        <v>0</v>
      </c>
      <c r="J127" s="123" t="b">
        <v>0</v>
      </c>
      <c r="K127" s="123" t="b">
        <v>0</v>
      </c>
      <c r="L127" s="123" t="b">
        <v>0</v>
      </c>
    </row>
    <row r="128" spans="1:12" ht="15">
      <c r="A128" s="123" t="s">
        <v>784</v>
      </c>
      <c r="B128" s="123" t="s">
        <v>782</v>
      </c>
      <c r="C128" s="123">
        <v>3</v>
      </c>
      <c r="D128" s="125">
        <v>0.0015269914953934532</v>
      </c>
      <c r="E128" s="125">
        <v>0.715666693091115</v>
      </c>
      <c r="F128" s="123" t="s">
        <v>1172</v>
      </c>
      <c r="G128" s="123" t="b">
        <v>0</v>
      </c>
      <c r="H128" s="123" t="b">
        <v>0</v>
      </c>
      <c r="I128" s="123" t="b">
        <v>0</v>
      </c>
      <c r="J128" s="123" t="b">
        <v>0</v>
      </c>
      <c r="K128" s="123" t="b">
        <v>0</v>
      </c>
      <c r="L128" s="123" t="b">
        <v>0</v>
      </c>
    </row>
    <row r="129" spans="1:12" ht="15">
      <c r="A129" s="123" t="s">
        <v>988</v>
      </c>
      <c r="B129" s="123" t="s">
        <v>989</v>
      </c>
      <c r="C129" s="123">
        <v>3</v>
      </c>
      <c r="D129" s="125">
        <v>0.0015269914953934532</v>
      </c>
      <c r="E129" s="125">
        <v>2.97573808107619</v>
      </c>
      <c r="F129" s="123" t="s">
        <v>1172</v>
      </c>
      <c r="G129" s="123" t="b">
        <v>0</v>
      </c>
      <c r="H129" s="123" t="b">
        <v>0</v>
      </c>
      <c r="I129" s="123" t="b">
        <v>0</v>
      </c>
      <c r="J129" s="123" t="b">
        <v>0</v>
      </c>
      <c r="K129" s="123" t="b">
        <v>0</v>
      </c>
      <c r="L129" s="123" t="b">
        <v>0</v>
      </c>
    </row>
    <row r="130" spans="1:12" ht="15">
      <c r="A130" s="123" t="s">
        <v>989</v>
      </c>
      <c r="B130" s="123" t="s">
        <v>990</v>
      </c>
      <c r="C130" s="123">
        <v>3</v>
      </c>
      <c r="D130" s="125">
        <v>0.0015269914953934532</v>
      </c>
      <c r="E130" s="125">
        <v>2.97573808107619</v>
      </c>
      <c r="F130" s="123" t="s">
        <v>1172</v>
      </c>
      <c r="G130" s="123" t="b">
        <v>0</v>
      </c>
      <c r="H130" s="123" t="b">
        <v>0</v>
      </c>
      <c r="I130" s="123" t="b">
        <v>0</v>
      </c>
      <c r="J130" s="123" t="b">
        <v>0</v>
      </c>
      <c r="K130" s="123" t="b">
        <v>0</v>
      </c>
      <c r="L130" s="123" t="b">
        <v>0</v>
      </c>
    </row>
    <row r="131" spans="1:12" ht="15">
      <c r="A131" s="123" t="s">
        <v>992</v>
      </c>
      <c r="B131" s="123" t="s">
        <v>913</v>
      </c>
      <c r="C131" s="123">
        <v>3</v>
      </c>
      <c r="D131" s="125">
        <v>0.0017072897128566082</v>
      </c>
      <c r="E131" s="125">
        <v>2.85079934446789</v>
      </c>
      <c r="F131" s="123" t="s">
        <v>1172</v>
      </c>
      <c r="G131" s="123" t="b">
        <v>0</v>
      </c>
      <c r="H131" s="123" t="b">
        <v>0</v>
      </c>
      <c r="I131" s="123" t="b">
        <v>0</v>
      </c>
      <c r="J131" s="123" t="b">
        <v>0</v>
      </c>
      <c r="K131" s="123" t="b">
        <v>0</v>
      </c>
      <c r="L131" s="123" t="b">
        <v>0</v>
      </c>
    </row>
    <row r="132" spans="1:12" ht="15">
      <c r="A132" s="123" t="s">
        <v>812</v>
      </c>
      <c r="B132" s="123" t="s">
        <v>866</v>
      </c>
      <c r="C132" s="123">
        <v>3</v>
      </c>
      <c r="D132" s="125">
        <v>0.0015269914953934532</v>
      </c>
      <c r="E132" s="125">
        <v>2.072648094084246</v>
      </c>
      <c r="F132" s="123" t="s">
        <v>1172</v>
      </c>
      <c r="G132" s="123" t="b">
        <v>0</v>
      </c>
      <c r="H132" s="123" t="b">
        <v>0</v>
      </c>
      <c r="I132" s="123" t="b">
        <v>0</v>
      </c>
      <c r="J132" s="123" t="b">
        <v>0</v>
      </c>
      <c r="K132" s="123" t="b">
        <v>0</v>
      </c>
      <c r="L132" s="123" t="b">
        <v>0</v>
      </c>
    </row>
    <row r="133" spans="1:12" ht="15">
      <c r="A133" s="123" t="s">
        <v>996</v>
      </c>
      <c r="B133" s="123" t="s">
        <v>867</v>
      </c>
      <c r="C133" s="123">
        <v>2</v>
      </c>
      <c r="D133" s="125">
        <v>0.0011381931419044056</v>
      </c>
      <c r="E133" s="125">
        <v>2.7538893314598334</v>
      </c>
      <c r="F133" s="123" t="s">
        <v>1172</v>
      </c>
      <c r="G133" s="123" t="b">
        <v>0</v>
      </c>
      <c r="H133" s="123" t="b">
        <v>0</v>
      </c>
      <c r="I133" s="123" t="b">
        <v>0</v>
      </c>
      <c r="J133" s="123" t="b">
        <v>0</v>
      </c>
      <c r="K133" s="123" t="b">
        <v>0</v>
      </c>
      <c r="L133" s="123" t="b">
        <v>0</v>
      </c>
    </row>
    <row r="134" spans="1:12" ht="15">
      <c r="A134" s="123" t="s">
        <v>886</v>
      </c>
      <c r="B134" s="123" t="s">
        <v>915</v>
      </c>
      <c r="C134" s="123">
        <v>2</v>
      </c>
      <c r="D134" s="125">
        <v>0.0011381931419044056</v>
      </c>
      <c r="E134" s="125">
        <v>2.6747080854122087</v>
      </c>
      <c r="F134" s="123" t="s">
        <v>1172</v>
      </c>
      <c r="G134" s="123" t="b">
        <v>0</v>
      </c>
      <c r="H134" s="123" t="b">
        <v>0</v>
      </c>
      <c r="I134" s="123" t="b">
        <v>0</v>
      </c>
      <c r="J134" s="123" t="b">
        <v>0</v>
      </c>
      <c r="K134" s="123" t="b">
        <v>0</v>
      </c>
      <c r="L134" s="123" t="b">
        <v>0</v>
      </c>
    </row>
    <row r="135" spans="1:12" ht="15">
      <c r="A135" s="123" t="s">
        <v>813</v>
      </c>
      <c r="B135" s="123" t="s">
        <v>1000</v>
      </c>
      <c r="C135" s="123">
        <v>2</v>
      </c>
      <c r="D135" s="125">
        <v>0.0013436743676136075</v>
      </c>
      <c r="E135" s="125">
        <v>2.411466650637627</v>
      </c>
      <c r="F135" s="123" t="s">
        <v>1172</v>
      </c>
      <c r="G135" s="123" t="b">
        <v>0</v>
      </c>
      <c r="H135" s="123" t="b">
        <v>0</v>
      </c>
      <c r="I135" s="123" t="b">
        <v>0</v>
      </c>
      <c r="J135" s="123" t="b">
        <v>0</v>
      </c>
      <c r="K135" s="123" t="b">
        <v>0</v>
      </c>
      <c r="L135" s="123" t="b">
        <v>0</v>
      </c>
    </row>
    <row r="136" spans="1:12" ht="15">
      <c r="A136" s="123" t="s">
        <v>1001</v>
      </c>
      <c r="B136" s="123" t="s">
        <v>836</v>
      </c>
      <c r="C136" s="123">
        <v>2</v>
      </c>
      <c r="D136" s="125">
        <v>0.0011381931419044056</v>
      </c>
      <c r="E136" s="125">
        <v>2.6077612957815957</v>
      </c>
      <c r="F136" s="123" t="s">
        <v>1172</v>
      </c>
      <c r="G136" s="123" t="b">
        <v>0</v>
      </c>
      <c r="H136" s="123" t="b">
        <v>0</v>
      </c>
      <c r="I136" s="123" t="b">
        <v>0</v>
      </c>
      <c r="J136" s="123" t="b">
        <v>0</v>
      </c>
      <c r="K136" s="123" t="b">
        <v>0</v>
      </c>
      <c r="L136" s="123" t="b">
        <v>0</v>
      </c>
    </row>
    <row r="137" spans="1:12" ht="15">
      <c r="A137" s="123" t="s">
        <v>1009</v>
      </c>
      <c r="B137" s="123" t="s">
        <v>1010</v>
      </c>
      <c r="C137" s="123">
        <v>2</v>
      </c>
      <c r="D137" s="125">
        <v>0.0011381931419044056</v>
      </c>
      <c r="E137" s="125">
        <v>3.151829340131871</v>
      </c>
      <c r="F137" s="123" t="s">
        <v>1172</v>
      </c>
      <c r="G137" s="123" t="b">
        <v>0</v>
      </c>
      <c r="H137" s="123" t="b">
        <v>0</v>
      </c>
      <c r="I137" s="123" t="b">
        <v>0</v>
      </c>
      <c r="J137" s="123" t="b">
        <v>0</v>
      </c>
      <c r="K137" s="123" t="b">
        <v>0</v>
      </c>
      <c r="L137" s="123" t="b">
        <v>0</v>
      </c>
    </row>
    <row r="138" spans="1:12" ht="15">
      <c r="A138" s="123" t="s">
        <v>1013</v>
      </c>
      <c r="B138" s="123" t="s">
        <v>890</v>
      </c>
      <c r="C138" s="123">
        <v>2</v>
      </c>
      <c r="D138" s="125">
        <v>0.0011381931419044056</v>
      </c>
      <c r="E138" s="125">
        <v>2.85079934446789</v>
      </c>
      <c r="F138" s="123" t="s">
        <v>1172</v>
      </c>
      <c r="G138" s="123" t="b">
        <v>0</v>
      </c>
      <c r="H138" s="123" t="b">
        <v>0</v>
      </c>
      <c r="I138" s="123" t="b">
        <v>0</v>
      </c>
      <c r="J138" s="123" t="b">
        <v>0</v>
      </c>
      <c r="K138" s="123" t="b">
        <v>1</v>
      </c>
      <c r="L138" s="123" t="b">
        <v>0</v>
      </c>
    </row>
    <row r="139" spans="1:12" ht="15">
      <c r="A139" s="123" t="s">
        <v>852</v>
      </c>
      <c r="B139" s="123" t="s">
        <v>869</v>
      </c>
      <c r="C139" s="123">
        <v>2</v>
      </c>
      <c r="D139" s="125">
        <v>0.0011381931419044056</v>
      </c>
      <c r="E139" s="125">
        <v>2.452859335795852</v>
      </c>
      <c r="F139" s="123" t="s">
        <v>1172</v>
      </c>
      <c r="G139" s="123" t="b">
        <v>0</v>
      </c>
      <c r="H139" s="123" t="b">
        <v>0</v>
      </c>
      <c r="I139" s="123" t="b">
        <v>0</v>
      </c>
      <c r="J139" s="123" t="b">
        <v>0</v>
      </c>
      <c r="K139" s="123" t="b">
        <v>0</v>
      </c>
      <c r="L139" s="123" t="b">
        <v>0</v>
      </c>
    </row>
    <row r="140" spans="1:12" ht="15">
      <c r="A140" s="123" t="s">
        <v>786</v>
      </c>
      <c r="B140" s="123" t="s">
        <v>779</v>
      </c>
      <c r="C140" s="123">
        <v>2</v>
      </c>
      <c r="D140" s="125">
        <v>0.0011381931419044056</v>
      </c>
      <c r="E140" s="125">
        <v>0.07120285321006531</v>
      </c>
      <c r="F140" s="123" t="s">
        <v>1172</v>
      </c>
      <c r="G140" s="123" t="b">
        <v>0</v>
      </c>
      <c r="H140" s="123" t="b">
        <v>0</v>
      </c>
      <c r="I140" s="123" t="b">
        <v>0</v>
      </c>
      <c r="J140" s="123" t="b">
        <v>0</v>
      </c>
      <c r="K140" s="123" t="b">
        <v>0</v>
      </c>
      <c r="L140" s="123" t="b">
        <v>0</v>
      </c>
    </row>
    <row r="141" spans="1:12" ht="15">
      <c r="A141" s="123" t="s">
        <v>818</v>
      </c>
      <c r="B141" s="123" t="s">
        <v>779</v>
      </c>
      <c r="C141" s="123">
        <v>2</v>
      </c>
      <c r="D141" s="125">
        <v>0.0011381931419044056</v>
      </c>
      <c r="E141" s="125">
        <v>0.7504287993503269</v>
      </c>
      <c r="F141" s="123" t="s">
        <v>1172</v>
      </c>
      <c r="G141" s="123" t="b">
        <v>0</v>
      </c>
      <c r="H141" s="123" t="b">
        <v>0</v>
      </c>
      <c r="I141" s="123" t="b">
        <v>0</v>
      </c>
      <c r="J141" s="123" t="b">
        <v>0</v>
      </c>
      <c r="K141" s="123" t="b">
        <v>0</v>
      </c>
      <c r="L141" s="123" t="b">
        <v>0</v>
      </c>
    </row>
    <row r="142" spans="1:12" ht="15">
      <c r="A142" s="123" t="s">
        <v>779</v>
      </c>
      <c r="B142" s="123" t="s">
        <v>818</v>
      </c>
      <c r="C142" s="123">
        <v>2</v>
      </c>
      <c r="D142" s="125">
        <v>0.0011381931419044056</v>
      </c>
      <c r="E142" s="125">
        <v>0.7046713087896518</v>
      </c>
      <c r="F142" s="123" t="s">
        <v>1172</v>
      </c>
      <c r="G142" s="123" t="b">
        <v>0</v>
      </c>
      <c r="H142" s="123" t="b">
        <v>0</v>
      </c>
      <c r="I142" s="123" t="b">
        <v>0</v>
      </c>
      <c r="J142" s="123" t="b">
        <v>0</v>
      </c>
      <c r="K142" s="123" t="b">
        <v>0</v>
      </c>
      <c r="L142" s="123" t="b">
        <v>0</v>
      </c>
    </row>
    <row r="143" spans="1:12" ht="15">
      <c r="A143" s="123" t="s">
        <v>818</v>
      </c>
      <c r="B143" s="123" t="s">
        <v>854</v>
      </c>
      <c r="C143" s="123">
        <v>2</v>
      </c>
      <c r="D143" s="125">
        <v>0.0011381931419044056</v>
      </c>
      <c r="E143" s="125">
        <v>2.0214955716368648</v>
      </c>
      <c r="F143" s="123" t="s">
        <v>1172</v>
      </c>
      <c r="G143" s="123" t="b">
        <v>0</v>
      </c>
      <c r="H143" s="123" t="b">
        <v>0</v>
      </c>
      <c r="I143" s="123" t="b">
        <v>0</v>
      </c>
      <c r="J143" s="123" t="b">
        <v>0</v>
      </c>
      <c r="K143" s="123" t="b">
        <v>0</v>
      </c>
      <c r="L143" s="123" t="b">
        <v>0</v>
      </c>
    </row>
    <row r="144" spans="1:12" ht="15">
      <c r="A144" s="123" t="s">
        <v>872</v>
      </c>
      <c r="B144" s="123" t="s">
        <v>779</v>
      </c>
      <c r="C144" s="123">
        <v>2</v>
      </c>
      <c r="D144" s="125">
        <v>0.0011381931419044056</v>
      </c>
      <c r="E144" s="125">
        <v>1.005701304453633</v>
      </c>
      <c r="F144" s="123" t="s">
        <v>1172</v>
      </c>
      <c r="G144" s="123" t="b">
        <v>0</v>
      </c>
      <c r="H144" s="123" t="b">
        <v>0</v>
      </c>
      <c r="I144" s="123" t="b">
        <v>0</v>
      </c>
      <c r="J144" s="123" t="b">
        <v>0</v>
      </c>
      <c r="K144" s="123" t="b">
        <v>0</v>
      </c>
      <c r="L144" s="123" t="b">
        <v>0</v>
      </c>
    </row>
    <row r="145" spans="1:12" ht="15">
      <c r="A145" s="123" t="s">
        <v>779</v>
      </c>
      <c r="B145" s="123" t="s">
        <v>932</v>
      </c>
      <c r="C145" s="123">
        <v>2</v>
      </c>
      <c r="D145" s="125">
        <v>0.0013436743676136075</v>
      </c>
      <c r="E145" s="125">
        <v>1.2275500540699895</v>
      </c>
      <c r="F145" s="123" t="s">
        <v>1172</v>
      </c>
      <c r="G145" s="123" t="b">
        <v>0</v>
      </c>
      <c r="H145" s="123" t="b">
        <v>0</v>
      </c>
      <c r="I145" s="123" t="b">
        <v>0</v>
      </c>
      <c r="J145" s="123" t="b">
        <v>0</v>
      </c>
      <c r="K145" s="123" t="b">
        <v>0</v>
      </c>
      <c r="L145" s="123" t="b">
        <v>0</v>
      </c>
    </row>
    <row r="146" spans="1:12" ht="15">
      <c r="A146" s="123" t="s">
        <v>779</v>
      </c>
      <c r="B146" s="123" t="s">
        <v>1021</v>
      </c>
      <c r="C146" s="123">
        <v>2</v>
      </c>
      <c r="D146" s="125">
        <v>0.0013436743676136075</v>
      </c>
      <c r="E146" s="125">
        <v>1.4036413131256706</v>
      </c>
      <c r="F146" s="123" t="s">
        <v>1172</v>
      </c>
      <c r="G146" s="123" t="b">
        <v>0</v>
      </c>
      <c r="H146" s="123" t="b">
        <v>0</v>
      </c>
      <c r="I146" s="123" t="b">
        <v>0</v>
      </c>
      <c r="J146" s="123" t="b">
        <v>1</v>
      </c>
      <c r="K146" s="123" t="b">
        <v>0</v>
      </c>
      <c r="L146" s="123" t="b">
        <v>0</v>
      </c>
    </row>
    <row r="147" spans="1:12" ht="15">
      <c r="A147" s="123" t="s">
        <v>935</v>
      </c>
      <c r="B147" s="123" t="s">
        <v>935</v>
      </c>
      <c r="C147" s="123">
        <v>2</v>
      </c>
      <c r="D147" s="125">
        <v>0.0013436743676136075</v>
      </c>
      <c r="E147" s="125">
        <v>2.7996468220205086</v>
      </c>
      <c r="F147" s="123" t="s">
        <v>1172</v>
      </c>
      <c r="G147" s="123" t="b">
        <v>0</v>
      </c>
      <c r="H147" s="123" t="b">
        <v>0</v>
      </c>
      <c r="I147" s="123" t="b">
        <v>0</v>
      </c>
      <c r="J147" s="123" t="b">
        <v>0</v>
      </c>
      <c r="K147" s="123" t="b">
        <v>0</v>
      </c>
      <c r="L147" s="123" t="b">
        <v>0</v>
      </c>
    </row>
    <row r="148" spans="1:12" ht="15">
      <c r="A148" s="123" t="s">
        <v>780</v>
      </c>
      <c r="B148" s="123" t="s">
        <v>809</v>
      </c>
      <c r="C148" s="123">
        <v>2</v>
      </c>
      <c r="D148" s="125">
        <v>0.0013436743676136075</v>
      </c>
      <c r="E148" s="125">
        <v>0.9490686527386711</v>
      </c>
      <c r="F148" s="123" t="s">
        <v>1172</v>
      </c>
      <c r="G148" s="123" t="b">
        <v>0</v>
      </c>
      <c r="H148" s="123" t="b">
        <v>0</v>
      </c>
      <c r="I148" s="123" t="b">
        <v>0</v>
      </c>
      <c r="J148" s="123" t="b">
        <v>0</v>
      </c>
      <c r="K148" s="123" t="b">
        <v>1</v>
      </c>
      <c r="L148" s="123" t="b">
        <v>0</v>
      </c>
    </row>
    <row r="149" spans="1:12" ht="15">
      <c r="A149" s="123" t="s">
        <v>938</v>
      </c>
      <c r="B149" s="123" t="s">
        <v>894</v>
      </c>
      <c r="C149" s="123">
        <v>2</v>
      </c>
      <c r="D149" s="125">
        <v>0.0011381931419044056</v>
      </c>
      <c r="E149" s="125">
        <v>2.6747080854122087</v>
      </c>
      <c r="F149" s="123" t="s">
        <v>1172</v>
      </c>
      <c r="G149" s="123" t="b">
        <v>0</v>
      </c>
      <c r="H149" s="123" t="b">
        <v>0</v>
      </c>
      <c r="I149" s="123" t="b">
        <v>0</v>
      </c>
      <c r="J149" s="123" t="b">
        <v>0</v>
      </c>
      <c r="K149" s="123" t="b">
        <v>0</v>
      </c>
      <c r="L149" s="123" t="b">
        <v>0</v>
      </c>
    </row>
    <row r="150" spans="1:12" ht="15">
      <c r="A150" s="123" t="s">
        <v>786</v>
      </c>
      <c r="B150" s="123" t="s">
        <v>836</v>
      </c>
      <c r="C150" s="123">
        <v>2</v>
      </c>
      <c r="D150" s="125">
        <v>0.0011381931419044056</v>
      </c>
      <c r="E150" s="125">
        <v>1.27532283586599</v>
      </c>
      <c r="F150" s="123" t="s">
        <v>1172</v>
      </c>
      <c r="G150" s="123" t="b">
        <v>0</v>
      </c>
      <c r="H150" s="123" t="b">
        <v>0</v>
      </c>
      <c r="I150" s="123" t="b">
        <v>0</v>
      </c>
      <c r="J150" s="123" t="b">
        <v>0</v>
      </c>
      <c r="K150" s="123" t="b">
        <v>0</v>
      </c>
      <c r="L150" s="123" t="b">
        <v>0</v>
      </c>
    </row>
    <row r="151" spans="1:12" ht="15">
      <c r="A151" s="123" t="s">
        <v>819</v>
      </c>
      <c r="B151" s="123" t="s">
        <v>941</v>
      </c>
      <c r="C151" s="123">
        <v>2</v>
      </c>
      <c r="D151" s="125">
        <v>0.0011381931419044056</v>
      </c>
      <c r="E151" s="125">
        <v>2.2767680767401712</v>
      </c>
      <c r="F151" s="123" t="s">
        <v>1172</v>
      </c>
      <c r="G151" s="123" t="b">
        <v>0</v>
      </c>
      <c r="H151" s="123" t="b">
        <v>0</v>
      </c>
      <c r="I151" s="123" t="b">
        <v>0</v>
      </c>
      <c r="J151" s="123" t="b">
        <v>0</v>
      </c>
      <c r="K151" s="123" t="b">
        <v>0</v>
      </c>
      <c r="L151" s="123" t="b">
        <v>0</v>
      </c>
    </row>
    <row r="152" spans="1:12" ht="15">
      <c r="A152" s="123" t="s">
        <v>1033</v>
      </c>
      <c r="B152" s="123" t="s">
        <v>838</v>
      </c>
      <c r="C152" s="123">
        <v>2</v>
      </c>
      <c r="D152" s="125">
        <v>0.0013436743676136075</v>
      </c>
      <c r="E152" s="125">
        <v>2.6077612957815957</v>
      </c>
      <c r="F152" s="123" t="s">
        <v>1172</v>
      </c>
      <c r="G152" s="123" t="b">
        <v>0</v>
      </c>
      <c r="H152" s="123" t="b">
        <v>1</v>
      </c>
      <c r="I152" s="123" t="b">
        <v>0</v>
      </c>
      <c r="J152" s="123" t="b">
        <v>0</v>
      </c>
      <c r="K152" s="123" t="b">
        <v>0</v>
      </c>
      <c r="L152" s="123" t="b">
        <v>0</v>
      </c>
    </row>
    <row r="153" spans="1:12" ht="15">
      <c r="A153" s="123" t="s">
        <v>780</v>
      </c>
      <c r="B153" s="123" t="s">
        <v>781</v>
      </c>
      <c r="C153" s="123">
        <v>2</v>
      </c>
      <c r="D153" s="125">
        <v>0.0011381931419044056</v>
      </c>
      <c r="E153" s="125">
        <v>0.22703334433395883</v>
      </c>
      <c r="F153" s="123" t="s">
        <v>1172</v>
      </c>
      <c r="G153" s="123" t="b">
        <v>0</v>
      </c>
      <c r="H153" s="123" t="b">
        <v>0</v>
      </c>
      <c r="I153" s="123" t="b">
        <v>0</v>
      </c>
      <c r="J153" s="123" t="b">
        <v>0</v>
      </c>
      <c r="K153" s="123" t="b">
        <v>0</v>
      </c>
      <c r="L153" s="123" t="b">
        <v>0</v>
      </c>
    </row>
    <row r="154" spans="1:12" ht="15">
      <c r="A154" s="123" t="s">
        <v>786</v>
      </c>
      <c r="B154" s="123" t="s">
        <v>786</v>
      </c>
      <c r="C154" s="123">
        <v>2</v>
      </c>
      <c r="D154" s="125">
        <v>0.0011381931419044056</v>
      </c>
      <c r="E154" s="125">
        <v>0.48695242030066044</v>
      </c>
      <c r="F154" s="123" t="s">
        <v>1172</v>
      </c>
      <c r="G154" s="123" t="b">
        <v>0</v>
      </c>
      <c r="H154" s="123" t="b">
        <v>0</v>
      </c>
      <c r="I154" s="123" t="b">
        <v>0</v>
      </c>
      <c r="J154" s="123" t="b">
        <v>0</v>
      </c>
      <c r="K154" s="123" t="b">
        <v>0</v>
      </c>
      <c r="L154" s="123" t="b">
        <v>0</v>
      </c>
    </row>
    <row r="155" spans="1:12" ht="15">
      <c r="A155" s="123" t="s">
        <v>1038</v>
      </c>
      <c r="B155" s="123" t="s">
        <v>779</v>
      </c>
      <c r="C155" s="123">
        <v>2</v>
      </c>
      <c r="D155" s="125">
        <v>0.0013436743676136075</v>
      </c>
      <c r="E155" s="125">
        <v>1.4036413131256706</v>
      </c>
      <c r="F155" s="123" t="s">
        <v>1172</v>
      </c>
      <c r="G155" s="123" t="b">
        <v>0</v>
      </c>
      <c r="H155" s="123" t="b">
        <v>1</v>
      </c>
      <c r="I155" s="123" t="b">
        <v>0</v>
      </c>
      <c r="J155" s="123" t="b">
        <v>0</v>
      </c>
      <c r="K155" s="123" t="b">
        <v>0</v>
      </c>
      <c r="L155" s="123" t="b">
        <v>0</v>
      </c>
    </row>
    <row r="156" spans="1:12" ht="15">
      <c r="A156" s="123" t="s">
        <v>790</v>
      </c>
      <c r="B156" s="123" t="s">
        <v>876</v>
      </c>
      <c r="C156" s="123">
        <v>2</v>
      </c>
      <c r="D156" s="125">
        <v>0.0011381931419044056</v>
      </c>
      <c r="E156" s="125">
        <v>1.6747080854122087</v>
      </c>
      <c r="F156" s="123" t="s">
        <v>1172</v>
      </c>
      <c r="G156" s="123" t="b">
        <v>0</v>
      </c>
      <c r="H156" s="123" t="b">
        <v>0</v>
      </c>
      <c r="I156" s="123" t="b">
        <v>0</v>
      </c>
      <c r="J156" s="123" t="b">
        <v>0</v>
      </c>
      <c r="K156" s="123" t="b">
        <v>0</v>
      </c>
      <c r="L156" s="123" t="b">
        <v>0</v>
      </c>
    </row>
    <row r="157" spans="1:12" ht="15">
      <c r="A157" s="123" t="s">
        <v>950</v>
      </c>
      <c r="B157" s="123" t="s">
        <v>780</v>
      </c>
      <c r="C157" s="123">
        <v>2</v>
      </c>
      <c r="D157" s="125">
        <v>0.0011381931419044056</v>
      </c>
      <c r="E157" s="125">
        <v>1.491438241729404</v>
      </c>
      <c r="F157" s="123" t="s">
        <v>1172</v>
      </c>
      <c r="G157" s="123" t="b">
        <v>0</v>
      </c>
      <c r="H157" s="123" t="b">
        <v>0</v>
      </c>
      <c r="I157" s="123" t="b">
        <v>0</v>
      </c>
      <c r="J157" s="123" t="b">
        <v>0</v>
      </c>
      <c r="K157" s="123" t="b">
        <v>0</v>
      </c>
      <c r="L157" s="123" t="b">
        <v>0</v>
      </c>
    </row>
    <row r="158" spans="1:12" ht="15">
      <c r="A158" s="123" t="s">
        <v>779</v>
      </c>
      <c r="B158" s="123" t="s">
        <v>841</v>
      </c>
      <c r="C158" s="123">
        <v>2</v>
      </c>
      <c r="D158" s="125">
        <v>0.0011381931419044056</v>
      </c>
      <c r="E158" s="125">
        <v>0.859573268775395</v>
      </c>
      <c r="F158" s="123" t="s">
        <v>1172</v>
      </c>
      <c r="G158" s="123" t="b">
        <v>0</v>
      </c>
      <c r="H158" s="123" t="b">
        <v>0</v>
      </c>
      <c r="I158" s="123" t="b">
        <v>0</v>
      </c>
      <c r="J158" s="123" t="b">
        <v>0</v>
      </c>
      <c r="K158" s="123" t="b">
        <v>0</v>
      </c>
      <c r="L158" s="123" t="b">
        <v>0</v>
      </c>
    </row>
    <row r="159" spans="1:12" ht="15">
      <c r="A159" s="123" t="s">
        <v>786</v>
      </c>
      <c r="B159" s="123" t="s">
        <v>854</v>
      </c>
      <c r="C159" s="123">
        <v>2</v>
      </c>
      <c r="D159" s="125">
        <v>0.0011381931419044056</v>
      </c>
      <c r="E159" s="125">
        <v>1.3422696254966033</v>
      </c>
      <c r="F159" s="123" t="s">
        <v>1172</v>
      </c>
      <c r="G159" s="123" t="b">
        <v>0</v>
      </c>
      <c r="H159" s="123" t="b">
        <v>0</v>
      </c>
      <c r="I159" s="123" t="b">
        <v>0</v>
      </c>
      <c r="J159" s="123" t="b">
        <v>0</v>
      </c>
      <c r="K159" s="123" t="b">
        <v>0</v>
      </c>
      <c r="L159" s="123" t="b">
        <v>0</v>
      </c>
    </row>
    <row r="160" spans="1:12" ht="15">
      <c r="A160" s="123" t="s">
        <v>819</v>
      </c>
      <c r="B160" s="123" t="s">
        <v>839</v>
      </c>
      <c r="C160" s="123">
        <v>2</v>
      </c>
      <c r="D160" s="125">
        <v>0.0013436743676136075</v>
      </c>
      <c r="E160" s="125">
        <v>2.151829340131871</v>
      </c>
      <c r="F160" s="123" t="s">
        <v>1172</v>
      </c>
      <c r="G160" s="123" t="b">
        <v>0</v>
      </c>
      <c r="H160" s="123" t="b">
        <v>0</v>
      </c>
      <c r="I160" s="123" t="b">
        <v>0</v>
      </c>
      <c r="J160" s="123" t="b">
        <v>0</v>
      </c>
      <c r="K160" s="123" t="b">
        <v>0</v>
      </c>
      <c r="L160" s="123" t="b">
        <v>0</v>
      </c>
    </row>
    <row r="161" spans="1:12" ht="15">
      <c r="A161" s="123" t="s">
        <v>779</v>
      </c>
      <c r="B161" s="123" t="s">
        <v>931</v>
      </c>
      <c r="C161" s="123">
        <v>2</v>
      </c>
      <c r="D161" s="125">
        <v>0.0011381931419044056</v>
      </c>
      <c r="E161" s="125">
        <v>1.2275500540699895</v>
      </c>
      <c r="F161" s="123" t="s">
        <v>1172</v>
      </c>
      <c r="G161" s="123" t="b">
        <v>0</v>
      </c>
      <c r="H161" s="123" t="b">
        <v>0</v>
      </c>
      <c r="I161" s="123" t="b">
        <v>0</v>
      </c>
      <c r="J161" s="123" t="b">
        <v>0</v>
      </c>
      <c r="K161" s="123" t="b">
        <v>0</v>
      </c>
      <c r="L161" s="123" t="b">
        <v>0</v>
      </c>
    </row>
    <row r="162" spans="1:12" ht="15">
      <c r="A162" s="123" t="s">
        <v>818</v>
      </c>
      <c r="B162" s="123" t="s">
        <v>781</v>
      </c>
      <c r="C162" s="123">
        <v>2</v>
      </c>
      <c r="D162" s="125">
        <v>0.0011381931419044056</v>
      </c>
      <c r="E162" s="125">
        <v>1.0362188284575713</v>
      </c>
      <c r="F162" s="123" t="s">
        <v>1172</v>
      </c>
      <c r="G162" s="123" t="b">
        <v>0</v>
      </c>
      <c r="H162" s="123" t="b">
        <v>0</v>
      </c>
      <c r="I162" s="123" t="b">
        <v>0</v>
      </c>
      <c r="J162" s="123" t="b">
        <v>0</v>
      </c>
      <c r="K162" s="123" t="b">
        <v>0</v>
      </c>
      <c r="L162" s="123" t="b">
        <v>0</v>
      </c>
    </row>
    <row r="163" spans="1:12" ht="15">
      <c r="A163" s="123" t="s">
        <v>779</v>
      </c>
      <c r="B163" s="123" t="s">
        <v>819</v>
      </c>
      <c r="C163" s="123">
        <v>2</v>
      </c>
      <c r="D163" s="125">
        <v>0.0011381931419044056</v>
      </c>
      <c r="E163" s="125">
        <v>0.8015813217977082</v>
      </c>
      <c r="F163" s="123" t="s">
        <v>1172</v>
      </c>
      <c r="G163" s="123" t="b">
        <v>0</v>
      </c>
      <c r="H163" s="123" t="b">
        <v>0</v>
      </c>
      <c r="I163" s="123" t="b">
        <v>0</v>
      </c>
      <c r="J163" s="123" t="b">
        <v>0</v>
      </c>
      <c r="K163" s="123" t="b">
        <v>0</v>
      </c>
      <c r="L163" s="123" t="b">
        <v>0</v>
      </c>
    </row>
    <row r="164" spans="1:12" ht="15">
      <c r="A164" s="123" t="s">
        <v>819</v>
      </c>
      <c r="B164" s="123" t="s">
        <v>781</v>
      </c>
      <c r="C164" s="123">
        <v>2</v>
      </c>
      <c r="D164" s="125">
        <v>0.0011381931419044056</v>
      </c>
      <c r="E164" s="125">
        <v>0.9904613378968962</v>
      </c>
      <c r="F164" s="123" t="s">
        <v>1172</v>
      </c>
      <c r="G164" s="123" t="b">
        <v>0</v>
      </c>
      <c r="H164" s="123" t="b">
        <v>0</v>
      </c>
      <c r="I164" s="123" t="b">
        <v>0</v>
      </c>
      <c r="J164" s="123" t="b">
        <v>0</v>
      </c>
      <c r="K164" s="123" t="b">
        <v>0</v>
      </c>
      <c r="L164" s="123" t="b">
        <v>0</v>
      </c>
    </row>
    <row r="165" spans="1:12" ht="15">
      <c r="A165" s="123" t="s">
        <v>808</v>
      </c>
      <c r="B165" s="123" t="s">
        <v>781</v>
      </c>
      <c r="C165" s="123">
        <v>2</v>
      </c>
      <c r="D165" s="125">
        <v>0.0011381931419044056</v>
      </c>
      <c r="E165" s="125">
        <v>0.9490686527386711</v>
      </c>
      <c r="F165" s="123" t="s">
        <v>1172</v>
      </c>
      <c r="G165" s="123" t="b">
        <v>0</v>
      </c>
      <c r="H165" s="123" t="b">
        <v>0</v>
      </c>
      <c r="I165" s="123" t="b">
        <v>0</v>
      </c>
      <c r="J165" s="123" t="b">
        <v>0</v>
      </c>
      <c r="K165" s="123" t="b">
        <v>0</v>
      </c>
      <c r="L165" s="123" t="b">
        <v>0</v>
      </c>
    </row>
    <row r="166" spans="1:12" ht="15">
      <c r="A166" s="123" t="s">
        <v>780</v>
      </c>
      <c r="B166" s="123" t="s">
        <v>1044</v>
      </c>
      <c r="C166" s="123">
        <v>2</v>
      </c>
      <c r="D166" s="125">
        <v>0.0011381931419044056</v>
      </c>
      <c r="E166" s="125">
        <v>1.689431342232915</v>
      </c>
      <c r="F166" s="123" t="s">
        <v>1172</v>
      </c>
      <c r="G166" s="123" t="b">
        <v>0</v>
      </c>
      <c r="H166" s="123" t="b">
        <v>0</v>
      </c>
      <c r="I166" s="123" t="b">
        <v>0</v>
      </c>
      <c r="J166" s="123" t="b">
        <v>0</v>
      </c>
      <c r="K166" s="123" t="b">
        <v>0</v>
      </c>
      <c r="L166" s="123" t="b">
        <v>0</v>
      </c>
    </row>
    <row r="167" spans="1:12" ht="15">
      <c r="A167" s="123" t="s">
        <v>1045</v>
      </c>
      <c r="B167" s="123" t="s">
        <v>1046</v>
      </c>
      <c r="C167" s="123">
        <v>2</v>
      </c>
      <c r="D167" s="125">
        <v>0.0013436743676136075</v>
      </c>
      <c r="E167" s="125">
        <v>3.151829340131871</v>
      </c>
      <c r="F167" s="123" t="s">
        <v>1172</v>
      </c>
      <c r="G167" s="123" t="b">
        <v>0</v>
      </c>
      <c r="H167" s="123" t="b">
        <v>0</v>
      </c>
      <c r="I167" s="123" t="b">
        <v>0</v>
      </c>
      <c r="J167" s="123" t="b">
        <v>0</v>
      </c>
      <c r="K167" s="123" t="b">
        <v>0</v>
      </c>
      <c r="L167" s="123" t="b">
        <v>0</v>
      </c>
    </row>
    <row r="168" spans="1:12" ht="15">
      <c r="A168" s="123" t="s">
        <v>807</v>
      </c>
      <c r="B168" s="123" t="s">
        <v>1048</v>
      </c>
      <c r="C168" s="123">
        <v>2</v>
      </c>
      <c r="D168" s="125">
        <v>0.0011381931419044056</v>
      </c>
      <c r="E168" s="125">
        <v>2.411466650637627</v>
      </c>
      <c r="F168" s="123" t="s">
        <v>1172</v>
      </c>
      <c r="G168" s="123" t="b">
        <v>0</v>
      </c>
      <c r="H168" s="123" t="b">
        <v>0</v>
      </c>
      <c r="I168" s="123" t="b">
        <v>0</v>
      </c>
      <c r="J168" s="123" t="b">
        <v>0</v>
      </c>
      <c r="K168" s="123" t="b">
        <v>0</v>
      </c>
      <c r="L168" s="123" t="b">
        <v>0</v>
      </c>
    </row>
    <row r="169" spans="1:12" ht="15">
      <c r="A169" s="123" t="s">
        <v>790</v>
      </c>
      <c r="B169" s="123" t="s">
        <v>804</v>
      </c>
      <c r="C169" s="123">
        <v>2</v>
      </c>
      <c r="D169" s="125">
        <v>0.0011381931419044056</v>
      </c>
      <c r="E169" s="125">
        <v>1.3322854045900026</v>
      </c>
      <c r="F169" s="123" t="s">
        <v>1172</v>
      </c>
      <c r="G169" s="123" t="b">
        <v>0</v>
      </c>
      <c r="H169" s="123" t="b">
        <v>0</v>
      </c>
      <c r="I169" s="123" t="b">
        <v>0</v>
      </c>
      <c r="J169" s="123" t="b">
        <v>0</v>
      </c>
      <c r="K169" s="123" t="b">
        <v>0</v>
      </c>
      <c r="L169" s="123" t="b">
        <v>0</v>
      </c>
    </row>
    <row r="170" spans="1:12" ht="15">
      <c r="A170" s="123" t="s">
        <v>959</v>
      </c>
      <c r="B170" s="123" t="s">
        <v>781</v>
      </c>
      <c r="C170" s="123">
        <v>2</v>
      </c>
      <c r="D170" s="125">
        <v>0.0013436743676136075</v>
      </c>
      <c r="E170" s="125">
        <v>1.5133400831772337</v>
      </c>
      <c r="F170" s="123" t="s">
        <v>1172</v>
      </c>
      <c r="G170" s="123" t="b">
        <v>0</v>
      </c>
      <c r="H170" s="123" t="b">
        <v>0</v>
      </c>
      <c r="I170" s="123" t="b">
        <v>0</v>
      </c>
      <c r="J170" s="123" t="b">
        <v>0</v>
      </c>
      <c r="K170" s="123" t="b">
        <v>0</v>
      </c>
      <c r="L170" s="123" t="b">
        <v>0</v>
      </c>
    </row>
    <row r="171" spans="1:12" ht="15">
      <c r="A171" s="123" t="s">
        <v>1052</v>
      </c>
      <c r="B171" s="123" t="s">
        <v>1053</v>
      </c>
      <c r="C171" s="123">
        <v>2</v>
      </c>
      <c r="D171" s="125">
        <v>0.0013436743676136075</v>
      </c>
      <c r="E171" s="125">
        <v>3.151829340131871</v>
      </c>
      <c r="F171" s="123" t="s">
        <v>1172</v>
      </c>
      <c r="G171" s="123" t="b">
        <v>0</v>
      </c>
      <c r="H171" s="123" t="b">
        <v>0</v>
      </c>
      <c r="I171" s="123" t="b">
        <v>0</v>
      </c>
      <c r="J171" s="123" t="b">
        <v>0</v>
      </c>
      <c r="K171" s="123" t="b">
        <v>0</v>
      </c>
      <c r="L171" s="123" t="b">
        <v>0</v>
      </c>
    </row>
    <row r="172" spans="1:12" ht="15">
      <c r="A172" s="123" t="s">
        <v>1055</v>
      </c>
      <c r="B172" s="123" t="s">
        <v>810</v>
      </c>
      <c r="C172" s="123">
        <v>2</v>
      </c>
      <c r="D172" s="125">
        <v>0.0011381931419044056</v>
      </c>
      <c r="E172" s="125">
        <v>2.549769348803909</v>
      </c>
      <c r="F172" s="123" t="s">
        <v>1172</v>
      </c>
      <c r="G172" s="123" t="b">
        <v>1</v>
      </c>
      <c r="H172" s="123" t="b">
        <v>0</v>
      </c>
      <c r="I172" s="123" t="b">
        <v>0</v>
      </c>
      <c r="J172" s="123" t="b">
        <v>0</v>
      </c>
      <c r="K172" s="123" t="b">
        <v>0</v>
      </c>
      <c r="L172" s="123" t="b">
        <v>0</v>
      </c>
    </row>
    <row r="173" spans="1:12" ht="15">
      <c r="A173" s="123" t="s">
        <v>960</v>
      </c>
      <c r="B173" s="123" t="s">
        <v>1056</v>
      </c>
      <c r="C173" s="123">
        <v>2</v>
      </c>
      <c r="D173" s="125">
        <v>0.0011381931419044056</v>
      </c>
      <c r="E173" s="125">
        <v>2.97573808107619</v>
      </c>
      <c r="F173" s="123" t="s">
        <v>1172</v>
      </c>
      <c r="G173" s="123" t="b">
        <v>0</v>
      </c>
      <c r="H173" s="123" t="b">
        <v>0</v>
      </c>
      <c r="I173" s="123" t="b">
        <v>0</v>
      </c>
      <c r="J173" s="123" t="b">
        <v>0</v>
      </c>
      <c r="K173" s="123" t="b">
        <v>1</v>
      </c>
      <c r="L173" s="123" t="b">
        <v>0</v>
      </c>
    </row>
    <row r="174" spans="1:12" ht="15">
      <c r="A174" s="123" t="s">
        <v>901</v>
      </c>
      <c r="B174" s="123" t="s">
        <v>879</v>
      </c>
      <c r="C174" s="123">
        <v>2</v>
      </c>
      <c r="D174" s="125">
        <v>0.0013436743676136075</v>
      </c>
      <c r="E174" s="125">
        <v>2.452859335795852</v>
      </c>
      <c r="F174" s="123" t="s">
        <v>1172</v>
      </c>
      <c r="G174" s="123" t="b">
        <v>0</v>
      </c>
      <c r="H174" s="123" t="b">
        <v>0</v>
      </c>
      <c r="I174" s="123" t="b">
        <v>0</v>
      </c>
      <c r="J174" s="123" t="b">
        <v>0</v>
      </c>
      <c r="K174" s="123" t="b">
        <v>0</v>
      </c>
      <c r="L174" s="123" t="b">
        <v>0</v>
      </c>
    </row>
    <row r="175" spans="1:12" ht="15">
      <c r="A175" s="123" t="s">
        <v>786</v>
      </c>
      <c r="B175" s="123" t="s">
        <v>895</v>
      </c>
      <c r="C175" s="123">
        <v>2</v>
      </c>
      <c r="D175" s="125">
        <v>0.0011381931419044056</v>
      </c>
      <c r="E175" s="125">
        <v>1.5183608845522847</v>
      </c>
      <c r="F175" s="123" t="s">
        <v>1172</v>
      </c>
      <c r="G175" s="123" t="b">
        <v>0</v>
      </c>
      <c r="H175" s="123" t="b">
        <v>0</v>
      </c>
      <c r="I175" s="123" t="b">
        <v>0</v>
      </c>
      <c r="J175" s="123" t="b">
        <v>0</v>
      </c>
      <c r="K175" s="123" t="b">
        <v>0</v>
      </c>
      <c r="L175" s="123" t="b">
        <v>0</v>
      </c>
    </row>
    <row r="176" spans="1:12" ht="15">
      <c r="A176" s="123" t="s">
        <v>1060</v>
      </c>
      <c r="B176" s="123" t="s">
        <v>837</v>
      </c>
      <c r="C176" s="123">
        <v>2</v>
      </c>
      <c r="D176" s="125">
        <v>0.0011381931419044056</v>
      </c>
      <c r="E176" s="125">
        <v>2.6077612957815957</v>
      </c>
      <c r="F176" s="123" t="s">
        <v>1172</v>
      </c>
      <c r="G176" s="123" t="b">
        <v>0</v>
      </c>
      <c r="H176" s="123" t="b">
        <v>0</v>
      </c>
      <c r="I176" s="123" t="b">
        <v>0</v>
      </c>
      <c r="J176" s="123" t="b">
        <v>0</v>
      </c>
      <c r="K176" s="123" t="b">
        <v>0</v>
      </c>
      <c r="L176" s="123" t="b">
        <v>0</v>
      </c>
    </row>
    <row r="177" spans="1:12" ht="15">
      <c r="A177" s="123" t="s">
        <v>821</v>
      </c>
      <c r="B177" s="123" t="s">
        <v>837</v>
      </c>
      <c r="C177" s="123">
        <v>2</v>
      </c>
      <c r="D177" s="125">
        <v>0.0011381931419044056</v>
      </c>
      <c r="E177" s="125">
        <v>1.9545487820062517</v>
      </c>
      <c r="F177" s="123" t="s">
        <v>1172</v>
      </c>
      <c r="G177" s="123" t="b">
        <v>0</v>
      </c>
      <c r="H177" s="123" t="b">
        <v>0</v>
      </c>
      <c r="I177" s="123" t="b">
        <v>0</v>
      </c>
      <c r="J177" s="123" t="b">
        <v>0</v>
      </c>
      <c r="K177" s="123" t="b">
        <v>0</v>
      </c>
      <c r="L177" s="123" t="b">
        <v>0</v>
      </c>
    </row>
    <row r="178" spans="1:12" ht="15">
      <c r="A178" s="123" t="s">
        <v>789</v>
      </c>
      <c r="B178" s="123" t="s">
        <v>791</v>
      </c>
      <c r="C178" s="123">
        <v>2</v>
      </c>
      <c r="D178" s="125">
        <v>0.0011381931419044056</v>
      </c>
      <c r="E178" s="125">
        <v>0.9692720388269581</v>
      </c>
      <c r="F178" s="123" t="s">
        <v>1172</v>
      </c>
      <c r="G178" s="123" t="b">
        <v>0</v>
      </c>
      <c r="H178" s="123" t="b">
        <v>0</v>
      </c>
      <c r="I178" s="123" t="b">
        <v>0</v>
      </c>
      <c r="J178" s="123" t="b">
        <v>0</v>
      </c>
      <c r="K178" s="123" t="b">
        <v>0</v>
      </c>
      <c r="L178" s="123" t="b">
        <v>0</v>
      </c>
    </row>
    <row r="179" spans="1:12" ht="15">
      <c r="A179" s="123" t="s">
        <v>786</v>
      </c>
      <c r="B179" s="123" t="s">
        <v>902</v>
      </c>
      <c r="C179" s="123">
        <v>2</v>
      </c>
      <c r="D179" s="125">
        <v>0.0011381931419044056</v>
      </c>
      <c r="E179" s="125">
        <v>1.5183608845522847</v>
      </c>
      <c r="F179" s="123" t="s">
        <v>1172</v>
      </c>
      <c r="G179" s="123" t="b">
        <v>0</v>
      </c>
      <c r="H179" s="123" t="b">
        <v>0</v>
      </c>
      <c r="I179" s="123" t="b">
        <v>0</v>
      </c>
      <c r="J179" s="123" t="b">
        <v>0</v>
      </c>
      <c r="K179" s="123" t="b">
        <v>0</v>
      </c>
      <c r="L179" s="123" t="b">
        <v>0</v>
      </c>
    </row>
    <row r="180" spans="1:12" ht="15">
      <c r="A180" s="123" t="s">
        <v>903</v>
      </c>
      <c r="B180" s="123" t="s">
        <v>805</v>
      </c>
      <c r="C180" s="123">
        <v>2</v>
      </c>
      <c r="D180" s="125">
        <v>0.0011381931419044056</v>
      </c>
      <c r="E180" s="125">
        <v>2.0378859878250344</v>
      </c>
      <c r="F180" s="123" t="s">
        <v>1172</v>
      </c>
      <c r="G180" s="123" t="b">
        <v>0</v>
      </c>
      <c r="H180" s="123" t="b">
        <v>0</v>
      </c>
      <c r="I180" s="123" t="b">
        <v>0</v>
      </c>
      <c r="J180" s="123" t="b">
        <v>0</v>
      </c>
      <c r="K180" s="123" t="b">
        <v>0</v>
      </c>
      <c r="L180" s="123" t="b">
        <v>0</v>
      </c>
    </row>
    <row r="181" spans="1:12" ht="15">
      <c r="A181" s="123" t="s">
        <v>796</v>
      </c>
      <c r="B181" s="123" t="s">
        <v>902</v>
      </c>
      <c r="C181" s="123">
        <v>2</v>
      </c>
      <c r="D181" s="125">
        <v>0.0011381931419044056</v>
      </c>
      <c r="E181" s="125">
        <v>1.9477093574759463</v>
      </c>
      <c r="F181" s="123" t="s">
        <v>1172</v>
      </c>
      <c r="G181" s="123" t="b">
        <v>0</v>
      </c>
      <c r="H181" s="123" t="b">
        <v>0</v>
      </c>
      <c r="I181" s="123" t="b">
        <v>0</v>
      </c>
      <c r="J181" s="123" t="b">
        <v>0</v>
      </c>
      <c r="K181" s="123" t="b">
        <v>0</v>
      </c>
      <c r="L181" s="123" t="b">
        <v>0</v>
      </c>
    </row>
    <row r="182" spans="1:12" ht="15">
      <c r="A182" s="123" t="s">
        <v>903</v>
      </c>
      <c r="B182" s="123" t="s">
        <v>1066</v>
      </c>
      <c r="C182" s="123">
        <v>2</v>
      </c>
      <c r="D182" s="125">
        <v>0.0011381931419044056</v>
      </c>
      <c r="E182" s="125">
        <v>2.85079934446789</v>
      </c>
      <c r="F182" s="123" t="s">
        <v>1172</v>
      </c>
      <c r="G182" s="123" t="b">
        <v>0</v>
      </c>
      <c r="H182" s="123" t="b">
        <v>0</v>
      </c>
      <c r="I182" s="123" t="b">
        <v>0</v>
      </c>
      <c r="J182" s="123" t="b">
        <v>0</v>
      </c>
      <c r="K182" s="123" t="b">
        <v>0</v>
      </c>
      <c r="L182" s="123" t="b">
        <v>0</v>
      </c>
    </row>
    <row r="183" spans="1:12" ht="15">
      <c r="A183" s="123" t="s">
        <v>1066</v>
      </c>
      <c r="B183" s="123" t="s">
        <v>943</v>
      </c>
      <c r="C183" s="123">
        <v>2</v>
      </c>
      <c r="D183" s="125">
        <v>0.0011381931419044056</v>
      </c>
      <c r="E183" s="125">
        <v>2.97573808107619</v>
      </c>
      <c r="F183" s="123" t="s">
        <v>1172</v>
      </c>
      <c r="G183" s="123" t="b">
        <v>0</v>
      </c>
      <c r="H183" s="123" t="b">
        <v>0</v>
      </c>
      <c r="I183" s="123" t="b">
        <v>0</v>
      </c>
      <c r="J183" s="123" t="b">
        <v>0</v>
      </c>
      <c r="K183" s="123" t="b">
        <v>0</v>
      </c>
      <c r="L183" s="123" t="b">
        <v>0</v>
      </c>
    </row>
    <row r="184" spans="1:12" ht="15">
      <c r="A184" s="123" t="s">
        <v>943</v>
      </c>
      <c r="B184" s="123" t="s">
        <v>1067</v>
      </c>
      <c r="C184" s="123">
        <v>2</v>
      </c>
      <c r="D184" s="125">
        <v>0.0011381931419044056</v>
      </c>
      <c r="E184" s="125">
        <v>2.97573808107619</v>
      </c>
      <c r="F184" s="123" t="s">
        <v>1172</v>
      </c>
      <c r="G184" s="123" t="b">
        <v>0</v>
      </c>
      <c r="H184" s="123" t="b">
        <v>0</v>
      </c>
      <c r="I184" s="123" t="b">
        <v>0</v>
      </c>
      <c r="J184" s="123" t="b">
        <v>0</v>
      </c>
      <c r="K184" s="123" t="b">
        <v>0</v>
      </c>
      <c r="L184" s="123" t="b">
        <v>0</v>
      </c>
    </row>
    <row r="185" spans="1:12" ht="15">
      <c r="A185" s="123" t="s">
        <v>1067</v>
      </c>
      <c r="B185" s="123" t="s">
        <v>1068</v>
      </c>
      <c r="C185" s="123">
        <v>2</v>
      </c>
      <c r="D185" s="125">
        <v>0.0011381931419044056</v>
      </c>
      <c r="E185" s="125">
        <v>3.151829340131871</v>
      </c>
      <c r="F185" s="123" t="s">
        <v>1172</v>
      </c>
      <c r="G185" s="123" t="b">
        <v>0</v>
      </c>
      <c r="H185" s="123" t="b">
        <v>0</v>
      </c>
      <c r="I185" s="123" t="b">
        <v>0</v>
      </c>
      <c r="J185" s="123" t="b">
        <v>0</v>
      </c>
      <c r="K185" s="123" t="b">
        <v>0</v>
      </c>
      <c r="L185" s="123" t="b">
        <v>0</v>
      </c>
    </row>
    <row r="186" spans="1:12" ht="15">
      <c r="A186" s="123" t="s">
        <v>1068</v>
      </c>
      <c r="B186" s="123" t="s">
        <v>1069</v>
      </c>
      <c r="C186" s="123">
        <v>2</v>
      </c>
      <c r="D186" s="125">
        <v>0.0011381931419044056</v>
      </c>
      <c r="E186" s="125">
        <v>3.151829340131871</v>
      </c>
      <c r="F186" s="123" t="s">
        <v>1172</v>
      </c>
      <c r="G186" s="123" t="b">
        <v>0</v>
      </c>
      <c r="H186" s="123" t="b">
        <v>0</v>
      </c>
      <c r="I186" s="123" t="b">
        <v>0</v>
      </c>
      <c r="J186" s="123" t="b">
        <v>0</v>
      </c>
      <c r="K186" s="123" t="b">
        <v>0</v>
      </c>
      <c r="L186" s="123" t="b">
        <v>0</v>
      </c>
    </row>
    <row r="187" spans="1:12" ht="15">
      <c r="A187" s="123" t="s">
        <v>1069</v>
      </c>
      <c r="B187" s="123" t="s">
        <v>1070</v>
      </c>
      <c r="C187" s="123">
        <v>2</v>
      </c>
      <c r="D187" s="125">
        <v>0.0011381931419044056</v>
      </c>
      <c r="E187" s="125">
        <v>3.151829340131871</v>
      </c>
      <c r="F187" s="123" t="s">
        <v>1172</v>
      </c>
      <c r="G187" s="123" t="b">
        <v>0</v>
      </c>
      <c r="H187" s="123" t="b">
        <v>0</v>
      </c>
      <c r="I187" s="123" t="b">
        <v>0</v>
      </c>
      <c r="J187" s="123" t="b">
        <v>0</v>
      </c>
      <c r="K187" s="123" t="b">
        <v>0</v>
      </c>
      <c r="L187" s="123" t="b">
        <v>0</v>
      </c>
    </row>
    <row r="188" spans="1:12" ht="15">
      <c r="A188" s="123" t="s">
        <v>1070</v>
      </c>
      <c r="B188" s="123" t="s">
        <v>1071</v>
      </c>
      <c r="C188" s="123">
        <v>2</v>
      </c>
      <c r="D188" s="125">
        <v>0.0011381931419044056</v>
      </c>
      <c r="E188" s="125">
        <v>3.151829340131871</v>
      </c>
      <c r="F188" s="123" t="s">
        <v>1172</v>
      </c>
      <c r="G188" s="123" t="b">
        <v>0</v>
      </c>
      <c r="H188" s="123" t="b">
        <v>0</v>
      </c>
      <c r="I188" s="123" t="b">
        <v>0</v>
      </c>
      <c r="J188" s="123" t="b">
        <v>0</v>
      </c>
      <c r="K188" s="123" t="b">
        <v>0</v>
      </c>
      <c r="L188" s="123" t="b">
        <v>0</v>
      </c>
    </row>
    <row r="189" spans="1:12" ht="15">
      <c r="A189" s="123" t="s">
        <v>1071</v>
      </c>
      <c r="B189" s="123" t="s">
        <v>1072</v>
      </c>
      <c r="C189" s="123">
        <v>2</v>
      </c>
      <c r="D189" s="125">
        <v>0.0011381931419044056</v>
      </c>
      <c r="E189" s="125">
        <v>3.151829340131871</v>
      </c>
      <c r="F189" s="123" t="s">
        <v>1172</v>
      </c>
      <c r="G189" s="123" t="b">
        <v>0</v>
      </c>
      <c r="H189" s="123" t="b">
        <v>0</v>
      </c>
      <c r="I189" s="123" t="b">
        <v>0</v>
      </c>
      <c r="J189" s="123" t="b">
        <v>0</v>
      </c>
      <c r="K189" s="123" t="b">
        <v>0</v>
      </c>
      <c r="L189" s="123" t="b">
        <v>0</v>
      </c>
    </row>
    <row r="190" spans="1:12" ht="15">
      <c r="A190" s="123" t="s">
        <v>1072</v>
      </c>
      <c r="B190" s="123" t="s">
        <v>1073</v>
      </c>
      <c r="C190" s="123">
        <v>2</v>
      </c>
      <c r="D190" s="125">
        <v>0.0011381931419044056</v>
      </c>
      <c r="E190" s="125">
        <v>3.151829340131871</v>
      </c>
      <c r="F190" s="123" t="s">
        <v>1172</v>
      </c>
      <c r="G190" s="123" t="b">
        <v>0</v>
      </c>
      <c r="H190" s="123" t="b">
        <v>0</v>
      </c>
      <c r="I190" s="123" t="b">
        <v>0</v>
      </c>
      <c r="J190" s="123" t="b">
        <v>0</v>
      </c>
      <c r="K190" s="123" t="b">
        <v>0</v>
      </c>
      <c r="L190" s="123" t="b">
        <v>0</v>
      </c>
    </row>
    <row r="191" spans="1:12" ht="15">
      <c r="A191" s="123" t="s">
        <v>1073</v>
      </c>
      <c r="B191" s="123" t="s">
        <v>963</v>
      </c>
      <c r="C191" s="123">
        <v>2</v>
      </c>
      <c r="D191" s="125">
        <v>0.0011381931419044056</v>
      </c>
      <c r="E191" s="125">
        <v>2.97573808107619</v>
      </c>
      <c r="F191" s="123" t="s">
        <v>1172</v>
      </c>
      <c r="G191" s="123" t="b">
        <v>0</v>
      </c>
      <c r="H191" s="123" t="b">
        <v>0</v>
      </c>
      <c r="I191" s="123" t="b">
        <v>0</v>
      </c>
      <c r="J191" s="123" t="b">
        <v>0</v>
      </c>
      <c r="K191" s="123" t="b">
        <v>0</v>
      </c>
      <c r="L191" s="123" t="b">
        <v>0</v>
      </c>
    </row>
    <row r="192" spans="1:12" ht="15">
      <c r="A192" s="123" t="s">
        <v>963</v>
      </c>
      <c r="B192" s="123" t="s">
        <v>1074</v>
      </c>
      <c r="C192" s="123">
        <v>2</v>
      </c>
      <c r="D192" s="125">
        <v>0.0011381931419044056</v>
      </c>
      <c r="E192" s="125">
        <v>2.97573808107619</v>
      </c>
      <c r="F192" s="123" t="s">
        <v>1172</v>
      </c>
      <c r="G192" s="123" t="b">
        <v>0</v>
      </c>
      <c r="H192" s="123" t="b">
        <v>0</v>
      </c>
      <c r="I192" s="123" t="b">
        <v>0</v>
      </c>
      <c r="J192" s="123" t="b">
        <v>0</v>
      </c>
      <c r="K192" s="123" t="b">
        <v>0</v>
      </c>
      <c r="L192" s="123" t="b">
        <v>0</v>
      </c>
    </row>
    <row r="193" spans="1:12" ht="15">
      <c r="A193" s="123" t="s">
        <v>1074</v>
      </c>
      <c r="B193" s="123" t="s">
        <v>964</v>
      </c>
      <c r="C193" s="123">
        <v>2</v>
      </c>
      <c r="D193" s="125">
        <v>0.0011381931419044056</v>
      </c>
      <c r="E193" s="125">
        <v>2.97573808107619</v>
      </c>
      <c r="F193" s="123" t="s">
        <v>1172</v>
      </c>
      <c r="G193" s="123" t="b">
        <v>0</v>
      </c>
      <c r="H193" s="123" t="b">
        <v>0</v>
      </c>
      <c r="I193" s="123" t="b">
        <v>0</v>
      </c>
      <c r="J193" s="123" t="b">
        <v>0</v>
      </c>
      <c r="K193" s="123" t="b">
        <v>0</v>
      </c>
      <c r="L193" s="123" t="b">
        <v>0</v>
      </c>
    </row>
    <row r="194" spans="1:12" ht="15">
      <c r="A194" s="123" t="s">
        <v>964</v>
      </c>
      <c r="B194" s="123" t="s">
        <v>954</v>
      </c>
      <c r="C194" s="123">
        <v>2</v>
      </c>
      <c r="D194" s="125">
        <v>0.0011381931419044056</v>
      </c>
      <c r="E194" s="125">
        <v>2.7996468220205086</v>
      </c>
      <c r="F194" s="123" t="s">
        <v>1172</v>
      </c>
      <c r="G194" s="123" t="b">
        <v>0</v>
      </c>
      <c r="H194" s="123" t="b">
        <v>0</v>
      </c>
      <c r="I194" s="123" t="b">
        <v>0</v>
      </c>
      <c r="J194" s="123" t="b">
        <v>0</v>
      </c>
      <c r="K194" s="123" t="b">
        <v>0</v>
      </c>
      <c r="L194" s="123" t="b">
        <v>0</v>
      </c>
    </row>
    <row r="195" spans="1:12" ht="15">
      <c r="A195" s="123" t="s">
        <v>954</v>
      </c>
      <c r="B195" s="123" t="s">
        <v>965</v>
      </c>
      <c r="C195" s="123">
        <v>2</v>
      </c>
      <c r="D195" s="125">
        <v>0.0011381931419044056</v>
      </c>
      <c r="E195" s="125">
        <v>2.7996468220205086</v>
      </c>
      <c r="F195" s="123" t="s">
        <v>1172</v>
      </c>
      <c r="G195" s="123" t="b">
        <v>0</v>
      </c>
      <c r="H195" s="123" t="b">
        <v>0</v>
      </c>
      <c r="I195" s="123" t="b">
        <v>0</v>
      </c>
      <c r="J195" s="123" t="b">
        <v>0</v>
      </c>
      <c r="K195" s="123" t="b">
        <v>0</v>
      </c>
      <c r="L195" s="123" t="b">
        <v>0</v>
      </c>
    </row>
    <row r="196" spans="1:12" ht="15">
      <c r="A196" s="123" t="s">
        <v>965</v>
      </c>
      <c r="B196" s="123" t="s">
        <v>956</v>
      </c>
      <c r="C196" s="123">
        <v>2</v>
      </c>
      <c r="D196" s="125">
        <v>0.0011381931419044056</v>
      </c>
      <c r="E196" s="125">
        <v>2.7996468220205086</v>
      </c>
      <c r="F196" s="123" t="s">
        <v>1172</v>
      </c>
      <c r="G196" s="123" t="b">
        <v>0</v>
      </c>
      <c r="H196" s="123" t="b">
        <v>0</v>
      </c>
      <c r="I196" s="123" t="b">
        <v>0</v>
      </c>
      <c r="J196" s="123" t="b">
        <v>0</v>
      </c>
      <c r="K196" s="123" t="b">
        <v>0</v>
      </c>
      <c r="L196" s="123" t="b">
        <v>0</v>
      </c>
    </row>
    <row r="197" spans="1:12" ht="15">
      <c r="A197" s="123" t="s">
        <v>956</v>
      </c>
      <c r="B197" s="123" t="s">
        <v>1075</v>
      </c>
      <c r="C197" s="123">
        <v>2</v>
      </c>
      <c r="D197" s="125">
        <v>0.0011381931419044056</v>
      </c>
      <c r="E197" s="125">
        <v>2.97573808107619</v>
      </c>
      <c r="F197" s="123" t="s">
        <v>1172</v>
      </c>
      <c r="G197" s="123" t="b">
        <v>0</v>
      </c>
      <c r="H197" s="123" t="b">
        <v>0</v>
      </c>
      <c r="I197" s="123" t="b">
        <v>0</v>
      </c>
      <c r="J197" s="123" t="b">
        <v>0</v>
      </c>
      <c r="K197" s="123" t="b">
        <v>0</v>
      </c>
      <c r="L197" s="123" t="b">
        <v>0</v>
      </c>
    </row>
    <row r="198" spans="1:12" ht="15">
      <c r="A198" s="123" t="s">
        <v>1075</v>
      </c>
      <c r="B198" s="123" t="s">
        <v>904</v>
      </c>
      <c r="C198" s="123">
        <v>2</v>
      </c>
      <c r="D198" s="125">
        <v>0.0011381931419044056</v>
      </c>
      <c r="E198" s="125">
        <v>2.85079934446789</v>
      </c>
      <c r="F198" s="123" t="s">
        <v>1172</v>
      </c>
      <c r="G198" s="123" t="b">
        <v>0</v>
      </c>
      <c r="H198" s="123" t="b">
        <v>0</v>
      </c>
      <c r="I198" s="123" t="b">
        <v>0</v>
      </c>
      <c r="J198" s="123" t="b">
        <v>0</v>
      </c>
      <c r="K198" s="123" t="b">
        <v>0</v>
      </c>
      <c r="L198" s="123" t="b">
        <v>0</v>
      </c>
    </row>
    <row r="199" spans="1:12" ht="15">
      <c r="A199" s="123" t="s">
        <v>904</v>
      </c>
      <c r="B199" s="123" t="s">
        <v>880</v>
      </c>
      <c r="C199" s="123">
        <v>2</v>
      </c>
      <c r="D199" s="125">
        <v>0.0011381931419044056</v>
      </c>
      <c r="E199" s="125">
        <v>2.549769348803909</v>
      </c>
      <c r="F199" s="123" t="s">
        <v>1172</v>
      </c>
      <c r="G199" s="123" t="b">
        <v>0</v>
      </c>
      <c r="H199" s="123" t="b">
        <v>0</v>
      </c>
      <c r="I199" s="123" t="b">
        <v>0</v>
      </c>
      <c r="J199" s="123" t="b">
        <v>0</v>
      </c>
      <c r="K199" s="123" t="b">
        <v>0</v>
      </c>
      <c r="L199" s="123" t="b">
        <v>0</v>
      </c>
    </row>
    <row r="200" spans="1:12" ht="15">
      <c r="A200" s="123" t="s">
        <v>880</v>
      </c>
      <c r="B200" s="123" t="s">
        <v>958</v>
      </c>
      <c r="C200" s="123">
        <v>2</v>
      </c>
      <c r="D200" s="125">
        <v>0.0011381931419044056</v>
      </c>
      <c r="E200" s="125">
        <v>2.577798072404152</v>
      </c>
      <c r="F200" s="123" t="s">
        <v>1172</v>
      </c>
      <c r="G200" s="123" t="b">
        <v>0</v>
      </c>
      <c r="H200" s="123" t="b">
        <v>0</v>
      </c>
      <c r="I200" s="123" t="b">
        <v>0</v>
      </c>
      <c r="J200" s="123" t="b">
        <v>0</v>
      </c>
      <c r="K200" s="123" t="b">
        <v>0</v>
      </c>
      <c r="L200" s="123" t="b">
        <v>0</v>
      </c>
    </row>
    <row r="201" spans="1:12" ht="15">
      <c r="A201" s="123" t="s">
        <v>800</v>
      </c>
      <c r="B201" s="123" t="s">
        <v>1078</v>
      </c>
      <c r="C201" s="123">
        <v>2</v>
      </c>
      <c r="D201" s="125">
        <v>0.0011381931419044056</v>
      </c>
      <c r="E201" s="125">
        <v>2.3067313001176144</v>
      </c>
      <c r="F201" s="123" t="s">
        <v>1172</v>
      </c>
      <c r="G201" s="123" t="b">
        <v>0</v>
      </c>
      <c r="H201" s="123" t="b">
        <v>0</v>
      </c>
      <c r="I201" s="123" t="b">
        <v>0</v>
      </c>
      <c r="J201" s="123" t="b">
        <v>0</v>
      </c>
      <c r="K201" s="123" t="b">
        <v>0</v>
      </c>
      <c r="L201" s="123" t="b">
        <v>0</v>
      </c>
    </row>
    <row r="202" spans="1:12" ht="15">
      <c r="A202" s="123" t="s">
        <v>1078</v>
      </c>
      <c r="B202" s="123" t="s">
        <v>1079</v>
      </c>
      <c r="C202" s="123">
        <v>2</v>
      </c>
      <c r="D202" s="125">
        <v>0.0011381931419044056</v>
      </c>
      <c r="E202" s="125">
        <v>3.151829340131871</v>
      </c>
      <c r="F202" s="123" t="s">
        <v>1172</v>
      </c>
      <c r="G202" s="123" t="b">
        <v>0</v>
      </c>
      <c r="H202" s="123" t="b">
        <v>0</v>
      </c>
      <c r="I202" s="123" t="b">
        <v>0</v>
      </c>
      <c r="J202" s="123" t="b">
        <v>0</v>
      </c>
      <c r="K202" s="123" t="b">
        <v>0</v>
      </c>
      <c r="L202" s="123" t="b">
        <v>0</v>
      </c>
    </row>
    <row r="203" spans="1:12" ht="15">
      <c r="A203" s="123" t="s">
        <v>1080</v>
      </c>
      <c r="B203" s="123" t="s">
        <v>966</v>
      </c>
      <c r="C203" s="123">
        <v>2</v>
      </c>
      <c r="D203" s="125">
        <v>0.0011381931419044056</v>
      </c>
      <c r="E203" s="125">
        <v>2.97573808107619</v>
      </c>
      <c r="F203" s="123" t="s">
        <v>1172</v>
      </c>
      <c r="G203" s="123" t="b">
        <v>0</v>
      </c>
      <c r="H203" s="123" t="b">
        <v>0</v>
      </c>
      <c r="I203" s="123" t="b">
        <v>0</v>
      </c>
      <c r="J203" s="123" t="b">
        <v>0</v>
      </c>
      <c r="K203" s="123" t="b">
        <v>0</v>
      </c>
      <c r="L203" s="123" t="b">
        <v>0</v>
      </c>
    </row>
    <row r="204" spans="1:12" ht="15">
      <c r="A204" s="123" t="s">
        <v>863</v>
      </c>
      <c r="B204" s="123" t="s">
        <v>1086</v>
      </c>
      <c r="C204" s="123">
        <v>2</v>
      </c>
      <c r="D204" s="125">
        <v>0.0011381931419044056</v>
      </c>
      <c r="E204" s="125">
        <v>2.6747080854122087</v>
      </c>
      <c r="F204" s="123" t="s">
        <v>1172</v>
      </c>
      <c r="G204" s="123" t="b">
        <v>0</v>
      </c>
      <c r="H204" s="123" t="b">
        <v>0</v>
      </c>
      <c r="I204" s="123" t="b">
        <v>0</v>
      </c>
      <c r="J204" s="123" t="b">
        <v>0</v>
      </c>
      <c r="K204" s="123" t="b">
        <v>0</v>
      </c>
      <c r="L204" s="123" t="b">
        <v>0</v>
      </c>
    </row>
    <row r="205" spans="1:12" ht="15">
      <c r="A205" s="123" t="s">
        <v>1089</v>
      </c>
      <c r="B205" s="123" t="s">
        <v>1090</v>
      </c>
      <c r="C205" s="123">
        <v>2</v>
      </c>
      <c r="D205" s="125">
        <v>0.0013436743676136075</v>
      </c>
      <c r="E205" s="125">
        <v>3.151829340131871</v>
      </c>
      <c r="F205" s="123" t="s">
        <v>1172</v>
      </c>
      <c r="G205" s="123" t="b">
        <v>0</v>
      </c>
      <c r="H205" s="123" t="b">
        <v>0</v>
      </c>
      <c r="I205" s="123" t="b">
        <v>0</v>
      </c>
      <c r="J205" s="123" t="b">
        <v>0</v>
      </c>
      <c r="K205" s="123" t="b">
        <v>0</v>
      </c>
      <c r="L205" s="123" t="b">
        <v>0</v>
      </c>
    </row>
    <row r="206" spans="1:12" ht="15">
      <c r="A206" s="123" t="s">
        <v>1090</v>
      </c>
      <c r="B206" s="123" t="s">
        <v>1091</v>
      </c>
      <c r="C206" s="123">
        <v>2</v>
      </c>
      <c r="D206" s="125">
        <v>0.0013436743676136075</v>
      </c>
      <c r="E206" s="125">
        <v>3.151829340131871</v>
      </c>
      <c r="F206" s="123" t="s">
        <v>1172</v>
      </c>
      <c r="G206" s="123" t="b">
        <v>0</v>
      </c>
      <c r="H206" s="123" t="b">
        <v>0</v>
      </c>
      <c r="I206" s="123" t="b">
        <v>0</v>
      </c>
      <c r="J206" s="123" t="b">
        <v>0</v>
      </c>
      <c r="K206" s="123" t="b">
        <v>0</v>
      </c>
      <c r="L206" s="123" t="b">
        <v>0</v>
      </c>
    </row>
    <row r="207" spans="1:12" ht="15">
      <c r="A207" s="123" t="s">
        <v>846</v>
      </c>
      <c r="B207" s="123" t="s">
        <v>845</v>
      </c>
      <c r="C207" s="123">
        <v>2</v>
      </c>
      <c r="D207" s="125">
        <v>0.0011381931419044056</v>
      </c>
      <c r="E207" s="125">
        <v>2.06369325143132</v>
      </c>
      <c r="F207" s="123" t="s">
        <v>1172</v>
      </c>
      <c r="G207" s="123" t="b">
        <v>0</v>
      </c>
      <c r="H207" s="123" t="b">
        <v>0</v>
      </c>
      <c r="I207" s="123" t="b">
        <v>0</v>
      </c>
      <c r="J207" s="123" t="b">
        <v>0</v>
      </c>
      <c r="K207" s="123" t="b">
        <v>0</v>
      </c>
      <c r="L207" s="123" t="b">
        <v>0</v>
      </c>
    </row>
    <row r="208" spans="1:12" ht="15">
      <c r="A208" s="123" t="s">
        <v>842</v>
      </c>
      <c r="B208" s="123" t="s">
        <v>970</v>
      </c>
      <c r="C208" s="123">
        <v>2</v>
      </c>
      <c r="D208" s="125">
        <v>0.0011381931419044056</v>
      </c>
      <c r="E208" s="125">
        <v>2.4316700367259143</v>
      </c>
      <c r="F208" s="123" t="s">
        <v>1172</v>
      </c>
      <c r="G208" s="123" t="b">
        <v>0</v>
      </c>
      <c r="H208" s="123" t="b">
        <v>0</v>
      </c>
      <c r="I208" s="123" t="b">
        <v>0</v>
      </c>
      <c r="J208" s="123" t="b">
        <v>0</v>
      </c>
      <c r="K208" s="123" t="b">
        <v>0</v>
      </c>
      <c r="L208" s="123" t="b">
        <v>0</v>
      </c>
    </row>
    <row r="209" spans="1:12" ht="15">
      <c r="A209" s="123" t="s">
        <v>610</v>
      </c>
      <c r="B209" s="123" t="s">
        <v>794</v>
      </c>
      <c r="C209" s="123">
        <v>2</v>
      </c>
      <c r="D209" s="125">
        <v>0.0011381931419044056</v>
      </c>
      <c r="E209" s="125">
        <v>1.7327000323898953</v>
      </c>
      <c r="F209" s="123" t="s">
        <v>1172</v>
      </c>
      <c r="G209" s="123" t="b">
        <v>0</v>
      </c>
      <c r="H209" s="123" t="b">
        <v>0</v>
      </c>
      <c r="I209" s="123" t="b">
        <v>0</v>
      </c>
      <c r="J209" s="123" t="b">
        <v>0</v>
      </c>
      <c r="K209" s="123" t="b">
        <v>0</v>
      </c>
      <c r="L209" s="123" t="b">
        <v>0</v>
      </c>
    </row>
    <row r="210" spans="1:12" ht="15">
      <c r="A210" s="123" t="s">
        <v>971</v>
      </c>
      <c r="B210" s="123" t="s">
        <v>864</v>
      </c>
      <c r="C210" s="123">
        <v>2</v>
      </c>
      <c r="D210" s="125">
        <v>0.0011381931419044056</v>
      </c>
      <c r="E210" s="125">
        <v>2.577798072404152</v>
      </c>
      <c r="F210" s="123" t="s">
        <v>1172</v>
      </c>
      <c r="G210" s="123" t="b">
        <v>0</v>
      </c>
      <c r="H210" s="123" t="b">
        <v>0</v>
      </c>
      <c r="I210" s="123" t="b">
        <v>0</v>
      </c>
      <c r="J210" s="123" t="b">
        <v>0</v>
      </c>
      <c r="K210" s="123" t="b">
        <v>0</v>
      </c>
      <c r="L210" s="123" t="b">
        <v>0</v>
      </c>
    </row>
    <row r="211" spans="1:12" ht="15">
      <c r="A211" s="123" t="s">
        <v>825</v>
      </c>
      <c r="B211" s="123" t="s">
        <v>864</v>
      </c>
      <c r="C211" s="123">
        <v>2</v>
      </c>
      <c r="D211" s="125">
        <v>0.0011381931419044056</v>
      </c>
      <c r="E211" s="125">
        <v>2.10067681768449</v>
      </c>
      <c r="F211" s="123" t="s">
        <v>1172</v>
      </c>
      <c r="G211" s="123" t="b">
        <v>0</v>
      </c>
      <c r="H211" s="123" t="b">
        <v>0</v>
      </c>
      <c r="I211" s="123" t="b">
        <v>0</v>
      </c>
      <c r="J211" s="123" t="b">
        <v>0</v>
      </c>
      <c r="K211" s="123" t="b">
        <v>0</v>
      </c>
      <c r="L211" s="123" t="b">
        <v>0</v>
      </c>
    </row>
    <row r="212" spans="1:12" ht="15">
      <c r="A212" s="123" t="s">
        <v>974</v>
      </c>
      <c r="B212" s="123" t="s">
        <v>1098</v>
      </c>
      <c r="C212" s="123">
        <v>2</v>
      </c>
      <c r="D212" s="125">
        <v>0.0011381931419044056</v>
      </c>
      <c r="E212" s="125">
        <v>2.97573808107619</v>
      </c>
      <c r="F212" s="123" t="s">
        <v>1172</v>
      </c>
      <c r="G212" s="123" t="b">
        <v>0</v>
      </c>
      <c r="H212" s="123" t="b">
        <v>0</v>
      </c>
      <c r="I212" s="123" t="b">
        <v>0</v>
      </c>
      <c r="J212" s="123" t="b">
        <v>0</v>
      </c>
      <c r="K212" s="123" t="b">
        <v>0</v>
      </c>
      <c r="L212" s="123" t="b">
        <v>0</v>
      </c>
    </row>
    <row r="213" spans="1:12" ht="15">
      <c r="A213" s="123" t="s">
        <v>1098</v>
      </c>
      <c r="B213" s="123" t="s">
        <v>781</v>
      </c>
      <c r="C213" s="123">
        <v>2</v>
      </c>
      <c r="D213" s="125">
        <v>0.0011381931419044056</v>
      </c>
      <c r="E213" s="125">
        <v>1.689431342232915</v>
      </c>
      <c r="F213" s="123" t="s">
        <v>1172</v>
      </c>
      <c r="G213" s="123" t="b">
        <v>0</v>
      </c>
      <c r="H213" s="123" t="b">
        <v>0</v>
      </c>
      <c r="I213" s="123" t="b">
        <v>0</v>
      </c>
      <c r="J213" s="123" t="b">
        <v>0</v>
      </c>
      <c r="K213" s="123" t="b">
        <v>0</v>
      </c>
      <c r="L213" s="123" t="b">
        <v>0</v>
      </c>
    </row>
    <row r="214" spans="1:12" ht="15">
      <c r="A214" s="123" t="s">
        <v>784</v>
      </c>
      <c r="B214" s="123" t="s">
        <v>930</v>
      </c>
      <c r="C214" s="123">
        <v>2</v>
      </c>
      <c r="D214" s="125">
        <v>0.0011381931419044056</v>
      </c>
      <c r="E214" s="125">
        <v>1.685703469713672</v>
      </c>
      <c r="F214" s="123" t="s">
        <v>1172</v>
      </c>
      <c r="G214" s="123" t="b">
        <v>0</v>
      </c>
      <c r="H214" s="123" t="b">
        <v>0</v>
      </c>
      <c r="I214" s="123" t="b">
        <v>0</v>
      </c>
      <c r="J214" s="123" t="b">
        <v>0</v>
      </c>
      <c r="K214" s="123" t="b">
        <v>0</v>
      </c>
      <c r="L214" s="123" t="b">
        <v>0</v>
      </c>
    </row>
    <row r="215" spans="1:12" ht="15">
      <c r="A215" s="123" t="s">
        <v>930</v>
      </c>
      <c r="B215" s="123" t="s">
        <v>1099</v>
      </c>
      <c r="C215" s="123">
        <v>2</v>
      </c>
      <c r="D215" s="125">
        <v>0.0011381931419044056</v>
      </c>
      <c r="E215" s="125">
        <v>2.97573808107619</v>
      </c>
      <c r="F215" s="123" t="s">
        <v>1172</v>
      </c>
      <c r="G215" s="123" t="b">
        <v>0</v>
      </c>
      <c r="H215" s="123" t="b">
        <v>0</v>
      </c>
      <c r="I215" s="123" t="b">
        <v>0</v>
      </c>
      <c r="J215" s="123" t="b">
        <v>0</v>
      </c>
      <c r="K215" s="123" t="b">
        <v>0</v>
      </c>
      <c r="L215" s="123" t="b">
        <v>0</v>
      </c>
    </row>
    <row r="216" spans="1:12" ht="15">
      <c r="A216" s="123" t="s">
        <v>1099</v>
      </c>
      <c r="B216" s="123" t="s">
        <v>786</v>
      </c>
      <c r="C216" s="123">
        <v>2</v>
      </c>
      <c r="D216" s="125">
        <v>0.0011381931419044056</v>
      </c>
      <c r="E216" s="125">
        <v>1.8193908802162657</v>
      </c>
      <c r="F216" s="123" t="s">
        <v>1172</v>
      </c>
      <c r="G216" s="123" t="b">
        <v>0</v>
      </c>
      <c r="H216" s="123" t="b">
        <v>0</v>
      </c>
      <c r="I216" s="123" t="b">
        <v>0</v>
      </c>
      <c r="J216" s="123" t="b">
        <v>0</v>
      </c>
      <c r="K216" s="123" t="b">
        <v>0</v>
      </c>
      <c r="L216" s="123" t="b">
        <v>0</v>
      </c>
    </row>
    <row r="217" spans="1:12" ht="15">
      <c r="A217" s="123" t="s">
        <v>813</v>
      </c>
      <c r="B217" s="123" t="s">
        <v>889</v>
      </c>
      <c r="C217" s="123">
        <v>2</v>
      </c>
      <c r="D217" s="125">
        <v>0.0011381931419044056</v>
      </c>
      <c r="E217" s="125">
        <v>2.110436654973646</v>
      </c>
      <c r="F217" s="123" t="s">
        <v>1172</v>
      </c>
      <c r="G217" s="123" t="b">
        <v>0</v>
      </c>
      <c r="H217" s="123" t="b">
        <v>0</v>
      </c>
      <c r="I217" s="123" t="b">
        <v>0</v>
      </c>
      <c r="J217" s="123" t="b">
        <v>0</v>
      </c>
      <c r="K217" s="123" t="b">
        <v>0</v>
      </c>
      <c r="L217" s="123" t="b">
        <v>0</v>
      </c>
    </row>
    <row r="218" spans="1:12" ht="15">
      <c r="A218" s="123" t="s">
        <v>889</v>
      </c>
      <c r="B218" s="123" t="s">
        <v>820</v>
      </c>
      <c r="C218" s="123">
        <v>2</v>
      </c>
      <c r="D218" s="125">
        <v>0.0011381931419044056</v>
      </c>
      <c r="E218" s="125">
        <v>2.197586830692546</v>
      </c>
      <c r="F218" s="123" t="s">
        <v>1172</v>
      </c>
      <c r="G218" s="123" t="b">
        <v>0</v>
      </c>
      <c r="H218" s="123" t="b">
        <v>0</v>
      </c>
      <c r="I218" s="123" t="b">
        <v>0</v>
      </c>
      <c r="J218" s="123" t="b">
        <v>0</v>
      </c>
      <c r="K218" s="123" t="b">
        <v>0</v>
      </c>
      <c r="L218" s="123" t="b">
        <v>0</v>
      </c>
    </row>
    <row r="219" spans="1:12" ht="15">
      <c r="A219" s="123" t="s">
        <v>801</v>
      </c>
      <c r="B219" s="123" t="s">
        <v>929</v>
      </c>
      <c r="C219" s="123">
        <v>2</v>
      </c>
      <c r="D219" s="125">
        <v>0.0011381931419044056</v>
      </c>
      <c r="E219" s="125">
        <v>2.130640041061933</v>
      </c>
      <c r="F219" s="123" t="s">
        <v>1172</v>
      </c>
      <c r="G219" s="123" t="b">
        <v>0</v>
      </c>
      <c r="H219" s="123" t="b">
        <v>0</v>
      </c>
      <c r="I219" s="123" t="b">
        <v>0</v>
      </c>
      <c r="J219" s="123" t="b">
        <v>0</v>
      </c>
      <c r="K219" s="123" t="b">
        <v>0</v>
      </c>
      <c r="L219" s="123" t="b">
        <v>0</v>
      </c>
    </row>
    <row r="220" spans="1:12" ht="15">
      <c r="A220" s="123" t="s">
        <v>929</v>
      </c>
      <c r="B220" s="123" t="s">
        <v>868</v>
      </c>
      <c r="C220" s="123">
        <v>2</v>
      </c>
      <c r="D220" s="125">
        <v>0.0011381931419044056</v>
      </c>
      <c r="E220" s="125">
        <v>2.577798072404152</v>
      </c>
      <c r="F220" s="123" t="s">
        <v>1172</v>
      </c>
      <c r="G220" s="123" t="b">
        <v>0</v>
      </c>
      <c r="H220" s="123" t="b">
        <v>0</v>
      </c>
      <c r="I220" s="123" t="b">
        <v>0</v>
      </c>
      <c r="J220" s="123" t="b">
        <v>0</v>
      </c>
      <c r="K220" s="123" t="b">
        <v>0</v>
      </c>
      <c r="L220" s="123" t="b">
        <v>0</v>
      </c>
    </row>
    <row r="221" spans="1:12" ht="15">
      <c r="A221" s="123" t="s">
        <v>850</v>
      </c>
      <c r="B221" s="123" t="s">
        <v>1100</v>
      </c>
      <c r="C221" s="123">
        <v>2</v>
      </c>
      <c r="D221" s="125">
        <v>0.0011381931419044056</v>
      </c>
      <c r="E221" s="125">
        <v>2.6747080854122087</v>
      </c>
      <c r="F221" s="123" t="s">
        <v>1172</v>
      </c>
      <c r="G221" s="123" t="b">
        <v>0</v>
      </c>
      <c r="H221" s="123" t="b">
        <v>0</v>
      </c>
      <c r="I221" s="123" t="b">
        <v>0</v>
      </c>
      <c r="J221" s="123" t="b">
        <v>0</v>
      </c>
      <c r="K221" s="123" t="b">
        <v>0</v>
      </c>
      <c r="L221" s="123" t="b">
        <v>0</v>
      </c>
    </row>
    <row r="222" spans="1:12" ht="15">
      <c r="A222" s="123" t="s">
        <v>1100</v>
      </c>
      <c r="B222" s="123" t="s">
        <v>909</v>
      </c>
      <c r="C222" s="123">
        <v>2</v>
      </c>
      <c r="D222" s="125">
        <v>0.0011381931419044056</v>
      </c>
      <c r="E222" s="125">
        <v>2.85079934446789</v>
      </c>
      <c r="F222" s="123" t="s">
        <v>1172</v>
      </c>
      <c r="G222" s="123" t="b">
        <v>0</v>
      </c>
      <c r="H222" s="123" t="b">
        <v>0</v>
      </c>
      <c r="I222" s="123" t="b">
        <v>0</v>
      </c>
      <c r="J222" s="123" t="b">
        <v>0</v>
      </c>
      <c r="K222" s="123" t="b">
        <v>0</v>
      </c>
      <c r="L222" s="123" t="b">
        <v>0</v>
      </c>
    </row>
    <row r="223" spans="1:12" ht="15">
      <c r="A223" s="123" t="s">
        <v>909</v>
      </c>
      <c r="B223" s="123" t="s">
        <v>909</v>
      </c>
      <c r="C223" s="123">
        <v>2</v>
      </c>
      <c r="D223" s="125">
        <v>0.0011381931419044056</v>
      </c>
      <c r="E223" s="125">
        <v>2.549769348803909</v>
      </c>
      <c r="F223" s="123" t="s">
        <v>1172</v>
      </c>
      <c r="G223" s="123" t="b">
        <v>0</v>
      </c>
      <c r="H223" s="123" t="b">
        <v>0</v>
      </c>
      <c r="I223" s="123" t="b">
        <v>0</v>
      </c>
      <c r="J223" s="123" t="b">
        <v>0</v>
      </c>
      <c r="K223" s="123" t="b">
        <v>0</v>
      </c>
      <c r="L223" s="123" t="b">
        <v>0</v>
      </c>
    </row>
    <row r="224" spans="1:12" ht="15">
      <c r="A224" s="123" t="s">
        <v>909</v>
      </c>
      <c r="B224" s="123" t="s">
        <v>881</v>
      </c>
      <c r="C224" s="123">
        <v>2</v>
      </c>
      <c r="D224" s="125">
        <v>0.0011381931419044056</v>
      </c>
      <c r="E224" s="125">
        <v>2.452859335795852</v>
      </c>
      <c r="F224" s="123" t="s">
        <v>1172</v>
      </c>
      <c r="G224" s="123" t="b">
        <v>0</v>
      </c>
      <c r="H224" s="123" t="b">
        <v>0</v>
      </c>
      <c r="I224" s="123" t="b">
        <v>0</v>
      </c>
      <c r="J224" s="123" t="b">
        <v>0</v>
      </c>
      <c r="K224" s="123" t="b">
        <v>0</v>
      </c>
      <c r="L224" s="123" t="b">
        <v>0</v>
      </c>
    </row>
    <row r="225" spans="1:12" ht="15">
      <c r="A225" s="123" t="s">
        <v>881</v>
      </c>
      <c r="B225" s="123" t="s">
        <v>852</v>
      </c>
      <c r="C225" s="123">
        <v>2</v>
      </c>
      <c r="D225" s="125">
        <v>0.0011381931419044056</v>
      </c>
      <c r="E225" s="125">
        <v>2.2767680767401712</v>
      </c>
      <c r="F225" s="123" t="s">
        <v>1172</v>
      </c>
      <c r="G225" s="123" t="b">
        <v>0</v>
      </c>
      <c r="H225" s="123" t="b">
        <v>0</v>
      </c>
      <c r="I225" s="123" t="b">
        <v>0</v>
      </c>
      <c r="J225" s="123" t="b">
        <v>0</v>
      </c>
      <c r="K225" s="123" t="b">
        <v>0</v>
      </c>
      <c r="L225" s="123" t="b">
        <v>0</v>
      </c>
    </row>
    <row r="226" spans="1:12" ht="15">
      <c r="A226" s="123" t="s">
        <v>816</v>
      </c>
      <c r="B226" s="123" t="s">
        <v>816</v>
      </c>
      <c r="C226" s="123">
        <v>2</v>
      </c>
      <c r="D226" s="125">
        <v>0.0013436743676136075</v>
      </c>
      <c r="E226" s="125">
        <v>1.6711039611433833</v>
      </c>
      <c r="F226" s="123" t="s">
        <v>1172</v>
      </c>
      <c r="G226" s="123" t="b">
        <v>0</v>
      </c>
      <c r="H226" s="123" t="b">
        <v>0</v>
      </c>
      <c r="I226" s="123" t="b">
        <v>0</v>
      </c>
      <c r="J226" s="123" t="b">
        <v>0</v>
      </c>
      <c r="K226" s="123" t="b">
        <v>0</v>
      </c>
      <c r="L226" s="123" t="b">
        <v>0</v>
      </c>
    </row>
    <row r="227" spans="1:12" ht="15">
      <c r="A227" s="123" t="s">
        <v>816</v>
      </c>
      <c r="B227" s="123" t="s">
        <v>806</v>
      </c>
      <c r="C227" s="123">
        <v>2</v>
      </c>
      <c r="D227" s="125">
        <v>0.0013436743676136075</v>
      </c>
      <c r="E227" s="125">
        <v>1.5985532939947715</v>
      </c>
      <c r="F227" s="123" t="s">
        <v>1172</v>
      </c>
      <c r="G227" s="123" t="b">
        <v>0</v>
      </c>
      <c r="H227" s="123" t="b">
        <v>0</v>
      </c>
      <c r="I227" s="123" t="b">
        <v>0</v>
      </c>
      <c r="J227" s="123" t="b">
        <v>0</v>
      </c>
      <c r="K227" s="123" t="b">
        <v>0</v>
      </c>
      <c r="L227" s="123" t="b">
        <v>0</v>
      </c>
    </row>
    <row r="228" spans="1:12" ht="15">
      <c r="A228" s="123" t="s">
        <v>794</v>
      </c>
      <c r="B228" s="123" t="s">
        <v>794</v>
      </c>
      <c r="C228" s="123">
        <v>2</v>
      </c>
      <c r="D228" s="125">
        <v>0.0013436743676136075</v>
      </c>
      <c r="E228" s="125">
        <v>1.3473491510258784</v>
      </c>
      <c r="F228" s="123" t="s">
        <v>1172</v>
      </c>
      <c r="G228" s="123" t="b">
        <v>0</v>
      </c>
      <c r="H228" s="123" t="b">
        <v>0</v>
      </c>
      <c r="I228" s="123" t="b">
        <v>0</v>
      </c>
      <c r="J228" s="123" t="b">
        <v>0</v>
      </c>
      <c r="K228" s="123" t="b">
        <v>0</v>
      </c>
      <c r="L228" s="123" t="b">
        <v>0</v>
      </c>
    </row>
    <row r="229" spans="1:12" ht="15">
      <c r="A229" s="123" t="s">
        <v>794</v>
      </c>
      <c r="B229" s="123" t="s">
        <v>1102</v>
      </c>
      <c r="C229" s="123">
        <v>2</v>
      </c>
      <c r="D229" s="125">
        <v>0.0013436743676136075</v>
      </c>
      <c r="E229" s="125">
        <v>2.2224104144175785</v>
      </c>
      <c r="F229" s="123" t="s">
        <v>1172</v>
      </c>
      <c r="G229" s="123" t="b">
        <v>0</v>
      </c>
      <c r="H229" s="123" t="b">
        <v>0</v>
      </c>
      <c r="I229" s="123" t="b">
        <v>0</v>
      </c>
      <c r="J229" s="123" t="b">
        <v>0</v>
      </c>
      <c r="K229" s="123" t="b">
        <v>0</v>
      </c>
      <c r="L229" s="123" t="b">
        <v>0</v>
      </c>
    </row>
    <row r="230" spans="1:12" ht="15">
      <c r="A230" s="123" t="s">
        <v>976</v>
      </c>
      <c r="B230" s="123" t="s">
        <v>1105</v>
      </c>
      <c r="C230" s="123">
        <v>2</v>
      </c>
      <c r="D230" s="125">
        <v>0.0013436743676136075</v>
      </c>
      <c r="E230" s="125">
        <v>2.97573808107619</v>
      </c>
      <c r="F230" s="123" t="s">
        <v>1172</v>
      </c>
      <c r="G230" s="123" t="b">
        <v>0</v>
      </c>
      <c r="H230" s="123" t="b">
        <v>0</v>
      </c>
      <c r="I230" s="123" t="b">
        <v>0</v>
      </c>
      <c r="J230" s="123" t="b">
        <v>0</v>
      </c>
      <c r="K230" s="123" t="b">
        <v>0</v>
      </c>
      <c r="L230" s="123" t="b">
        <v>0</v>
      </c>
    </row>
    <row r="231" spans="1:12" ht="15">
      <c r="A231" s="123" t="s">
        <v>1105</v>
      </c>
      <c r="B231" s="123" t="s">
        <v>1106</v>
      </c>
      <c r="C231" s="123">
        <v>2</v>
      </c>
      <c r="D231" s="125">
        <v>0.0013436743676136075</v>
      </c>
      <c r="E231" s="125">
        <v>3.151829340131871</v>
      </c>
      <c r="F231" s="123" t="s">
        <v>1172</v>
      </c>
      <c r="G231" s="123" t="b">
        <v>0</v>
      </c>
      <c r="H231" s="123" t="b">
        <v>0</v>
      </c>
      <c r="I231" s="123" t="b">
        <v>0</v>
      </c>
      <c r="J231" s="123" t="b">
        <v>0</v>
      </c>
      <c r="K231" s="123" t="b">
        <v>0</v>
      </c>
      <c r="L231" s="123" t="b">
        <v>0</v>
      </c>
    </row>
    <row r="232" spans="1:12" ht="15">
      <c r="A232" s="123" t="s">
        <v>1111</v>
      </c>
      <c r="B232" s="123" t="s">
        <v>1112</v>
      </c>
      <c r="C232" s="123">
        <v>2</v>
      </c>
      <c r="D232" s="125">
        <v>0.0013436743676136075</v>
      </c>
      <c r="E232" s="125">
        <v>3.151829340131871</v>
      </c>
      <c r="F232" s="123" t="s">
        <v>1172</v>
      </c>
      <c r="G232" s="123" t="b">
        <v>0</v>
      </c>
      <c r="H232" s="123" t="b">
        <v>0</v>
      </c>
      <c r="I232" s="123" t="b">
        <v>0</v>
      </c>
      <c r="J232" s="123" t="b">
        <v>0</v>
      </c>
      <c r="K232" s="123" t="b">
        <v>0</v>
      </c>
      <c r="L232" s="123" t="b">
        <v>0</v>
      </c>
    </row>
    <row r="233" spans="1:12" ht="15">
      <c r="A233" s="123" t="s">
        <v>969</v>
      </c>
      <c r="B233" s="123" t="s">
        <v>788</v>
      </c>
      <c r="C233" s="123">
        <v>2</v>
      </c>
      <c r="D233" s="125">
        <v>0.0011381931419044056</v>
      </c>
      <c r="E233" s="125">
        <v>1.7204655759728837</v>
      </c>
      <c r="F233" s="123" t="s">
        <v>1172</v>
      </c>
      <c r="G233" s="123" t="b">
        <v>0</v>
      </c>
      <c r="H233" s="123" t="b">
        <v>0</v>
      </c>
      <c r="I233" s="123" t="b">
        <v>0</v>
      </c>
      <c r="J233" s="123" t="b">
        <v>0</v>
      </c>
      <c r="K233" s="123" t="b">
        <v>1</v>
      </c>
      <c r="L233" s="123" t="b">
        <v>0</v>
      </c>
    </row>
    <row r="234" spans="1:12" ht="15">
      <c r="A234" s="123" t="s">
        <v>788</v>
      </c>
      <c r="B234" s="123" t="s">
        <v>788</v>
      </c>
      <c r="C234" s="123">
        <v>2</v>
      </c>
      <c r="D234" s="125">
        <v>0.0013436743676136075</v>
      </c>
      <c r="E234" s="125">
        <v>0.6535187863422706</v>
      </c>
      <c r="F234" s="123" t="s">
        <v>1172</v>
      </c>
      <c r="G234" s="123" t="b">
        <v>0</v>
      </c>
      <c r="H234" s="123" t="b">
        <v>1</v>
      </c>
      <c r="I234" s="123" t="b">
        <v>0</v>
      </c>
      <c r="J234" s="123" t="b">
        <v>0</v>
      </c>
      <c r="K234" s="123" t="b">
        <v>1</v>
      </c>
      <c r="L234" s="123" t="b">
        <v>0</v>
      </c>
    </row>
    <row r="235" spans="1:12" ht="15">
      <c r="A235" s="123" t="s">
        <v>792</v>
      </c>
      <c r="B235" s="123" t="s">
        <v>829</v>
      </c>
      <c r="C235" s="123">
        <v>2</v>
      </c>
      <c r="D235" s="125">
        <v>0.0011381931419044056</v>
      </c>
      <c r="E235" s="125">
        <v>1.5865719967116574</v>
      </c>
      <c r="F235" s="123" t="s">
        <v>1172</v>
      </c>
      <c r="G235" s="123" t="b">
        <v>0</v>
      </c>
      <c r="H235" s="123" t="b">
        <v>0</v>
      </c>
      <c r="I235" s="123" t="b">
        <v>0</v>
      </c>
      <c r="J235" s="123" t="b">
        <v>0</v>
      </c>
      <c r="K235" s="123" t="b">
        <v>0</v>
      </c>
      <c r="L235" s="123" t="b">
        <v>0</v>
      </c>
    </row>
    <row r="236" spans="1:12" ht="15">
      <c r="A236" s="123" t="s">
        <v>1115</v>
      </c>
      <c r="B236" s="123" t="s">
        <v>862</v>
      </c>
      <c r="C236" s="123">
        <v>2</v>
      </c>
      <c r="D236" s="125">
        <v>0.0011381931419044056</v>
      </c>
      <c r="E236" s="125">
        <v>2.6747080854122087</v>
      </c>
      <c r="F236" s="123" t="s">
        <v>1172</v>
      </c>
      <c r="G236" s="123" t="b">
        <v>0</v>
      </c>
      <c r="H236" s="123" t="b">
        <v>0</v>
      </c>
      <c r="I236" s="123" t="b">
        <v>0</v>
      </c>
      <c r="J236" s="123" t="b">
        <v>0</v>
      </c>
      <c r="K236" s="123" t="b">
        <v>0</v>
      </c>
      <c r="L236" s="123" t="b">
        <v>0</v>
      </c>
    </row>
    <row r="237" spans="1:12" ht="15">
      <c r="A237" s="123" t="s">
        <v>862</v>
      </c>
      <c r="B237" s="123" t="s">
        <v>862</v>
      </c>
      <c r="C237" s="123">
        <v>2</v>
      </c>
      <c r="D237" s="125">
        <v>0.0011381931419044056</v>
      </c>
      <c r="E237" s="125">
        <v>2.197586830692546</v>
      </c>
      <c r="F237" s="123" t="s">
        <v>1172</v>
      </c>
      <c r="G237" s="123" t="b">
        <v>0</v>
      </c>
      <c r="H237" s="123" t="b">
        <v>0</v>
      </c>
      <c r="I237" s="123" t="b">
        <v>0</v>
      </c>
      <c r="J237" s="123" t="b">
        <v>0</v>
      </c>
      <c r="K237" s="123" t="b">
        <v>0</v>
      </c>
      <c r="L237" s="123" t="b">
        <v>0</v>
      </c>
    </row>
    <row r="238" spans="1:12" ht="15">
      <c r="A238" s="123" t="s">
        <v>862</v>
      </c>
      <c r="B238" s="123" t="s">
        <v>1116</v>
      </c>
      <c r="C238" s="123">
        <v>2</v>
      </c>
      <c r="D238" s="125">
        <v>0.0011381931419044056</v>
      </c>
      <c r="E238" s="125">
        <v>2.6747080854122087</v>
      </c>
      <c r="F238" s="123" t="s">
        <v>1172</v>
      </c>
      <c r="G238" s="123" t="b">
        <v>0</v>
      </c>
      <c r="H238" s="123" t="b">
        <v>0</v>
      </c>
      <c r="I238" s="123" t="b">
        <v>0</v>
      </c>
      <c r="J238" s="123" t="b">
        <v>0</v>
      </c>
      <c r="K238" s="123" t="b">
        <v>0</v>
      </c>
      <c r="L238" s="123" t="b">
        <v>0</v>
      </c>
    </row>
    <row r="239" spans="1:12" ht="15">
      <c r="A239" s="123" t="s">
        <v>1116</v>
      </c>
      <c r="B239" s="123" t="s">
        <v>788</v>
      </c>
      <c r="C239" s="123">
        <v>2</v>
      </c>
      <c r="D239" s="125">
        <v>0.0011381931419044056</v>
      </c>
      <c r="E239" s="125">
        <v>1.8965568350285649</v>
      </c>
      <c r="F239" s="123" t="s">
        <v>1172</v>
      </c>
      <c r="G239" s="123" t="b">
        <v>0</v>
      </c>
      <c r="H239" s="123" t="b">
        <v>0</v>
      </c>
      <c r="I239" s="123" t="b">
        <v>0</v>
      </c>
      <c r="J239" s="123" t="b">
        <v>0</v>
      </c>
      <c r="K239" s="123" t="b">
        <v>1</v>
      </c>
      <c r="L239" s="123" t="b">
        <v>0</v>
      </c>
    </row>
    <row r="240" spans="1:12" ht="15">
      <c r="A240" s="123" t="s">
        <v>788</v>
      </c>
      <c r="B240" s="123" t="s">
        <v>884</v>
      </c>
      <c r="C240" s="123">
        <v>2</v>
      </c>
      <c r="D240" s="125">
        <v>0.0011381931419044056</v>
      </c>
      <c r="E240" s="125">
        <v>1.5108512827735392</v>
      </c>
      <c r="F240" s="123" t="s">
        <v>1172</v>
      </c>
      <c r="G240" s="123" t="b">
        <v>0</v>
      </c>
      <c r="H240" s="123" t="b">
        <v>1</v>
      </c>
      <c r="I240" s="123" t="b">
        <v>0</v>
      </c>
      <c r="J240" s="123" t="b">
        <v>0</v>
      </c>
      <c r="K240" s="123" t="b">
        <v>0</v>
      </c>
      <c r="L240" s="123" t="b">
        <v>0</v>
      </c>
    </row>
    <row r="241" spans="1:12" ht="15">
      <c r="A241" s="123" t="s">
        <v>884</v>
      </c>
      <c r="B241" s="123" t="s">
        <v>787</v>
      </c>
      <c r="C241" s="123">
        <v>2</v>
      </c>
      <c r="D241" s="125">
        <v>0.0011381931419044056</v>
      </c>
      <c r="E241" s="125">
        <v>1.4316700367259143</v>
      </c>
      <c r="F241" s="123" t="s">
        <v>1172</v>
      </c>
      <c r="G241" s="123" t="b">
        <v>0</v>
      </c>
      <c r="H241" s="123" t="b">
        <v>0</v>
      </c>
      <c r="I241" s="123" t="b">
        <v>0</v>
      </c>
      <c r="J241" s="123" t="b">
        <v>0</v>
      </c>
      <c r="K241" s="123" t="b">
        <v>0</v>
      </c>
      <c r="L241" s="123" t="b">
        <v>0</v>
      </c>
    </row>
    <row r="242" spans="1:12" ht="15">
      <c r="A242" s="123" t="s">
        <v>787</v>
      </c>
      <c r="B242" s="123" t="s">
        <v>979</v>
      </c>
      <c r="C242" s="123">
        <v>2</v>
      </c>
      <c r="D242" s="125">
        <v>0.0011381931419044056</v>
      </c>
      <c r="E242" s="125">
        <v>1.6535187863422707</v>
      </c>
      <c r="F242" s="123" t="s">
        <v>1172</v>
      </c>
      <c r="G242" s="123" t="b">
        <v>0</v>
      </c>
      <c r="H242" s="123" t="b">
        <v>0</v>
      </c>
      <c r="I242" s="123" t="b">
        <v>0</v>
      </c>
      <c r="J242" s="123" t="b">
        <v>1</v>
      </c>
      <c r="K242" s="123" t="b">
        <v>0</v>
      </c>
      <c r="L242" s="123" t="b">
        <v>0</v>
      </c>
    </row>
    <row r="243" spans="1:12" ht="15">
      <c r="A243" s="123" t="s">
        <v>979</v>
      </c>
      <c r="B243" s="123" t="s">
        <v>911</v>
      </c>
      <c r="C243" s="123">
        <v>2</v>
      </c>
      <c r="D243" s="125">
        <v>0.0011381931419044056</v>
      </c>
      <c r="E243" s="125">
        <v>2.6747080854122087</v>
      </c>
      <c r="F243" s="123" t="s">
        <v>1172</v>
      </c>
      <c r="G243" s="123" t="b">
        <v>1</v>
      </c>
      <c r="H243" s="123" t="b">
        <v>0</v>
      </c>
      <c r="I243" s="123" t="b">
        <v>0</v>
      </c>
      <c r="J243" s="123" t="b">
        <v>0</v>
      </c>
      <c r="K243" s="123" t="b">
        <v>0</v>
      </c>
      <c r="L243" s="123" t="b">
        <v>0</v>
      </c>
    </row>
    <row r="244" spans="1:12" ht="15">
      <c r="A244" s="123" t="s">
        <v>911</v>
      </c>
      <c r="B244" s="123" t="s">
        <v>1117</v>
      </c>
      <c r="C244" s="123">
        <v>2</v>
      </c>
      <c r="D244" s="125">
        <v>0.0011381931419044056</v>
      </c>
      <c r="E244" s="125">
        <v>2.85079934446789</v>
      </c>
      <c r="F244" s="123" t="s">
        <v>1172</v>
      </c>
      <c r="G244" s="123" t="b">
        <v>0</v>
      </c>
      <c r="H244" s="123" t="b">
        <v>0</v>
      </c>
      <c r="I244" s="123" t="b">
        <v>0</v>
      </c>
      <c r="J244" s="123" t="b">
        <v>0</v>
      </c>
      <c r="K244" s="123" t="b">
        <v>1</v>
      </c>
      <c r="L244" s="123" t="b">
        <v>0</v>
      </c>
    </row>
    <row r="245" spans="1:12" ht="15">
      <c r="A245" s="123" t="s">
        <v>1117</v>
      </c>
      <c r="B245" s="123" t="s">
        <v>793</v>
      </c>
      <c r="C245" s="123">
        <v>2</v>
      </c>
      <c r="D245" s="125">
        <v>0.0011381931419044056</v>
      </c>
      <c r="E245" s="125">
        <v>2.452859335795852</v>
      </c>
      <c r="F245" s="123" t="s">
        <v>1172</v>
      </c>
      <c r="G245" s="123" t="b">
        <v>0</v>
      </c>
      <c r="H245" s="123" t="b">
        <v>1</v>
      </c>
      <c r="I245" s="123" t="b">
        <v>0</v>
      </c>
      <c r="J245" s="123" t="b">
        <v>0</v>
      </c>
      <c r="K245" s="123" t="b">
        <v>0</v>
      </c>
      <c r="L245" s="123" t="b">
        <v>0</v>
      </c>
    </row>
    <row r="246" spans="1:12" ht="15">
      <c r="A246" s="123" t="s">
        <v>793</v>
      </c>
      <c r="B246" s="123" t="s">
        <v>829</v>
      </c>
      <c r="C246" s="123">
        <v>2</v>
      </c>
      <c r="D246" s="125">
        <v>0.0011381931419044056</v>
      </c>
      <c r="E246" s="125">
        <v>1.6535187863422705</v>
      </c>
      <c r="F246" s="123" t="s">
        <v>1172</v>
      </c>
      <c r="G246" s="123" t="b">
        <v>0</v>
      </c>
      <c r="H246" s="123" t="b">
        <v>0</v>
      </c>
      <c r="I246" s="123" t="b">
        <v>0</v>
      </c>
      <c r="J246" s="123" t="b">
        <v>0</v>
      </c>
      <c r="K246" s="123" t="b">
        <v>0</v>
      </c>
      <c r="L246" s="123" t="b">
        <v>0</v>
      </c>
    </row>
    <row r="247" spans="1:12" ht="15">
      <c r="A247" s="123" t="s">
        <v>865</v>
      </c>
      <c r="B247" s="123" t="s">
        <v>814</v>
      </c>
      <c r="C247" s="123">
        <v>2</v>
      </c>
      <c r="D247" s="125">
        <v>0.0011381931419044056</v>
      </c>
      <c r="E247" s="125">
        <v>1.9343453959179648</v>
      </c>
      <c r="F247" s="123" t="s">
        <v>1172</v>
      </c>
      <c r="G247" s="123" t="b">
        <v>0</v>
      </c>
      <c r="H247" s="123" t="b">
        <v>0</v>
      </c>
      <c r="I247" s="123" t="b">
        <v>0</v>
      </c>
      <c r="J247" s="123" t="b">
        <v>0</v>
      </c>
      <c r="K247" s="123" t="b">
        <v>0</v>
      </c>
      <c r="L247" s="123" t="b">
        <v>0</v>
      </c>
    </row>
    <row r="248" spans="1:12" ht="15">
      <c r="A248" s="123" t="s">
        <v>814</v>
      </c>
      <c r="B248" s="123" t="s">
        <v>1118</v>
      </c>
      <c r="C248" s="123">
        <v>2</v>
      </c>
      <c r="D248" s="125">
        <v>0.0011381931419044056</v>
      </c>
      <c r="E248" s="125">
        <v>2.411466650637627</v>
      </c>
      <c r="F248" s="123" t="s">
        <v>1172</v>
      </c>
      <c r="G248" s="123" t="b">
        <v>0</v>
      </c>
      <c r="H248" s="123" t="b">
        <v>0</v>
      </c>
      <c r="I248" s="123" t="b">
        <v>0</v>
      </c>
      <c r="J248" s="123" t="b">
        <v>0</v>
      </c>
      <c r="K248" s="123" t="b">
        <v>0</v>
      </c>
      <c r="L248" s="123" t="b">
        <v>0</v>
      </c>
    </row>
    <row r="249" spans="1:12" ht="15">
      <c r="A249" s="123" t="s">
        <v>1118</v>
      </c>
      <c r="B249" s="123" t="s">
        <v>829</v>
      </c>
      <c r="C249" s="123">
        <v>2</v>
      </c>
      <c r="D249" s="125">
        <v>0.0011381931419044056</v>
      </c>
      <c r="E249" s="125">
        <v>2.6077612957815957</v>
      </c>
      <c r="F249" s="123" t="s">
        <v>1172</v>
      </c>
      <c r="G249" s="123" t="b">
        <v>0</v>
      </c>
      <c r="H249" s="123" t="b">
        <v>0</v>
      </c>
      <c r="I249" s="123" t="b">
        <v>0</v>
      </c>
      <c r="J249" s="123" t="b">
        <v>0</v>
      </c>
      <c r="K249" s="123" t="b">
        <v>0</v>
      </c>
      <c r="L249" s="123" t="b">
        <v>0</v>
      </c>
    </row>
    <row r="250" spans="1:12" ht="15">
      <c r="A250" s="123" t="s">
        <v>865</v>
      </c>
      <c r="B250" s="123" t="s">
        <v>826</v>
      </c>
      <c r="C250" s="123">
        <v>2</v>
      </c>
      <c r="D250" s="125">
        <v>0.0011381931419044056</v>
      </c>
      <c r="E250" s="125">
        <v>2.0214955716368648</v>
      </c>
      <c r="F250" s="123" t="s">
        <v>1172</v>
      </c>
      <c r="G250" s="123" t="b">
        <v>0</v>
      </c>
      <c r="H250" s="123" t="b">
        <v>0</v>
      </c>
      <c r="I250" s="123" t="b">
        <v>0</v>
      </c>
      <c r="J250" s="123" t="b">
        <v>0</v>
      </c>
      <c r="K250" s="123" t="b">
        <v>0</v>
      </c>
      <c r="L250" s="123" t="b">
        <v>0</v>
      </c>
    </row>
    <row r="251" spans="1:12" ht="15">
      <c r="A251" s="123" t="s">
        <v>827</v>
      </c>
      <c r="B251" s="123" t="s">
        <v>780</v>
      </c>
      <c r="C251" s="123">
        <v>2</v>
      </c>
      <c r="D251" s="125">
        <v>0.0011381931419044056</v>
      </c>
      <c r="E251" s="125">
        <v>1.0143169870097415</v>
      </c>
      <c r="F251" s="123" t="s">
        <v>1172</v>
      </c>
      <c r="G251" s="123" t="b">
        <v>0</v>
      </c>
      <c r="H251" s="123" t="b">
        <v>0</v>
      </c>
      <c r="I251" s="123" t="b">
        <v>0</v>
      </c>
      <c r="J251" s="123" t="b">
        <v>0</v>
      </c>
      <c r="K251" s="123" t="b">
        <v>0</v>
      </c>
      <c r="L251" s="123" t="b">
        <v>0</v>
      </c>
    </row>
    <row r="252" spans="1:12" ht="15">
      <c r="A252" s="123" t="s">
        <v>780</v>
      </c>
      <c r="B252" s="123" t="s">
        <v>810</v>
      </c>
      <c r="C252" s="123">
        <v>2</v>
      </c>
      <c r="D252" s="125">
        <v>0.0011381931419044056</v>
      </c>
      <c r="E252" s="125">
        <v>1.0873713509049527</v>
      </c>
      <c r="F252" s="123" t="s">
        <v>1172</v>
      </c>
      <c r="G252" s="123" t="b">
        <v>0</v>
      </c>
      <c r="H252" s="123" t="b">
        <v>0</v>
      </c>
      <c r="I252" s="123" t="b">
        <v>0</v>
      </c>
      <c r="J252" s="123" t="b">
        <v>0</v>
      </c>
      <c r="K252" s="123" t="b">
        <v>0</v>
      </c>
      <c r="L252" s="123" t="b">
        <v>0</v>
      </c>
    </row>
    <row r="253" spans="1:12" ht="15">
      <c r="A253" s="123" t="s">
        <v>810</v>
      </c>
      <c r="B253" s="123" t="s">
        <v>810</v>
      </c>
      <c r="C253" s="123">
        <v>2</v>
      </c>
      <c r="D253" s="125">
        <v>0.0011381931419044056</v>
      </c>
      <c r="E253" s="125">
        <v>2.005701304453633</v>
      </c>
      <c r="F253" s="123" t="s">
        <v>1172</v>
      </c>
      <c r="G253" s="123" t="b">
        <v>0</v>
      </c>
      <c r="H253" s="123" t="b">
        <v>0</v>
      </c>
      <c r="I253" s="123" t="b">
        <v>0</v>
      </c>
      <c r="J253" s="123" t="b">
        <v>0</v>
      </c>
      <c r="K253" s="123" t="b">
        <v>0</v>
      </c>
      <c r="L253" s="123" t="b">
        <v>0</v>
      </c>
    </row>
    <row r="254" spans="1:12" ht="15">
      <c r="A254" s="123" t="s">
        <v>784</v>
      </c>
      <c r="B254" s="123" t="s">
        <v>821</v>
      </c>
      <c r="C254" s="123">
        <v>2</v>
      </c>
      <c r="D254" s="125">
        <v>0.0011381931419044056</v>
      </c>
      <c r="E254" s="125">
        <v>1.2085822149940093</v>
      </c>
      <c r="F254" s="123" t="s">
        <v>1172</v>
      </c>
      <c r="G254" s="123" t="b">
        <v>0</v>
      </c>
      <c r="H254" s="123" t="b">
        <v>0</v>
      </c>
      <c r="I254" s="123" t="b">
        <v>0</v>
      </c>
      <c r="J254" s="123" t="b">
        <v>0</v>
      </c>
      <c r="K254" s="123" t="b">
        <v>0</v>
      </c>
      <c r="L254" s="123" t="b">
        <v>0</v>
      </c>
    </row>
    <row r="255" spans="1:12" ht="15">
      <c r="A255" s="123" t="s">
        <v>821</v>
      </c>
      <c r="B255" s="123" t="s">
        <v>784</v>
      </c>
      <c r="C255" s="123">
        <v>2</v>
      </c>
      <c r="D255" s="125">
        <v>0.0011381931419044056</v>
      </c>
      <c r="E255" s="125">
        <v>1.146434308245165</v>
      </c>
      <c r="F255" s="123" t="s">
        <v>1172</v>
      </c>
      <c r="G255" s="123" t="b">
        <v>0</v>
      </c>
      <c r="H255" s="123" t="b">
        <v>0</v>
      </c>
      <c r="I255" s="123" t="b">
        <v>0</v>
      </c>
      <c r="J255" s="123" t="b">
        <v>0</v>
      </c>
      <c r="K255" s="123" t="b">
        <v>0</v>
      </c>
      <c r="L255" s="123" t="b">
        <v>0</v>
      </c>
    </row>
    <row r="256" spans="1:12" ht="15">
      <c r="A256" s="123" t="s">
        <v>858</v>
      </c>
      <c r="B256" s="123" t="s">
        <v>842</v>
      </c>
      <c r="C256" s="123">
        <v>2</v>
      </c>
      <c r="D256" s="125">
        <v>0.0011381931419044056</v>
      </c>
      <c r="E256" s="125">
        <v>2.2098212871095577</v>
      </c>
      <c r="F256" s="123" t="s">
        <v>1172</v>
      </c>
      <c r="G256" s="123" t="b">
        <v>0</v>
      </c>
      <c r="H256" s="123" t="b">
        <v>0</v>
      </c>
      <c r="I256" s="123" t="b">
        <v>0</v>
      </c>
      <c r="J256" s="123" t="b">
        <v>0</v>
      </c>
      <c r="K256" s="123" t="b">
        <v>0</v>
      </c>
      <c r="L256" s="123" t="b">
        <v>0</v>
      </c>
    </row>
    <row r="257" spans="1:12" ht="15">
      <c r="A257" s="123" t="s">
        <v>789</v>
      </c>
      <c r="B257" s="123" t="s">
        <v>1121</v>
      </c>
      <c r="C257" s="123">
        <v>2</v>
      </c>
      <c r="D257" s="125">
        <v>0.0011381931419044056</v>
      </c>
      <c r="E257" s="125">
        <v>1.9904613378968963</v>
      </c>
      <c r="F257" s="123" t="s">
        <v>1172</v>
      </c>
      <c r="G257" s="123" t="b">
        <v>0</v>
      </c>
      <c r="H257" s="123" t="b">
        <v>0</v>
      </c>
      <c r="I257" s="123" t="b">
        <v>0</v>
      </c>
      <c r="J257" s="123" t="b">
        <v>0</v>
      </c>
      <c r="K257" s="123" t="b">
        <v>0</v>
      </c>
      <c r="L257" s="123" t="b">
        <v>0</v>
      </c>
    </row>
    <row r="258" spans="1:12" ht="15">
      <c r="A258" s="123" t="s">
        <v>955</v>
      </c>
      <c r="B258" s="123" t="s">
        <v>1126</v>
      </c>
      <c r="C258" s="123">
        <v>2</v>
      </c>
      <c r="D258" s="125">
        <v>0.0013436743676136075</v>
      </c>
      <c r="E258" s="125">
        <v>2.97573808107619</v>
      </c>
      <c r="F258" s="123" t="s">
        <v>1172</v>
      </c>
      <c r="G258" s="123" t="b">
        <v>0</v>
      </c>
      <c r="H258" s="123" t="b">
        <v>0</v>
      </c>
      <c r="I258" s="123" t="b">
        <v>0</v>
      </c>
      <c r="J258" s="123" t="b">
        <v>0</v>
      </c>
      <c r="K258" s="123" t="b">
        <v>0</v>
      </c>
      <c r="L258" s="123" t="b">
        <v>0</v>
      </c>
    </row>
    <row r="259" spans="1:12" ht="15">
      <c r="A259" s="123" t="s">
        <v>1127</v>
      </c>
      <c r="B259" s="123" t="s">
        <v>1128</v>
      </c>
      <c r="C259" s="123">
        <v>2</v>
      </c>
      <c r="D259" s="125">
        <v>0.0013436743676136075</v>
      </c>
      <c r="E259" s="125">
        <v>3.151829340131871</v>
      </c>
      <c r="F259" s="123" t="s">
        <v>1172</v>
      </c>
      <c r="G259" s="123" t="b">
        <v>0</v>
      </c>
      <c r="H259" s="123" t="b">
        <v>0</v>
      </c>
      <c r="I259" s="123" t="b">
        <v>0</v>
      </c>
      <c r="J259" s="123" t="b">
        <v>0</v>
      </c>
      <c r="K259" s="123" t="b">
        <v>0</v>
      </c>
      <c r="L259" s="123" t="b">
        <v>0</v>
      </c>
    </row>
    <row r="260" spans="1:12" ht="15">
      <c r="A260" s="123" t="s">
        <v>985</v>
      </c>
      <c r="B260" s="123" t="s">
        <v>1131</v>
      </c>
      <c r="C260" s="123">
        <v>2</v>
      </c>
      <c r="D260" s="125">
        <v>0.0013436743676136075</v>
      </c>
      <c r="E260" s="125">
        <v>2.97573808107619</v>
      </c>
      <c r="F260" s="123" t="s">
        <v>1172</v>
      </c>
      <c r="G260" s="123" t="b">
        <v>0</v>
      </c>
      <c r="H260" s="123" t="b">
        <v>0</v>
      </c>
      <c r="I260" s="123" t="b">
        <v>0</v>
      </c>
      <c r="J260" s="123" t="b">
        <v>0</v>
      </c>
      <c r="K260" s="123" t="b">
        <v>0</v>
      </c>
      <c r="L260" s="123" t="b">
        <v>0</v>
      </c>
    </row>
    <row r="261" spans="1:12" ht="15">
      <c r="A261" s="123" t="s">
        <v>785</v>
      </c>
      <c r="B261" s="123" t="s">
        <v>787</v>
      </c>
      <c r="C261" s="123">
        <v>2</v>
      </c>
      <c r="D261" s="125">
        <v>0.0011381931419044056</v>
      </c>
      <c r="E261" s="125">
        <v>0.4871873645757456</v>
      </c>
      <c r="F261" s="123" t="s">
        <v>1172</v>
      </c>
      <c r="G261" s="123" t="b">
        <v>0</v>
      </c>
      <c r="H261" s="123" t="b">
        <v>0</v>
      </c>
      <c r="I261" s="123" t="b">
        <v>0</v>
      </c>
      <c r="J261" s="123" t="b">
        <v>0</v>
      </c>
      <c r="K261" s="123" t="b">
        <v>0</v>
      </c>
      <c r="L261" s="123" t="b">
        <v>0</v>
      </c>
    </row>
    <row r="262" spans="1:12" ht="15">
      <c r="A262" s="123" t="s">
        <v>796</v>
      </c>
      <c r="B262" s="123" t="s">
        <v>790</v>
      </c>
      <c r="C262" s="123">
        <v>2</v>
      </c>
      <c r="D262" s="125">
        <v>0.0011381931419044056</v>
      </c>
      <c r="E262" s="125">
        <v>1.1695581070923027</v>
      </c>
      <c r="F262" s="123" t="s">
        <v>1172</v>
      </c>
      <c r="G262" s="123" t="b">
        <v>0</v>
      </c>
      <c r="H262" s="123" t="b">
        <v>0</v>
      </c>
      <c r="I262" s="123" t="b">
        <v>0</v>
      </c>
      <c r="J262" s="123" t="b">
        <v>0</v>
      </c>
      <c r="K262" s="123" t="b">
        <v>0</v>
      </c>
      <c r="L262" s="123" t="b">
        <v>0</v>
      </c>
    </row>
    <row r="263" spans="1:12" ht="15">
      <c r="A263" s="123" t="s">
        <v>884</v>
      </c>
      <c r="B263" s="123" t="s">
        <v>1136</v>
      </c>
      <c r="C263" s="123">
        <v>2</v>
      </c>
      <c r="D263" s="125">
        <v>0.0011381931419044056</v>
      </c>
      <c r="E263" s="125">
        <v>2.7538893314598334</v>
      </c>
      <c r="F263" s="123" t="s">
        <v>1172</v>
      </c>
      <c r="G263" s="123" t="b">
        <v>0</v>
      </c>
      <c r="H263" s="123" t="b">
        <v>0</v>
      </c>
      <c r="I263" s="123" t="b">
        <v>0</v>
      </c>
      <c r="J263" s="123" t="b">
        <v>0</v>
      </c>
      <c r="K263" s="123" t="b">
        <v>0</v>
      </c>
      <c r="L263" s="123" t="b">
        <v>0</v>
      </c>
    </row>
    <row r="264" spans="1:12" ht="15">
      <c r="A264" s="123" t="s">
        <v>1136</v>
      </c>
      <c r="B264" s="123" t="s">
        <v>787</v>
      </c>
      <c r="C264" s="123">
        <v>2</v>
      </c>
      <c r="D264" s="125">
        <v>0.0011381931419044056</v>
      </c>
      <c r="E264" s="125">
        <v>1.8296100453979518</v>
      </c>
      <c r="F264" s="123" t="s">
        <v>1172</v>
      </c>
      <c r="G264" s="123" t="b">
        <v>0</v>
      </c>
      <c r="H264" s="123" t="b">
        <v>0</v>
      </c>
      <c r="I264" s="123" t="b">
        <v>0</v>
      </c>
      <c r="J264" s="123" t="b">
        <v>0</v>
      </c>
      <c r="K264" s="123" t="b">
        <v>0</v>
      </c>
      <c r="L264" s="123" t="b">
        <v>0</v>
      </c>
    </row>
    <row r="265" spans="1:12" ht="15">
      <c r="A265" s="123" t="s">
        <v>796</v>
      </c>
      <c r="B265" s="123" t="s">
        <v>911</v>
      </c>
      <c r="C265" s="123">
        <v>2</v>
      </c>
      <c r="D265" s="125">
        <v>0.0011381931419044056</v>
      </c>
      <c r="E265" s="125">
        <v>1.9477093574759463</v>
      </c>
      <c r="F265" s="123" t="s">
        <v>1172</v>
      </c>
      <c r="G265" s="123" t="b">
        <v>0</v>
      </c>
      <c r="H265" s="123" t="b">
        <v>0</v>
      </c>
      <c r="I265" s="123" t="b">
        <v>0</v>
      </c>
      <c r="J265" s="123" t="b">
        <v>0</v>
      </c>
      <c r="K265" s="123" t="b">
        <v>0</v>
      </c>
      <c r="L265" s="123" t="b">
        <v>0</v>
      </c>
    </row>
    <row r="266" spans="1:12" ht="15">
      <c r="A266" s="123" t="s">
        <v>911</v>
      </c>
      <c r="B266" s="123" t="s">
        <v>787</v>
      </c>
      <c r="C266" s="123">
        <v>2</v>
      </c>
      <c r="D266" s="125">
        <v>0.0011381931419044056</v>
      </c>
      <c r="E266" s="125">
        <v>1.5285800497339705</v>
      </c>
      <c r="F266" s="123" t="s">
        <v>1172</v>
      </c>
      <c r="G266" s="123" t="b">
        <v>0</v>
      </c>
      <c r="H266" s="123" t="b">
        <v>0</v>
      </c>
      <c r="I266" s="123" t="b">
        <v>0</v>
      </c>
      <c r="J266" s="123" t="b">
        <v>0</v>
      </c>
      <c r="K266" s="123" t="b">
        <v>0</v>
      </c>
      <c r="L266" s="123" t="b">
        <v>0</v>
      </c>
    </row>
    <row r="267" spans="1:12" ht="15">
      <c r="A267" s="123" t="s">
        <v>787</v>
      </c>
      <c r="B267" s="123" t="s">
        <v>811</v>
      </c>
      <c r="C267" s="123">
        <v>2</v>
      </c>
      <c r="D267" s="125">
        <v>0.0011381931419044056</v>
      </c>
      <c r="E267" s="125">
        <v>1.0514587950143082</v>
      </c>
      <c r="F267" s="123" t="s">
        <v>1172</v>
      </c>
      <c r="G267" s="123" t="b">
        <v>0</v>
      </c>
      <c r="H267" s="123" t="b">
        <v>0</v>
      </c>
      <c r="I267" s="123" t="b">
        <v>0</v>
      </c>
      <c r="J267" s="123" t="b">
        <v>0</v>
      </c>
      <c r="K267" s="123" t="b">
        <v>0</v>
      </c>
      <c r="L267" s="123" t="b">
        <v>0</v>
      </c>
    </row>
    <row r="268" spans="1:12" ht="15">
      <c r="A268" s="123" t="s">
        <v>787</v>
      </c>
      <c r="B268" s="123" t="s">
        <v>788</v>
      </c>
      <c r="C268" s="123">
        <v>2</v>
      </c>
      <c r="D268" s="125">
        <v>0.0011381931419044056</v>
      </c>
      <c r="E268" s="125">
        <v>0.5743375402946458</v>
      </c>
      <c r="F268" s="123" t="s">
        <v>1172</v>
      </c>
      <c r="G268" s="123" t="b">
        <v>0</v>
      </c>
      <c r="H268" s="123" t="b">
        <v>0</v>
      </c>
      <c r="I268" s="123" t="b">
        <v>0</v>
      </c>
      <c r="J268" s="123" t="b">
        <v>0</v>
      </c>
      <c r="K268" s="123" t="b">
        <v>1</v>
      </c>
      <c r="L268" s="123" t="b">
        <v>0</v>
      </c>
    </row>
    <row r="269" spans="1:12" ht="15">
      <c r="A269" s="123" t="s">
        <v>1138</v>
      </c>
      <c r="B269" s="123" t="s">
        <v>1139</v>
      </c>
      <c r="C269" s="123">
        <v>2</v>
      </c>
      <c r="D269" s="125">
        <v>0.0013436743676136075</v>
      </c>
      <c r="E269" s="125">
        <v>3.151829340131871</v>
      </c>
      <c r="F269" s="123" t="s">
        <v>1172</v>
      </c>
      <c r="G269" s="123" t="b">
        <v>0</v>
      </c>
      <c r="H269" s="123" t="b">
        <v>0</v>
      </c>
      <c r="I269" s="123" t="b">
        <v>0</v>
      </c>
      <c r="J269" s="123" t="b">
        <v>0</v>
      </c>
      <c r="K269" s="123" t="b">
        <v>0</v>
      </c>
      <c r="L269" s="123" t="b">
        <v>0</v>
      </c>
    </row>
    <row r="270" spans="1:12" ht="15">
      <c r="A270" s="123" t="s">
        <v>779</v>
      </c>
      <c r="B270" s="123" t="s">
        <v>886</v>
      </c>
      <c r="C270" s="123">
        <v>2</v>
      </c>
      <c r="D270" s="125">
        <v>0.0013436743676136075</v>
      </c>
      <c r="E270" s="125">
        <v>1.1026113174616894</v>
      </c>
      <c r="F270" s="123" t="s">
        <v>1172</v>
      </c>
      <c r="G270" s="123" t="b">
        <v>0</v>
      </c>
      <c r="H270" s="123" t="b">
        <v>0</v>
      </c>
      <c r="I270" s="123" t="b">
        <v>0</v>
      </c>
      <c r="J270" s="123" t="b">
        <v>0</v>
      </c>
      <c r="K270" s="123" t="b">
        <v>0</v>
      </c>
      <c r="L270" s="123" t="b">
        <v>0</v>
      </c>
    </row>
    <row r="271" spans="1:12" ht="15">
      <c r="A271" s="123" t="s">
        <v>886</v>
      </c>
      <c r="B271" s="123" t="s">
        <v>1144</v>
      </c>
      <c r="C271" s="123">
        <v>2</v>
      </c>
      <c r="D271" s="125">
        <v>0.0013436743676136075</v>
      </c>
      <c r="E271" s="125">
        <v>2.85079934446789</v>
      </c>
      <c r="F271" s="123" t="s">
        <v>1172</v>
      </c>
      <c r="G271" s="123" t="b">
        <v>0</v>
      </c>
      <c r="H271" s="123" t="b">
        <v>0</v>
      </c>
      <c r="I271" s="123" t="b">
        <v>0</v>
      </c>
      <c r="J271" s="123" t="b">
        <v>0</v>
      </c>
      <c r="K271" s="123" t="b">
        <v>0</v>
      </c>
      <c r="L271" s="123" t="b">
        <v>0</v>
      </c>
    </row>
    <row r="272" spans="1:12" ht="15">
      <c r="A272" s="123" t="s">
        <v>915</v>
      </c>
      <c r="B272" s="123" t="s">
        <v>807</v>
      </c>
      <c r="C272" s="123">
        <v>2</v>
      </c>
      <c r="D272" s="125">
        <v>0.0011381931419044056</v>
      </c>
      <c r="E272" s="125">
        <v>2.235375391581946</v>
      </c>
      <c r="F272" s="123" t="s">
        <v>1172</v>
      </c>
      <c r="G272" s="123" t="b">
        <v>0</v>
      </c>
      <c r="H272" s="123" t="b">
        <v>0</v>
      </c>
      <c r="I272" s="123" t="b">
        <v>0</v>
      </c>
      <c r="J272" s="123" t="b">
        <v>0</v>
      </c>
      <c r="K272" s="123" t="b">
        <v>0</v>
      </c>
      <c r="L272" s="123" t="b">
        <v>0</v>
      </c>
    </row>
    <row r="273" spans="1:12" ht="15">
      <c r="A273" s="123" t="s">
        <v>780</v>
      </c>
      <c r="B273" s="123" t="s">
        <v>1146</v>
      </c>
      <c r="C273" s="123">
        <v>2</v>
      </c>
      <c r="D273" s="125">
        <v>0.0011381931419044056</v>
      </c>
      <c r="E273" s="125">
        <v>1.689431342232915</v>
      </c>
      <c r="F273" s="123" t="s">
        <v>1172</v>
      </c>
      <c r="G273" s="123" t="b">
        <v>0</v>
      </c>
      <c r="H273" s="123" t="b">
        <v>0</v>
      </c>
      <c r="I273" s="123" t="b">
        <v>0</v>
      </c>
      <c r="J273" s="123" t="b">
        <v>0</v>
      </c>
      <c r="K273" s="123" t="b">
        <v>1</v>
      </c>
      <c r="L273" s="123" t="b">
        <v>0</v>
      </c>
    </row>
    <row r="274" spans="1:12" ht="15">
      <c r="A274" s="123" t="s">
        <v>1146</v>
      </c>
      <c r="B274" s="123" t="s">
        <v>780</v>
      </c>
      <c r="C274" s="123">
        <v>2</v>
      </c>
      <c r="D274" s="125">
        <v>0.0011381931419044056</v>
      </c>
      <c r="E274" s="125">
        <v>1.6675295007850852</v>
      </c>
      <c r="F274" s="123" t="s">
        <v>1172</v>
      </c>
      <c r="G274" s="123" t="b">
        <v>0</v>
      </c>
      <c r="H274" s="123" t="b">
        <v>1</v>
      </c>
      <c r="I274" s="123" t="b">
        <v>0</v>
      </c>
      <c r="J274" s="123" t="b">
        <v>0</v>
      </c>
      <c r="K274" s="123" t="b">
        <v>0</v>
      </c>
      <c r="L274" s="123" t="b">
        <v>0</v>
      </c>
    </row>
    <row r="275" spans="1:12" ht="15">
      <c r="A275" s="123" t="s">
        <v>780</v>
      </c>
      <c r="B275" s="123" t="s">
        <v>791</v>
      </c>
      <c r="C275" s="123">
        <v>2</v>
      </c>
      <c r="D275" s="125">
        <v>0.0013436743676136075</v>
      </c>
      <c r="E275" s="125">
        <v>0.668242043162977</v>
      </c>
      <c r="F275" s="123" t="s">
        <v>1172</v>
      </c>
      <c r="G275" s="123" t="b">
        <v>0</v>
      </c>
      <c r="H275" s="123" t="b">
        <v>0</v>
      </c>
      <c r="I275" s="123" t="b">
        <v>0</v>
      </c>
      <c r="J275" s="123" t="b">
        <v>0</v>
      </c>
      <c r="K275" s="123" t="b">
        <v>0</v>
      </c>
      <c r="L275" s="123" t="b">
        <v>0</v>
      </c>
    </row>
    <row r="276" spans="1:12" ht="15">
      <c r="A276" s="123" t="s">
        <v>987</v>
      </c>
      <c r="B276" s="123" t="s">
        <v>1147</v>
      </c>
      <c r="C276" s="123">
        <v>2</v>
      </c>
      <c r="D276" s="125">
        <v>0.0011381931419044056</v>
      </c>
      <c r="E276" s="125">
        <v>2.97573808107619</v>
      </c>
      <c r="F276" s="123" t="s">
        <v>1172</v>
      </c>
      <c r="G276" s="123" t="b">
        <v>0</v>
      </c>
      <c r="H276" s="123" t="b">
        <v>0</v>
      </c>
      <c r="I276" s="123" t="b">
        <v>0</v>
      </c>
      <c r="J276" s="123" t="b">
        <v>0</v>
      </c>
      <c r="K276" s="123" t="b">
        <v>0</v>
      </c>
      <c r="L276" s="123" t="b">
        <v>0</v>
      </c>
    </row>
    <row r="277" spans="1:12" ht="15">
      <c r="A277" s="123" t="s">
        <v>990</v>
      </c>
      <c r="B277" s="123" t="s">
        <v>1151</v>
      </c>
      <c r="C277" s="123">
        <v>2</v>
      </c>
      <c r="D277" s="125">
        <v>0.0011381931419044056</v>
      </c>
      <c r="E277" s="125">
        <v>2.97573808107619</v>
      </c>
      <c r="F277" s="123" t="s">
        <v>1172</v>
      </c>
      <c r="G277" s="123" t="b">
        <v>0</v>
      </c>
      <c r="H277" s="123" t="b">
        <v>0</v>
      </c>
      <c r="I277" s="123" t="b">
        <v>0</v>
      </c>
      <c r="J277" s="123" t="b">
        <v>0</v>
      </c>
      <c r="K277" s="123" t="b">
        <v>0</v>
      </c>
      <c r="L277" s="123" t="b">
        <v>0</v>
      </c>
    </row>
    <row r="278" spans="1:12" ht="15">
      <c r="A278" s="123" t="s">
        <v>798</v>
      </c>
      <c r="B278" s="123" t="s">
        <v>1152</v>
      </c>
      <c r="C278" s="123">
        <v>2</v>
      </c>
      <c r="D278" s="125">
        <v>0.0013436743676136075</v>
      </c>
      <c r="E278" s="125">
        <v>2.2767680767401712</v>
      </c>
      <c r="F278" s="123" t="s">
        <v>1172</v>
      </c>
      <c r="G278" s="123" t="b">
        <v>0</v>
      </c>
      <c r="H278" s="123" t="b">
        <v>0</v>
      </c>
      <c r="I278" s="123" t="b">
        <v>0</v>
      </c>
      <c r="J278" s="123" t="b">
        <v>0</v>
      </c>
      <c r="K278" s="123" t="b">
        <v>0</v>
      </c>
      <c r="L278" s="123" t="b">
        <v>0</v>
      </c>
    </row>
    <row r="279" spans="1:12" ht="15">
      <c r="A279" s="123" t="s">
        <v>880</v>
      </c>
      <c r="B279" s="123" t="s">
        <v>1154</v>
      </c>
      <c r="C279" s="123">
        <v>2</v>
      </c>
      <c r="D279" s="125">
        <v>0.0013436743676136075</v>
      </c>
      <c r="E279" s="125">
        <v>2.7538893314598334</v>
      </c>
      <c r="F279" s="123" t="s">
        <v>1172</v>
      </c>
      <c r="G279" s="123" t="b">
        <v>0</v>
      </c>
      <c r="H279" s="123" t="b">
        <v>0</v>
      </c>
      <c r="I279" s="123" t="b">
        <v>0</v>
      </c>
      <c r="J279" s="123" t="b">
        <v>0</v>
      </c>
      <c r="K279" s="123" t="b">
        <v>0</v>
      </c>
      <c r="L279" s="123" t="b">
        <v>0</v>
      </c>
    </row>
    <row r="280" spans="1:12" ht="15">
      <c r="A280" s="123" t="s">
        <v>1155</v>
      </c>
      <c r="B280" s="123" t="s">
        <v>1156</v>
      </c>
      <c r="C280" s="123">
        <v>2</v>
      </c>
      <c r="D280" s="125">
        <v>0.0011381931419044056</v>
      </c>
      <c r="E280" s="125">
        <v>3.151829340131871</v>
      </c>
      <c r="F280" s="123" t="s">
        <v>1172</v>
      </c>
      <c r="G280" s="123" t="b">
        <v>0</v>
      </c>
      <c r="H280" s="123" t="b">
        <v>0</v>
      </c>
      <c r="I280" s="123" t="b">
        <v>0</v>
      </c>
      <c r="J280" s="123" t="b">
        <v>0</v>
      </c>
      <c r="K280" s="123" t="b">
        <v>0</v>
      </c>
      <c r="L280" s="123" t="b">
        <v>0</v>
      </c>
    </row>
    <row r="281" spans="1:12" ht="15">
      <c r="A281" s="123" t="s">
        <v>1159</v>
      </c>
      <c r="B281" s="123" t="s">
        <v>1160</v>
      </c>
      <c r="C281" s="123">
        <v>2</v>
      </c>
      <c r="D281" s="125">
        <v>0.0011381931419044056</v>
      </c>
      <c r="E281" s="125">
        <v>3.151829340131871</v>
      </c>
      <c r="F281" s="123" t="s">
        <v>1172</v>
      </c>
      <c r="G281" s="123" t="b">
        <v>0</v>
      </c>
      <c r="H281" s="123" t="b">
        <v>0</v>
      </c>
      <c r="I281" s="123" t="b">
        <v>0</v>
      </c>
      <c r="J281" s="123" t="b">
        <v>0</v>
      </c>
      <c r="K281" s="123" t="b">
        <v>0</v>
      </c>
      <c r="L281" s="123" t="b">
        <v>0</v>
      </c>
    </row>
    <row r="282" spans="1:12" ht="15">
      <c r="A282" s="123" t="s">
        <v>1160</v>
      </c>
      <c r="B282" s="123" t="s">
        <v>975</v>
      </c>
      <c r="C282" s="123">
        <v>2</v>
      </c>
      <c r="D282" s="125">
        <v>0.0011381931419044056</v>
      </c>
      <c r="E282" s="125">
        <v>2.97573808107619</v>
      </c>
      <c r="F282" s="123" t="s">
        <v>1172</v>
      </c>
      <c r="G282" s="123" t="b">
        <v>0</v>
      </c>
      <c r="H282" s="123" t="b">
        <v>0</v>
      </c>
      <c r="I282" s="123" t="b">
        <v>0</v>
      </c>
      <c r="J282" s="123" t="b">
        <v>0</v>
      </c>
      <c r="K282" s="123" t="b">
        <v>0</v>
      </c>
      <c r="L282" s="123" t="b">
        <v>0</v>
      </c>
    </row>
    <row r="283" spans="1:12" ht="15">
      <c r="A283" s="123" t="s">
        <v>975</v>
      </c>
      <c r="B283" s="123" t="s">
        <v>1161</v>
      </c>
      <c r="C283" s="123">
        <v>2</v>
      </c>
      <c r="D283" s="125">
        <v>0.0011381931419044056</v>
      </c>
      <c r="E283" s="125">
        <v>2.97573808107619</v>
      </c>
      <c r="F283" s="123" t="s">
        <v>1172</v>
      </c>
      <c r="G283" s="123" t="b">
        <v>0</v>
      </c>
      <c r="H283" s="123" t="b">
        <v>0</v>
      </c>
      <c r="I283" s="123" t="b">
        <v>0</v>
      </c>
      <c r="J283" s="123" t="b">
        <v>0</v>
      </c>
      <c r="K283" s="123" t="b">
        <v>0</v>
      </c>
      <c r="L283" s="123" t="b">
        <v>0</v>
      </c>
    </row>
    <row r="284" spans="1:12" ht="15">
      <c r="A284" s="123" t="s">
        <v>994</v>
      </c>
      <c r="B284" s="123" t="s">
        <v>1163</v>
      </c>
      <c r="C284" s="123">
        <v>2</v>
      </c>
      <c r="D284" s="125">
        <v>0.0011381931419044056</v>
      </c>
      <c r="E284" s="125">
        <v>3.151829340131871</v>
      </c>
      <c r="F284" s="123" t="s">
        <v>1172</v>
      </c>
      <c r="G284" s="123" t="b">
        <v>0</v>
      </c>
      <c r="H284" s="123" t="b">
        <v>0</v>
      </c>
      <c r="I284" s="123" t="b">
        <v>0</v>
      </c>
      <c r="J284" s="123" t="b">
        <v>0</v>
      </c>
      <c r="K284" s="123" t="b">
        <v>0</v>
      </c>
      <c r="L284" s="123" t="b">
        <v>0</v>
      </c>
    </row>
    <row r="285" spans="1:12" ht="15">
      <c r="A285" s="123" t="s">
        <v>995</v>
      </c>
      <c r="B285" s="123" t="s">
        <v>995</v>
      </c>
      <c r="C285" s="123">
        <v>2</v>
      </c>
      <c r="D285" s="125">
        <v>0.0013436743676136075</v>
      </c>
      <c r="E285" s="125">
        <v>2.7996468220205086</v>
      </c>
      <c r="F285" s="123" t="s">
        <v>1172</v>
      </c>
      <c r="G285" s="123" t="b">
        <v>0</v>
      </c>
      <c r="H285" s="123" t="b">
        <v>0</v>
      </c>
      <c r="I285" s="123" t="b">
        <v>0</v>
      </c>
      <c r="J285" s="123" t="b">
        <v>0</v>
      </c>
      <c r="K285" s="123" t="b">
        <v>0</v>
      </c>
      <c r="L285" s="123" t="b">
        <v>0</v>
      </c>
    </row>
    <row r="286" spans="1:12" ht="15">
      <c r="A286" s="123" t="s">
        <v>781</v>
      </c>
      <c r="B286" s="123" t="s">
        <v>779</v>
      </c>
      <c r="C286" s="123">
        <v>6</v>
      </c>
      <c r="D286" s="125">
        <v>0.005988969724514591</v>
      </c>
      <c r="E286" s="125">
        <v>1.516629796003336</v>
      </c>
      <c r="F286" s="123" t="s">
        <v>749</v>
      </c>
      <c r="G286" s="123" t="b">
        <v>0</v>
      </c>
      <c r="H286" s="123" t="b">
        <v>0</v>
      </c>
      <c r="I286" s="123" t="b">
        <v>0</v>
      </c>
      <c r="J286" s="123" t="b">
        <v>0</v>
      </c>
      <c r="K286" s="123" t="b">
        <v>0</v>
      </c>
      <c r="L286" s="123" t="b">
        <v>0</v>
      </c>
    </row>
    <row r="287" spans="1:12" ht="15">
      <c r="A287" s="123" t="s">
        <v>849</v>
      </c>
      <c r="B287" s="123" t="s">
        <v>850</v>
      </c>
      <c r="C287" s="123">
        <v>6</v>
      </c>
      <c r="D287" s="125">
        <v>0.005988969724514591</v>
      </c>
      <c r="E287" s="125">
        <v>1.8846065812979305</v>
      </c>
      <c r="F287" s="123" t="s">
        <v>749</v>
      </c>
      <c r="G287" s="123" t="b">
        <v>0</v>
      </c>
      <c r="H287" s="123" t="b">
        <v>0</v>
      </c>
      <c r="I287" s="123" t="b">
        <v>0</v>
      </c>
      <c r="J287" s="123" t="b">
        <v>0</v>
      </c>
      <c r="K287" s="123" t="b">
        <v>0</v>
      </c>
      <c r="L287" s="123" t="b">
        <v>0</v>
      </c>
    </row>
    <row r="288" spans="1:12" ht="15">
      <c r="A288" s="123" t="s">
        <v>802</v>
      </c>
      <c r="B288" s="123" t="s">
        <v>851</v>
      </c>
      <c r="C288" s="123">
        <v>6</v>
      </c>
      <c r="D288" s="125">
        <v>0.009767588916949501</v>
      </c>
      <c r="E288" s="125">
        <v>1.5835765856339492</v>
      </c>
      <c r="F288" s="123" t="s">
        <v>749</v>
      </c>
      <c r="G288" s="123" t="b">
        <v>0</v>
      </c>
      <c r="H288" s="123" t="b">
        <v>0</v>
      </c>
      <c r="I288" s="123" t="b">
        <v>0</v>
      </c>
      <c r="J288" s="123" t="b">
        <v>0</v>
      </c>
      <c r="K288" s="123" t="b">
        <v>0</v>
      </c>
      <c r="L288" s="123" t="b">
        <v>0</v>
      </c>
    </row>
    <row r="289" spans="1:12" ht="15">
      <c r="A289" s="123" t="s">
        <v>864</v>
      </c>
      <c r="B289" s="123" t="s">
        <v>825</v>
      </c>
      <c r="C289" s="123">
        <v>5</v>
      </c>
      <c r="D289" s="125">
        <v>0.008139657430791251</v>
      </c>
      <c r="E289" s="125">
        <v>1.6293340761946242</v>
      </c>
      <c r="F289" s="123" t="s">
        <v>749</v>
      </c>
      <c r="G289" s="123" t="b">
        <v>0</v>
      </c>
      <c r="H289" s="123" t="b">
        <v>0</v>
      </c>
      <c r="I289" s="123" t="b">
        <v>0</v>
      </c>
      <c r="J289" s="123" t="b">
        <v>0</v>
      </c>
      <c r="K289" s="123" t="b">
        <v>0</v>
      </c>
      <c r="L289" s="123" t="b">
        <v>0</v>
      </c>
    </row>
    <row r="290" spans="1:12" ht="15">
      <c r="A290" s="123" t="s">
        <v>794</v>
      </c>
      <c r="B290" s="123" t="s">
        <v>806</v>
      </c>
      <c r="C290" s="123">
        <v>4</v>
      </c>
      <c r="D290" s="125">
        <v>0.007985292966019455</v>
      </c>
      <c r="E290" s="125">
        <v>0.9204255493244258</v>
      </c>
      <c r="F290" s="123" t="s">
        <v>749</v>
      </c>
      <c r="G290" s="123" t="b">
        <v>0</v>
      </c>
      <c r="H290" s="123" t="b">
        <v>0</v>
      </c>
      <c r="I290" s="123" t="b">
        <v>0</v>
      </c>
      <c r="J290" s="123" t="b">
        <v>0</v>
      </c>
      <c r="K290" s="123" t="b">
        <v>0</v>
      </c>
      <c r="L290" s="123" t="b">
        <v>0</v>
      </c>
    </row>
    <row r="291" spans="1:12" ht="15">
      <c r="A291" s="123" t="s">
        <v>806</v>
      </c>
      <c r="B291" s="123" t="s">
        <v>816</v>
      </c>
      <c r="C291" s="123">
        <v>4</v>
      </c>
      <c r="D291" s="125">
        <v>0.006511725944633001</v>
      </c>
      <c r="E291" s="125">
        <v>1.1094817855444747</v>
      </c>
      <c r="F291" s="123" t="s">
        <v>749</v>
      </c>
      <c r="G291" s="123" t="b">
        <v>0</v>
      </c>
      <c r="H291" s="123" t="b">
        <v>0</v>
      </c>
      <c r="I291" s="123" t="b">
        <v>0</v>
      </c>
      <c r="J291" s="123" t="b">
        <v>0</v>
      </c>
      <c r="K291" s="123" t="b">
        <v>0</v>
      </c>
      <c r="L291" s="123" t="b">
        <v>0</v>
      </c>
    </row>
    <row r="292" spans="1:12" ht="15">
      <c r="A292" s="123" t="s">
        <v>799</v>
      </c>
      <c r="B292" s="123" t="s">
        <v>784</v>
      </c>
      <c r="C292" s="123">
        <v>4</v>
      </c>
      <c r="D292" s="125">
        <v>0.005466213504396181</v>
      </c>
      <c r="E292" s="125">
        <v>1.9637878273455553</v>
      </c>
      <c r="F292" s="123" t="s">
        <v>749</v>
      </c>
      <c r="G292" s="123" t="b">
        <v>0</v>
      </c>
      <c r="H292" s="123" t="b">
        <v>0</v>
      </c>
      <c r="I292" s="123" t="b">
        <v>0</v>
      </c>
      <c r="J292" s="123" t="b">
        <v>0</v>
      </c>
      <c r="K292" s="123" t="b">
        <v>0</v>
      </c>
      <c r="L292" s="123" t="b">
        <v>0</v>
      </c>
    </row>
    <row r="293" spans="1:12" ht="15">
      <c r="A293" s="123" t="s">
        <v>794</v>
      </c>
      <c r="B293" s="123" t="s">
        <v>610</v>
      </c>
      <c r="C293" s="123">
        <v>3</v>
      </c>
      <c r="D293" s="125">
        <v>0.004883794458474751</v>
      </c>
      <c r="E293" s="125">
        <v>1.0643321250087057</v>
      </c>
      <c r="F293" s="123" t="s">
        <v>749</v>
      </c>
      <c r="G293" s="123" t="b">
        <v>0</v>
      </c>
      <c r="H293" s="123" t="b">
        <v>0</v>
      </c>
      <c r="I293" s="123" t="b">
        <v>0</v>
      </c>
      <c r="J293" s="123" t="b">
        <v>0</v>
      </c>
      <c r="K293" s="123" t="b">
        <v>0</v>
      </c>
      <c r="L293" s="123" t="b">
        <v>0</v>
      </c>
    </row>
    <row r="294" spans="1:12" ht="15">
      <c r="A294" s="123" t="s">
        <v>794</v>
      </c>
      <c r="B294" s="123" t="s">
        <v>816</v>
      </c>
      <c r="C294" s="123">
        <v>3</v>
      </c>
      <c r="D294" s="125">
        <v>0.004883794458474751</v>
      </c>
      <c r="E294" s="125">
        <v>0.8680374798647374</v>
      </c>
      <c r="F294" s="123" t="s">
        <v>749</v>
      </c>
      <c r="G294" s="123" t="b">
        <v>0</v>
      </c>
      <c r="H294" s="123" t="b">
        <v>0</v>
      </c>
      <c r="I294" s="123" t="b">
        <v>0</v>
      </c>
      <c r="J294" s="123" t="b">
        <v>0</v>
      </c>
      <c r="K294" s="123" t="b">
        <v>0</v>
      </c>
      <c r="L294" s="123" t="b">
        <v>0</v>
      </c>
    </row>
    <row r="295" spans="1:12" ht="15">
      <c r="A295" s="123" t="s">
        <v>816</v>
      </c>
      <c r="B295" s="123" t="s">
        <v>794</v>
      </c>
      <c r="C295" s="123">
        <v>3</v>
      </c>
      <c r="D295" s="125">
        <v>0.004883794458474751</v>
      </c>
      <c r="E295" s="125">
        <v>0.9223951421873302</v>
      </c>
      <c r="F295" s="123" t="s">
        <v>749</v>
      </c>
      <c r="G295" s="123" t="b">
        <v>0</v>
      </c>
      <c r="H295" s="123" t="b">
        <v>0</v>
      </c>
      <c r="I295" s="123" t="b">
        <v>0</v>
      </c>
      <c r="J295" s="123" t="b">
        <v>0</v>
      </c>
      <c r="K295" s="123" t="b">
        <v>0</v>
      </c>
      <c r="L295" s="123" t="b">
        <v>0</v>
      </c>
    </row>
    <row r="296" spans="1:12" ht="15">
      <c r="A296" s="123" t="s">
        <v>806</v>
      </c>
      <c r="B296" s="123" t="s">
        <v>794</v>
      </c>
      <c r="C296" s="123">
        <v>3</v>
      </c>
      <c r="D296" s="125">
        <v>0.004883794458474751</v>
      </c>
      <c r="E296" s="125">
        <v>0.8498444750387185</v>
      </c>
      <c r="F296" s="123" t="s">
        <v>749</v>
      </c>
      <c r="G296" s="123" t="b">
        <v>0</v>
      </c>
      <c r="H296" s="123" t="b">
        <v>0</v>
      </c>
      <c r="I296" s="123" t="b">
        <v>0</v>
      </c>
      <c r="J296" s="123" t="b">
        <v>0</v>
      </c>
      <c r="K296" s="123" t="b">
        <v>0</v>
      </c>
      <c r="L296" s="123" t="b">
        <v>0</v>
      </c>
    </row>
    <row r="297" spans="1:12" ht="15">
      <c r="A297" s="123" t="s">
        <v>806</v>
      </c>
      <c r="B297" s="123" t="s">
        <v>610</v>
      </c>
      <c r="C297" s="123">
        <v>3</v>
      </c>
      <c r="D297" s="125">
        <v>0.004883794458474751</v>
      </c>
      <c r="E297" s="125">
        <v>1.1808376940801428</v>
      </c>
      <c r="F297" s="123" t="s">
        <v>749</v>
      </c>
      <c r="G297" s="123" t="b">
        <v>0</v>
      </c>
      <c r="H297" s="123" t="b">
        <v>0</v>
      </c>
      <c r="I297" s="123" t="b">
        <v>0</v>
      </c>
      <c r="J297" s="123" t="b">
        <v>0</v>
      </c>
      <c r="K297" s="123" t="b">
        <v>0</v>
      </c>
      <c r="L297" s="123" t="b">
        <v>0</v>
      </c>
    </row>
    <row r="298" spans="1:12" ht="15">
      <c r="A298" s="123" t="s">
        <v>610</v>
      </c>
      <c r="B298" s="123" t="s">
        <v>806</v>
      </c>
      <c r="C298" s="123">
        <v>3</v>
      </c>
      <c r="D298" s="125">
        <v>0.004883794458474751</v>
      </c>
      <c r="E298" s="125">
        <v>1.1808376940801428</v>
      </c>
      <c r="F298" s="123" t="s">
        <v>749</v>
      </c>
      <c r="G298" s="123" t="b">
        <v>0</v>
      </c>
      <c r="H298" s="123" t="b">
        <v>0</v>
      </c>
      <c r="I298" s="123" t="b">
        <v>0</v>
      </c>
      <c r="J298" s="123" t="b">
        <v>0</v>
      </c>
      <c r="K298" s="123" t="b">
        <v>0</v>
      </c>
      <c r="L298" s="123" t="b">
        <v>0</v>
      </c>
    </row>
    <row r="299" spans="1:12" ht="15">
      <c r="A299" s="123" t="s">
        <v>816</v>
      </c>
      <c r="B299" s="123" t="s">
        <v>971</v>
      </c>
      <c r="C299" s="123">
        <v>3</v>
      </c>
      <c r="D299" s="125">
        <v>0.004883794458474751</v>
      </c>
      <c r="E299" s="125">
        <v>1.621365146523349</v>
      </c>
      <c r="F299" s="123" t="s">
        <v>749</v>
      </c>
      <c r="G299" s="123" t="b">
        <v>0</v>
      </c>
      <c r="H299" s="123" t="b">
        <v>0</v>
      </c>
      <c r="I299" s="123" t="b">
        <v>0</v>
      </c>
      <c r="J299" s="123" t="b">
        <v>0</v>
      </c>
      <c r="K299" s="123" t="b">
        <v>0</v>
      </c>
      <c r="L299" s="123" t="b">
        <v>0</v>
      </c>
    </row>
    <row r="300" spans="1:12" ht="15">
      <c r="A300" s="123" t="s">
        <v>825</v>
      </c>
      <c r="B300" s="123" t="s">
        <v>972</v>
      </c>
      <c r="C300" s="123">
        <v>3</v>
      </c>
      <c r="D300" s="125">
        <v>0.004883794458474751</v>
      </c>
      <c r="E300" s="125">
        <v>1.7085153222422491</v>
      </c>
      <c r="F300" s="123" t="s">
        <v>749</v>
      </c>
      <c r="G300" s="123" t="b">
        <v>0</v>
      </c>
      <c r="H300" s="123" t="b">
        <v>0</v>
      </c>
      <c r="I300" s="123" t="b">
        <v>0</v>
      </c>
      <c r="J300" s="123" t="b">
        <v>0</v>
      </c>
      <c r="K300" s="123" t="b">
        <v>0</v>
      </c>
      <c r="L300" s="123" t="b">
        <v>0</v>
      </c>
    </row>
    <row r="301" spans="1:12" ht="15">
      <c r="A301" s="123" t="s">
        <v>972</v>
      </c>
      <c r="B301" s="123" t="s">
        <v>973</v>
      </c>
      <c r="C301" s="123">
        <v>3</v>
      </c>
      <c r="D301" s="125">
        <v>0.004883794458474751</v>
      </c>
      <c r="E301" s="125">
        <v>2.1856365769619117</v>
      </c>
      <c r="F301" s="123" t="s">
        <v>749</v>
      </c>
      <c r="G301" s="123" t="b">
        <v>0</v>
      </c>
      <c r="H301" s="123" t="b">
        <v>0</v>
      </c>
      <c r="I301" s="123" t="b">
        <v>0</v>
      </c>
      <c r="J301" s="123" t="b">
        <v>0</v>
      </c>
      <c r="K301" s="123" t="b">
        <v>0</v>
      </c>
      <c r="L301" s="123" t="b">
        <v>0</v>
      </c>
    </row>
    <row r="302" spans="1:12" ht="15">
      <c r="A302" s="123" t="s">
        <v>973</v>
      </c>
      <c r="B302" s="123" t="s">
        <v>974</v>
      </c>
      <c r="C302" s="123">
        <v>3</v>
      </c>
      <c r="D302" s="125">
        <v>0.004883794458474751</v>
      </c>
      <c r="E302" s="125">
        <v>2.1856365769619117</v>
      </c>
      <c r="F302" s="123" t="s">
        <v>749</v>
      </c>
      <c r="G302" s="123" t="b">
        <v>0</v>
      </c>
      <c r="H302" s="123" t="b">
        <v>0</v>
      </c>
      <c r="I302" s="123" t="b">
        <v>0</v>
      </c>
      <c r="J302" s="123" t="b">
        <v>0</v>
      </c>
      <c r="K302" s="123" t="b">
        <v>0</v>
      </c>
      <c r="L302" s="123" t="b">
        <v>0</v>
      </c>
    </row>
    <row r="303" spans="1:12" ht="15">
      <c r="A303" s="123" t="s">
        <v>786</v>
      </c>
      <c r="B303" s="123" t="s">
        <v>813</v>
      </c>
      <c r="C303" s="123">
        <v>3</v>
      </c>
      <c r="D303" s="125">
        <v>0.004883794458474751</v>
      </c>
      <c r="E303" s="125">
        <v>1.320335150859368</v>
      </c>
      <c r="F303" s="123" t="s">
        <v>749</v>
      </c>
      <c r="G303" s="123" t="b">
        <v>0</v>
      </c>
      <c r="H303" s="123" t="b">
        <v>0</v>
      </c>
      <c r="I303" s="123" t="b">
        <v>0</v>
      </c>
      <c r="J303" s="123" t="b">
        <v>0</v>
      </c>
      <c r="K303" s="123" t="b">
        <v>0</v>
      </c>
      <c r="L303" s="123" t="b">
        <v>0</v>
      </c>
    </row>
    <row r="304" spans="1:12" ht="15">
      <c r="A304" s="123" t="s">
        <v>868</v>
      </c>
      <c r="B304" s="123" t="s">
        <v>849</v>
      </c>
      <c r="C304" s="123">
        <v>3</v>
      </c>
      <c r="D304" s="125">
        <v>0.004883794458474751</v>
      </c>
      <c r="E304" s="125">
        <v>1.7596678446896306</v>
      </c>
      <c r="F304" s="123" t="s">
        <v>749</v>
      </c>
      <c r="G304" s="123" t="b">
        <v>0</v>
      </c>
      <c r="H304" s="123" t="b">
        <v>0</v>
      </c>
      <c r="I304" s="123" t="b">
        <v>0</v>
      </c>
      <c r="J304" s="123" t="b">
        <v>0</v>
      </c>
      <c r="K304" s="123" t="b">
        <v>0</v>
      </c>
      <c r="L304" s="123" t="b">
        <v>0</v>
      </c>
    </row>
    <row r="305" spans="1:12" ht="15">
      <c r="A305" s="123" t="s">
        <v>806</v>
      </c>
      <c r="B305" s="123" t="s">
        <v>806</v>
      </c>
      <c r="C305" s="123">
        <v>3</v>
      </c>
      <c r="D305" s="125">
        <v>0.007878279320732045</v>
      </c>
      <c r="E305" s="125">
        <v>0.9119923817875629</v>
      </c>
      <c r="F305" s="123" t="s">
        <v>749</v>
      </c>
      <c r="G305" s="123" t="b">
        <v>0</v>
      </c>
      <c r="H305" s="123" t="b">
        <v>0</v>
      </c>
      <c r="I305" s="123" t="b">
        <v>0</v>
      </c>
      <c r="J305" s="123" t="b">
        <v>0</v>
      </c>
      <c r="K305" s="123" t="b">
        <v>0</v>
      </c>
      <c r="L305" s="123" t="b">
        <v>0</v>
      </c>
    </row>
    <row r="306" spans="1:12" ht="15">
      <c r="A306" s="123" t="s">
        <v>851</v>
      </c>
      <c r="B306" s="123" t="s">
        <v>916</v>
      </c>
      <c r="C306" s="123">
        <v>3</v>
      </c>
      <c r="D306" s="125">
        <v>0.004883794458474751</v>
      </c>
      <c r="E306" s="125">
        <v>1.9637878273455553</v>
      </c>
      <c r="F306" s="123" t="s">
        <v>749</v>
      </c>
      <c r="G306" s="123" t="b">
        <v>0</v>
      </c>
      <c r="H306" s="123" t="b">
        <v>0</v>
      </c>
      <c r="I306" s="123" t="b">
        <v>0</v>
      </c>
      <c r="J306" s="123" t="b">
        <v>0</v>
      </c>
      <c r="K306" s="123" t="b">
        <v>0</v>
      </c>
      <c r="L306" s="123" t="b">
        <v>0</v>
      </c>
    </row>
    <row r="307" spans="1:12" ht="15">
      <c r="A307" s="123" t="s">
        <v>916</v>
      </c>
      <c r="B307" s="123" t="s">
        <v>917</v>
      </c>
      <c r="C307" s="123">
        <v>3</v>
      </c>
      <c r="D307" s="125">
        <v>0.004883794458474751</v>
      </c>
      <c r="E307" s="125">
        <v>2.1856365769619117</v>
      </c>
      <c r="F307" s="123" t="s">
        <v>749</v>
      </c>
      <c r="G307" s="123" t="b">
        <v>0</v>
      </c>
      <c r="H307" s="123" t="b">
        <v>0</v>
      </c>
      <c r="I307" s="123" t="b">
        <v>0</v>
      </c>
      <c r="J307" s="123" t="b">
        <v>0</v>
      </c>
      <c r="K307" s="123" t="b">
        <v>0</v>
      </c>
      <c r="L307" s="123" t="b">
        <v>0</v>
      </c>
    </row>
    <row r="308" spans="1:12" ht="15">
      <c r="A308" s="123" t="s">
        <v>917</v>
      </c>
      <c r="B308" s="123" t="s">
        <v>918</v>
      </c>
      <c r="C308" s="123">
        <v>3</v>
      </c>
      <c r="D308" s="125">
        <v>0.004883794458474751</v>
      </c>
      <c r="E308" s="125">
        <v>2.1856365769619117</v>
      </c>
      <c r="F308" s="123" t="s">
        <v>749</v>
      </c>
      <c r="G308" s="123" t="b">
        <v>0</v>
      </c>
      <c r="H308" s="123" t="b">
        <v>0</v>
      </c>
      <c r="I308" s="123" t="b">
        <v>0</v>
      </c>
      <c r="J308" s="123" t="b">
        <v>0</v>
      </c>
      <c r="K308" s="123" t="b">
        <v>0</v>
      </c>
      <c r="L308" s="123" t="b">
        <v>0</v>
      </c>
    </row>
    <row r="309" spans="1:12" ht="15">
      <c r="A309" s="123" t="s">
        <v>918</v>
      </c>
      <c r="B309" s="123" t="s">
        <v>802</v>
      </c>
      <c r="C309" s="123">
        <v>3</v>
      </c>
      <c r="D309" s="125">
        <v>0.004883794458474751</v>
      </c>
      <c r="E309" s="125">
        <v>1.8176597916673172</v>
      </c>
      <c r="F309" s="123" t="s">
        <v>749</v>
      </c>
      <c r="G309" s="123" t="b">
        <v>0</v>
      </c>
      <c r="H309" s="123" t="b">
        <v>0</v>
      </c>
      <c r="I309" s="123" t="b">
        <v>0</v>
      </c>
      <c r="J309" s="123" t="b">
        <v>0</v>
      </c>
      <c r="K309" s="123" t="b">
        <v>0</v>
      </c>
      <c r="L309" s="123" t="b">
        <v>0</v>
      </c>
    </row>
    <row r="310" spans="1:12" ht="15">
      <c r="A310" s="123" t="s">
        <v>802</v>
      </c>
      <c r="B310" s="123" t="s">
        <v>919</v>
      </c>
      <c r="C310" s="123">
        <v>3</v>
      </c>
      <c r="D310" s="125">
        <v>0.004883794458474751</v>
      </c>
      <c r="E310" s="125">
        <v>1.5835765856339492</v>
      </c>
      <c r="F310" s="123" t="s">
        <v>749</v>
      </c>
      <c r="G310" s="123" t="b">
        <v>0</v>
      </c>
      <c r="H310" s="123" t="b">
        <v>0</v>
      </c>
      <c r="I310" s="123" t="b">
        <v>0</v>
      </c>
      <c r="J310" s="123" t="b">
        <v>0</v>
      </c>
      <c r="K310" s="123" t="b">
        <v>0</v>
      </c>
      <c r="L310" s="123" t="b">
        <v>0</v>
      </c>
    </row>
    <row r="311" spans="1:12" ht="15">
      <c r="A311" s="123" t="s">
        <v>919</v>
      </c>
      <c r="B311" s="123" t="s">
        <v>920</v>
      </c>
      <c r="C311" s="123">
        <v>3</v>
      </c>
      <c r="D311" s="125">
        <v>0.004883794458474751</v>
      </c>
      <c r="E311" s="125">
        <v>2.1856365769619117</v>
      </c>
      <c r="F311" s="123" t="s">
        <v>749</v>
      </c>
      <c r="G311" s="123" t="b">
        <v>0</v>
      </c>
      <c r="H311" s="123" t="b">
        <v>0</v>
      </c>
      <c r="I311" s="123" t="b">
        <v>0</v>
      </c>
      <c r="J311" s="123" t="b">
        <v>0</v>
      </c>
      <c r="K311" s="123" t="b">
        <v>0</v>
      </c>
      <c r="L311" s="123" t="b">
        <v>0</v>
      </c>
    </row>
    <row r="312" spans="1:12" ht="15">
      <c r="A312" s="123" t="s">
        <v>920</v>
      </c>
      <c r="B312" s="123" t="s">
        <v>802</v>
      </c>
      <c r="C312" s="123">
        <v>3</v>
      </c>
      <c r="D312" s="125">
        <v>0.004883794458474751</v>
      </c>
      <c r="E312" s="125">
        <v>1.8176597916673172</v>
      </c>
      <c r="F312" s="123" t="s">
        <v>749</v>
      </c>
      <c r="G312" s="123" t="b">
        <v>0</v>
      </c>
      <c r="H312" s="123" t="b">
        <v>0</v>
      </c>
      <c r="I312" s="123" t="b">
        <v>0</v>
      </c>
      <c r="J312" s="123" t="b">
        <v>0</v>
      </c>
      <c r="K312" s="123" t="b">
        <v>0</v>
      </c>
      <c r="L312" s="123" t="b">
        <v>0</v>
      </c>
    </row>
    <row r="313" spans="1:12" ht="15">
      <c r="A313" s="123" t="s">
        <v>610</v>
      </c>
      <c r="B313" s="123" t="s">
        <v>794</v>
      </c>
      <c r="C313" s="123">
        <v>2</v>
      </c>
      <c r="D313" s="125">
        <v>0.003992646483009728</v>
      </c>
      <c r="E313" s="125">
        <v>0.9425985282756172</v>
      </c>
      <c r="F313" s="123" t="s">
        <v>749</v>
      </c>
      <c r="G313" s="123" t="b">
        <v>0</v>
      </c>
      <c r="H313" s="123" t="b">
        <v>0</v>
      </c>
      <c r="I313" s="123" t="b">
        <v>0</v>
      </c>
      <c r="J313" s="123" t="b">
        <v>0</v>
      </c>
      <c r="K313" s="123" t="b">
        <v>0</v>
      </c>
      <c r="L313" s="123" t="b">
        <v>0</v>
      </c>
    </row>
    <row r="314" spans="1:12" ht="15">
      <c r="A314" s="123" t="s">
        <v>971</v>
      </c>
      <c r="B314" s="123" t="s">
        <v>864</v>
      </c>
      <c r="C314" s="123">
        <v>2</v>
      </c>
      <c r="D314" s="125">
        <v>0.003992646483009728</v>
      </c>
      <c r="E314" s="125">
        <v>1.787696568289874</v>
      </c>
      <c r="F314" s="123" t="s">
        <v>749</v>
      </c>
      <c r="G314" s="123" t="b">
        <v>0</v>
      </c>
      <c r="H314" s="123" t="b">
        <v>0</v>
      </c>
      <c r="I314" s="123" t="b">
        <v>0</v>
      </c>
      <c r="J314" s="123" t="b">
        <v>0</v>
      </c>
      <c r="K314" s="123" t="b">
        <v>0</v>
      </c>
      <c r="L314" s="123" t="b">
        <v>0</v>
      </c>
    </row>
    <row r="315" spans="1:12" ht="15">
      <c r="A315" s="123" t="s">
        <v>825</v>
      </c>
      <c r="B315" s="123" t="s">
        <v>864</v>
      </c>
      <c r="C315" s="123">
        <v>2</v>
      </c>
      <c r="D315" s="125">
        <v>0.003992646483009728</v>
      </c>
      <c r="E315" s="125">
        <v>1.3105753135702116</v>
      </c>
      <c r="F315" s="123" t="s">
        <v>749</v>
      </c>
      <c r="G315" s="123" t="b">
        <v>0</v>
      </c>
      <c r="H315" s="123" t="b">
        <v>0</v>
      </c>
      <c r="I315" s="123" t="b">
        <v>0</v>
      </c>
      <c r="J315" s="123" t="b">
        <v>0</v>
      </c>
      <c r="K315" s="123" t="b">
        <v>0</v>
      </c>
      <c r="L315" s="123" t="b">
        <v>0</v>
      </c>
    </row>
    <row r="316" spans="1:12" ht="15">
      <c r="A316" s="123" t="s">
        <v>974</v>
      </c>
      <c r="B316" s="123" t="s">
        <v>1098</v>
      </c>
      <c r="C316" s="123">
        <v>2</v>
      </c>
      <c r="D316" s="125">
        <v>0.003992646483009728</v>
      </c>
      <c r="E316" s="125">
        <v>2.1856365769619117</v>
      </c>
      <c r="F316" s="123" t="s">
        <v>749</v>
      </c>
      <c r="G316" s="123" t="b">
        <v>0</v>
      </c>
      <c r="H316" s="123" t="b">
        <v>0</v>
      </c>
      <c r="I316" s="123" t="b">
        <v>0</v>
      </c>
      <c r="J316" s="123" t="b">
        <v>0</v>
      </c>
      <c r="K316" s="123" t="b">
        <v>0</v>
      </c>
      <c r="L316" s="123" t="b">
        <v>0</v>
      </c>
    </row>
    <row r="317" spans="1:12" ht="15">
      <c r="A317" s="123" t="s">
        <v>1098</v>
      </c>
      <c r="B317" s="123" t="s">
        <v>781</v>
      </c>
      <c r="C317" s="123">
        <v>2</v>
      </c>
      <c r="D317" s="125">
        <v>0.003992646483009728</v>
      </c>
      <c r="E317" s="125">
        <v>1.8176597916673172</v>
      </c>
      <c r="F317" s="123" t="s">
        <v>749</v>
      </c>
      <c r="G317" s="123" t="b">
        <v>0</v>
      </c>
      <c r="H317" s="123" t="b">
        <v>0</v>
      </c>
      <c r="I317" s="123" t="b">
        <v>0</v>
      </c>
      <c r="J317" s="123" t="b">
        <v>0</v>
      </c>
      <c r="K317" s="123" t="b">
        <v>0</v>
      </c>
      <c r="L317" s="123" t="b">
        <v>0</v>
      </c>
    </row>
    <row r="318" spans="1:12" ht="15">
      <c r="A318" s="123" t="s">
        <v>779</v>
      </c>
      <c r="B318" s="123" t="s">
        <v>779</v>
      </c>
      <c r="C318" s="123">
        <v>2</v>
      </c>
      <c r="D318" s="125">
        <v>0.003992646483009728</v>
      </c>
      <c r="E318" s="125">
        <v>0.8432138961397054</v>
      </c>
      <c r="F318" s="123" t="s">
        <v>749</v>
      </c>
      <c r="G318" s="123" t="b">
        <v>0</v>
      </c>
      <c r="H318" s="123" t="b">
        <v>0</v>
      </c>
      <c r="I318" s="123" t="b">
        <v>0</v>
      </c>
      <c r="J318" s="123" t="b">
        <v>0</v>
      </c>
      <c r="K318" s="123" t="b">
        <v>0</v>
      </c>
      <c r="L318" s="123" t="b">
        <v>0</v>
      </c>
    </row>
    <row r="319" spans="1:12" ht="15">
      <c r="A319" s="123" t="s">
        <v>779</v>
      </c>
      <c r="B319" s="123" t="s">
        <v>799</v>
      </c>
      <c r="C319" s="123">
        <v>2</v>
      </c>
      <c r="D319" s="125">
        <v>0.003992646483009728</v>
      </c>
      <c r="E319" s="125">
        <v>1.320335150859368</v>
      </c>
      <c r="F319" s="123" t="s">
        <v>749</v>
      </c>
      <c r="G319" s="123" t="b">
        <v>0</v>
      </c>
      <c r="H319" s="123" t="b">
        <v>0</v>
      </c>
      <c r="I319" s="123" t="b">
        <v>0</v>
      </c>
      <c r="J319" s="123" t="b">
        <v>0</v>
      </c>
      <c r="K319" s="123" t="b">
        <v>0</v>
      </c>
      <c r="L319" s="123" t="b">
        <v>0</v>
      </c>
    </row>
    <row r="320" spans="1:12" ht="15">
      <c r="A320" s="123" t="s">
        <v>784</v>
      </c>
      <c r="B320" s="123" t="s">
        <v>930</v>
      </c>
      <c r="C320" s="123">
        <v>2</v>
      </c>
      <c r="D320" s="125">
        <v>0.003992646483009728</v>
      </c>
      <c r="E320" s="125">
        <v>1.8846065812979305</v>
      </c>
      <c r="F320" s="123" t="s">
        <v>749</v>
      </c>
      <c r="G320" s="123" t="b">
        <v>0</v>
      </c>
      <c r="H320" s="123" t="b">
        <v>0</v>
      </c>
      <c r="I320" s="123" t="b">
        <v>0</v>
      </c>
      <c r="J320" s="123" t="b">
        <v>0</v>
      </c>
      <c r="K320" s="123" t="b">
        <v>0</v>
      </c>
      <c r="L320" s="123" t="b">
        <v>0</v>
      </c>
    </row>
    <row r="321" spans="1:12" ht="15">
      <c r="A321" s="123" t="s">
        <v>930</v>
      </c>
      <c r="B321" s="123" t="s">
        <v>1099</v>
      </c>
      <c r="C321" s="123">
        <v>2</v>
      </c>
      <c r="D321" s="125">
        <v>0.003992646483009728</v>
      </c>
      <c r="E321" s="125">
        <v>2.1856365769619117</v>
      </c>
      <c r="F321" s="123" t="s">
        <v>749</v>
      </c>
      <c r="G321" s="123" t="b">
        <v>0</v>
      </c>
      <c r="H321" s="123" t="b">
        <v>0</v>
      </c>
      <c r="I321" s="123" t="b">
        <v>0</v>
      </c>
      <c r="J321" s="123" t="b">
        <v>0</v>
      </c>
      <c r="K321" s="123" t="b">
        <v>0</v>
      </c>
      <c r="L321" s="123" t="b">
        <v>0</v>
      </c>
    </row>
    <row r="322" spans="1:12" ht="15">
      <c r="A322" s="123" t="s">
        <v>1099</v>
      </c>
      <c r="B322" s="123" t="s">
        <v>786</v>
      </c>
      <c r="C322" s="123">
        <v>2</v>
      </c>
      <c r="D322" s="125">
        <v>0.003992646483009728</v>
      </c>
      <c r="E322" s="125">
        <v>1.8846065812979305</v>
      </c>
      <c r="F322" s="123" t="s">
        <v>749</v>
      </c>
      <c r="G322" s="123" t="b">
        <v>0</v>
      </c>
      <c r="H322" s="123" t="b">
        <v>0</v>
      </c>
      <c r="I322" s="123" t="b">
        <v>0</v>
      </c>
      <c r="J322" s="123" t="b">
        <v>0</v>
      </c>
      <c r="K322" s="123" t="b">
        <v>0</v>
      </c>
      <c r="L322" s="123" t="b">
        <v>0</v>
      </c>
    </row>
    <row r="323" spans="1:12" ht="15">
      <c r="A323" s="123" t="s">
        <v>813</v>
      </c>
      <c r="B323" s="123" t="s">
        <v>889</v>
      </c>
      <c r="C323" s="123">
        <v>2</v>
      </c>
      <c r="D323" s="125">
        <v>0.003992646483009728</v>
      </c>
      <c r="E323" s="125">
        <v>1.4452738874676678</v>
      </c>
      <c r="F323" s="123" t="s">
        <v>749</v>
      </c>
      <c r="G323" s="123" t="b">
        <v>0</v>
      </c>
      <c r="H323" s="123" t="b">
        <v>0</v>
      </c>
      <c r="I323" s="123" t="b">
        <v>0</v>
      </c>
      <c r="J323" s="123" t="b">
        <v>0</v>
      </c>
      <c r="K323" s="123" t="b">
        <v>0</v>
      </c>
      <c r="L323" s="123" t="b">
        <v>0</v>
      </c>
    </row>
    <row r="324" spans="1:12" ht="15">
      <c r="A324" s="123" t="s">
        <v>889</v>
      </c>
      <c r="B324" s="123" t="s">
        <v>820</v>
      </c>
      <c r="C324" s="123">
        <v>2</v>
      </c>
      <c r="D324" s="125">
        <v>0.003992646483009728</v>
      </c>
      <c r="E324" s="125">
        <v>2.1856365769619117</v>
      </c>
      <c r="F324" s="123" t="s">
        <v>749</v>
      </c>
      <c r="G324" s="123" t="b">
        <v>0</v>
      </c>
      <c r="H324" s="123" t="b">
        <v>0</v>
      </c>
      <c r="I324" s="123" t="b">
        <v>0</v>
      </c>
      <c r="J324" s="123" t="b">
        <v>0</v>
      </c>
      <c r="K324" s="123" t="b">
        <v>0</v>
      </c>
      <c r="L324" s="123" t="b">
        <v>0</v>
      </c>
    </row>
    <row r="325" spans="1:12" ht="15">
      <c r="A325" s="123" t="s">
        <v>820</v>
      </c>
      <c r="B325" s="123" t="s">
        <v>801</v>
      </c>
      <c r="C325" s="123">
        <v>2</v>
      </c>
      <c r="D325" s="125">
        <v>0.003992646483009728</v>
      </c>
      <c r="E325" s="125">
        <v>2.1856365769619117</v>
      </c>
      <c r="F325" s="123" t="s">
        <v>749</v>
      </c>
      <c r="G325" s="123" t="b">
        <v>0</v>
      </c>
      <c r="H325" s="123" t="b">
        <v>0</v>
      </c>
      <c r="I325" s="123" t="b">
        <v>0</v>
      </c>
      <c r="J325" s="123" t="b">
        <v>0</v>
      </c>
      <c r="K325" s="123" t="b">
        <v>0</v>
      </c>
      <c r="L325" s="123" t="b">
        <v>0</v>
      </c>
    </row>
    <row r="326" spans="1:12" ht="15">
      <c r="A326" s="123" t="s">
        <v>801</v>
      </c>
      <c r="B326" s="123" t="s">
        <v>929</v>
      </c>
      <c r="C326" s="123">
        <v>2</v>
      </c>
      <c r="D326" s="125">
        <v>0.003992646483009728</v>
      </c>
      <c r="E326" s="125">
        <v>2.0095453179062304</v>
      </c>
      <c r="F326" s="123" t="s">
        <v>749</v>
      </c>
      <c r="G326" s="123" t="b">
        <v>0</v>
      </c>
      <c r="H326" s="123" t="b">
        <v>0</v>
      </c>
      <c r="I326" s="123" t="b">
        <v>0</v>
      </c>
      <c r="J326" s="123" t="b">
        <v>0</v>
      </c>
      <c r="K326" s="123" t="b">
        <v>0</v>
      </c>
      <c r="L326" s="123" t="b">
        <v>0</v>
      </c>
    </row>
    <row r="327" spans="1:12" ht="15">
      <c r="A327" s="123" t="s">
        <v>929</v>
      </c>
      <c r="B327" s="123" t="s">
        <v>868</v>
      </c>
      <c r="C327" s="123">
        <v>2</v>
      </c>
      <c r="D327" s="125">
        <v>0.003992646483009728</v>
      </c>
      <c r="E327" s="125">
        <v>1.787696568289874</v>
      </c>
      <c r="F327" s="123" t="s">
        <v>749</v>
      </c>
      <c r="G327" s="123" t="b">
        <v>0</v>
      </c>
      <c r="H327" s="123" t="b">
        <v>0</v>
      </c>
      <c r="I327" s="123" t="b">
        <v>0</v>
      </c>
      <c r="J327" s="123" t="b">
        <v>0</v>
      </c>
      <c r="K327" s="123" t="b">
        <v>0</v>
      </c>
      <c r="L327" s="123" t="b">
        <v>0</v>
      </c>
    </row>
    <row r="328" spans="1:12" ht="15">
      <c r="A328" s="123" t="s">
        <v>850</v>
      </c>
      <c r="B328" s="123" t="s">
        <v>1100</v>
      </c>
      <c r="C328" s="123">
        <v>2</v>
      </c>
      <c r="D328" s="125">
        <v>0.003992646483009728</v>
      </c>
      <c r="E328" s="125">
        <v>1.8846065812979305</v>
      </c>
      <c r="F328" s="123" t="s">
        <v>749</v>
      </c>
      <c r="G328" s="123" t="b">
        <v>0</v>
      </c>
      <c r="H328" s="123" t="b">
        <v>0</v>
      </c>
      <c r="I328" s="123" t="b">
        <v>0</v>
      </c>
      <c r="J328" s="123" t="b">
        <v>0</v>
      </c>
      <c r="K328" s="123" t="b">
        <v>0</v>
      </c>
      <c r="L328" s="123" t="b">
        <v>0</v>
      </c>
    </row>
    <row r="329" spans="1:12" ht="15">
      <c r="A329" s="123" t="s">
        <v>1100</v>
      </c>
      <c r="B329" s="123" t="s">
        <v>909</v>
      </c>
      <c r="C329" s="123">
        <v>2</v>
      </c>
      <c r="D329" s="125">
        <v>0.003992646483009728</v>
      </c>
      <c r="E329" s="125">
        <v>2.060697840353612</v>
      </c>
      <c r="F329" s="123" t="s">
        <v>749</v>
      </c>
      <c r="G329" s="123" t="b">
        <v>0</v>
      </c>
      <c r="H329" s="123" t="b">
        <v>0</v>
      </c>
      <c r="I329" s="123" t="b">
        <v>0</v>
      </c>
      <c r="J329" s="123" t="b">
        <v>0</v>
      </c>
      <c r="K329" s="123" t="b">
        <v>0</v>
      </c>
      <c r="L329" s="123" t="b">
        <v>0</v>
      </c>
    </row>
    <row r="330" spans="1:12" ht="15">
      <c r="A330" s="123" t="s">
        <v>909</v>
      </c>
      <c r="B330" s="123" t="s">
        <v>909</v>
      </c>
      <c r="C330" s="123">
        <v>2</v>
      </c>
      <c r="D330" s="125">
        <v>0.003992646483009728</v>
      </c>
      <c r="E330" s="125">
        <v>1.7596678446896303</v>
      </c>
      <c r="F330" s="123" t="s">
        <v>749</v>
      </c>
      <c r="G330" s="123" t="b">
        <v>0</v>
      </c>
      <c r="H330" s="123" t="b">
        <v>0</v>
      </c>
      <c r="I330" s="123" t="b">
        <v>0</v>
      </c>
      <c r="J330" s="123" t="b">
        <v>0</v>
      </c>
      <c r="K330" s="123" t="b">
        <v>0</v>
      </c>
      <c r="L330" s="123" t="b">
        <v>0</v>
      </c>
    </row>
    <row r="331" spans="1:12" ht="15">
      <c r="A331" s="123" t="s">
        <v>909</v>
      </c>
      <c r="B331" s="123" t="s">
        <v>881</v>
      </c>
      <c r="C331" s="123">
        <v>2</v>
      </c>
      <c r="D331" s="125">
        <v>0.003992646483009728</v>
      </c>
      <c r="E331" s="125">
        <v>1.662757831681574</v>
      </c>
      <c r="F331" s="123" t="s">
        <v>749</v>
      </c>
      <c r="G331" s="123" t="b">
        <v>0</v>
      </c>
      <c r="H331" s="123" t="b">
        <v>0</v>
      </c>
      <c r="I331" s="123" t="b">
        <v>0</v>
      </c>
      <c r="J331" s="123" t="b">
        <v>0</v>
      </c>
      <c r="K331" s="123" t="b">
        <v>0</v>
      </c>
      <c r="L331" s="123" t="b">
        <v>0</v>
      </c>
    </row>
    <row r="332" spans="1:12" ht="15">
      <c r="A332" s="123" t="s">
        <v>881</v>
      </c>
      <c r="B332" s="123" t="s">
        <v>852</v>
      </c>
      <c r="C332" s="123">
        <v>2</v>
      </c>
      <c r="D332" s="125">
        <v>0.003992646483009728</v>
      </c>
      <c r="E332" s="125">
        <v>1.662757831681574</v>
      </c>
      <c r="F332" s="123" t="s">
        <v>749</v>
      </c>
      <c r="G332" s="123" t="b">
        <v>0</v>
      </c>
      <c r="H332" s="123" t="b">
        <v>0</v>
      </c>
      <c r="I332" s="123" t="b">
        <v>0</v>
      </c>
      <c r="J332" s="123" t="b">
        <v>0</v>
      </c>
      <c r="K332" s="123" t="b">
        <v>0</v>
      </c>
      <c r="L332" s="123" t="b">
        <v>0</v>
      </c>
    </row>
    <row r="333" spans="1:12" ht="15">
      <c r="A333" s="123" t="s">
        <v>1009</v>
      </c>
      <c r="B333" s="123" t="s">
        <v>1010</v>
      </c>
      <c r="C333" s="123">
        <v>2</v>
      </c>
      <c r="D333" s="125">
        <v>0.003992646483009728</v>
      </c>
      <c r="E333" s="125">
        <v>2.3617278360175926</v>
      </c>
      <c r="F333" s="123" t="s">
        <v>749</v>
      </c>
      <c r="G333" s="123" t="b">
        <v>0</v>
      </c>
      <c r="H333" s="123" t="b">
        <v>0</v>
      </c>
      <c r="I333" s="123" t="b">
        <v>0</v>
      </c>
      <c r="J333" s="123" t="b">
        <v>0</v>
      </c>
      <c r="K333" s="123" t="b">
        <v>0</v>
      </c>
      <c r="L333" s="123" t="b">
        <v>0</v>
      </c>
    </row>
    <row r="334" spans="1:12" ht="15">
      <c r="A334" s="123" t="s">
        <v>1001</v>
      </c>
      <c r="B334" s="123" t="s">
        <v>836</v>
      </c>
      <c r="C334" s="123">
        <v>2</v>
      </c>
      <c r="D334" s="125">
        <v>0.003992646483009728</v>
      </c>
      <c r="E334" s="125">
        <v>2.3617278360175926</v>
      </c>
      <c r="F334" s="123" t="s">
        <v>749</v>
      </c>
      <c r="G334" s="123" t="b">
        <v>0</v>
      </c>
      <c r="H334" s="123" t="b">
        <v>0</v>
      </c>
      <c r="I334" s="123" t="b">
        <v>0</v>
      </c>
      <c r="J334" s="123" t="b">
        <v>0</v>
      </c>
      <c r="K334" s="123" t="b">
        <v>0</v>
      </c>
      <c r="L334" s="123" t="b">
        <v>0</v>
      </c>
    </row>
    <row r="335" spans="1:12" ht="15">
      <c r="A335" s="123" t="s">
        <v>794</v>
      </c>
      <c r="B335" s="123" t="s">
        <v>1102</v>
      </c>
      <c r="C335" s="123">
        <v>2</v>
      </c>
      <c r="D335" s="125">
        <v>0.005252186213821363</v>
      </c>
      <c r="E335" s="125">
        <v>1.4323089103033002</v>
      </c>
      <c r="F335" s="123" t="s">
        <v>749</v>
      </c>
      <c r="G335" s="123" t="b">
        <v>0</v>
      </c>
      <c r="H335" s="123" t="b">
        <v>0</v>
      </c>
      <c r="I335" s="123" t="b">
        <v>0</v>
      </c>
      <c r="J335" s="123" t="b">
        <v>0</v>
      </c>
      <c r="K335" s="123" t="b">
        <v>0</v>
      </c>
      <c r="L335" s="123" t="b">
        <v>0</v>
      </c>
    </row>
    <row r="336" spans="1:12" ht="15">
      <c r="A336" s="123" t="s">
        <v>976</v>
      </c>
      <c r="B336" s="123" t="s">
        <v>1105</v>
      </c>
      <c r="C336" s="123">
        <v>2</v>
      </c>
      <c r="D336" s="125">
        <v>0.005252186213821363</v>
      </c>
      <c r="E336" s="125">
        <v>2.3617278360175926</v>
      </c>
      <c r="F336" s="123" t="s">
        <v>749</v>
      </c>
      <c r="G336" s="123" t="b">
        <v>0</v>
      </c>
      <c r="H336" s="123" t="b">
        <v>0</v>
      </c>
      <c r="I336" s="123" t="b">
        <v>0</v>
      </c>
      <c r="J336" s="123" t="b">
        <v>0</v>
      </c>
      <c r="K336" s="123" t="b">
        <v>0</v>
      </c>
      <c r="L336" s="123" t="b">
        <v>0</v>
      </c>
    </row>
    <row r="337" spans="1:12" ht="15">
      <c r="A337" s="123" t="s">
        <v>1105</v>
      </c>
      <c r="B337" s="123" t="s">
        <v>1106</v>
      </c>
      <c r="C337" s="123">
        <v>2</v>
      </c>
      <c r="D337" s="125">
        <v>0.005252186213821363</v>
      </c>
      <c r="E337" s="125">
        <v>2.3617278360175926</v>
      </c>
      <c r="F337" s="123" t="s">
        <v>749</v>
      </c>
      <c r="G337" s="123" t="b">
        <v>0</v>
      </c>
      <c r="H337" s="123" t="b">
        <v>0</v>
      </c>
      <c r="I337" s="123" t="b">
        <v>0</v>
      </c>
      <c r="J337" s="123" t="b">
        <v>0</v>
      </c>
      <c r="K337" s="123" t="b">
        <v>0</v>
      </c>
      <c r="L337" s="123" t="b">
        <v>0</v>
      </c>
    </row>
    <row r="338" spans="1:12" ht="15">
      <c r="A338" s="123" t="s">
        <v>816</v>
      </c>
      <c r="B338" s="123" t="s">
        <v>816</v>
      </c>
      <c r="C338" s="123">
        <v>2</v>
      </c>
      <c r="D338" s="125">
        <v>0.005252186213821363</v>
      </c>
      <c r="E338" s="125">
        <v>0.8810024570291052</v>
      </c>
      <c r="F338" s="123" t="s">
        <v>749</v>
      </c>
      <c r="G338" s="123" t="b">
        <v>0</v>
      </c>
      <c r="H338" s="123" t="b">
        <v>0</v>
      </c>
      <c r="I338" s="123" t="b">
        <v>0</v>
      </c>
      <c r="J338" s="123" t="b">
        <v>0</v>
      </c>
      <c r="K338" s="123" t="b">
        <v>0</v>
      </c>
      <c r="L338" s="123" t="b">
        <v>0</v>
      </c>
    </row>
    <row r="339" spans="1:12" ht="15">
      <c r="A339" s="123" t="s">
        <v>816</v>
      </c>
      <c r="B339" s="123" t="s">
        <v>806</v>
      </c>
      <c r="C339" s="123">
        <v>2</v>
      </c>
      <c r="D339" s="125">
        <v>0.005252186213821363</v>
      </c>
      <c r="E339" s="125">
        <v>0.8084517898804935</v>
      </c>
      <c r="F339" s="123" t="s">
        <v>749</v>
      </c>
      <c r="G339" s="123" t="b">
        <v>0</v>
      </c>
      <c r="H339" s="123" t="b">
        <v>0</v>
      </c>
      <c r="I339" s="123" t="b">
        <v>0</v>
      </c>
      <c r="J339" s="123" t="b">
        <v>0</v>
      </c>
      <c r="K339" s="123" t="b">
        <v>0</v>
      </c>
      <c r="L339" s="123" t="b">
        <v>0</v>
      </c>
    </row>
    <row r="340" spans="1:12" ht="15">
      <c r="A340" s="123" t="s">
        <v>794</v>
      </c>
      <c r="B340" s="123" t="s">
        <v>794</v>
      </c>
      <c r="C340" s="123">
        <v>2</v>
      </c>
      <c r="D340" s="125">
        <v>0.005252186213821363</v>
      </c>
      <c r="E340" s="125">
        <v>0.5572476469116001</v>
      </c>
      <c r="F340" s="123" t="s">
        <v>749</v>
      </c>
      <c r="G340" s="123" t="b">
        <v>0</v>
      </c>
      <c r="H340" s="123" t="b">
        <v>0</v>
      </c>
      <c r="I340" s="123" t="b">
        <v>0</v>
      </c>
      <c r="J340" s="123" t="b">
        <v>0</v>
      </c>
      <c r="K340" s="123" t="b">
        <v>0</v>
      </c>
      <c r="L340" s="123" t="b">
        <v>0</v>
      </c>
    </row>
    <row r="341" spans="1:12" ht="15">
      <c r="A341" s="123" t="s">
        <v>888</v>
      </c>
      <c r="B341" s="123" t="s">
        <v>870</v>
      </c>
      <c r="C341" s="123">
        <v>2</v>
      </c>
      <c r="D341" s="125">
        <v>0.003992646483009728</v>
      </c>
      <c r="E341" s="125">
        <v>2.3617278360175926</v>
      </c>
      <c r="F341" s="123" t="s">
        <v>749</v>
      </c>
      <c r="G341" s="123" t="b">
        <v>0</v>
      </c>
      <c r="H341" s="123" t="b">
        <v>0</v>
      </c>
      <c r="I341" s="123" t="b">
        <v>0</v>
      </c>
      <c r="J341" s="123" t="b">
        <v>0</v>
      </c>
      <c r="K341" s="123" t="b">
        <v>0</v>
      </c>
      <c r="L341" s="123" t="b">
        <v>0</v>
      </c>
    </row>
    <row r="342" spans="1:12" ht="15">
      <c r="A342" s="123" t="s">
        <v>813</v>
      </c>
      <c r="B342" s="123" t="s">
        <v>1000</v>
      </c>
      <c r="C342" s="123">
        <v>2</v>
      </c>
      <c r="D342" s="125">
        <v>0.005252186213821363</v>
      </c>
      <c r="E342" s="125">
        <v>1.621365146523349</v>
      </c>
      <c r="F342" s="123" t="s">
        <v>749</v>
      </c>
      <c r="G342" s="123" t="b">
        <v>0</v>
      </c>
      <c r="H342" s="123" t="b">
        <v>0</v>
      </c>
      <c r="I342" s="123" t="b">
        <v>0</v>
      </c>
      <c r="J342" s="123" t="b">
        <v>0</v>
      </c>
      <c r="K342" s="123" t="b">
        <v>0</v>
      </c>
      <c r="L342" s="123" t="b">
        <v>0</v>
      </c>
    </row>
    <row r="343" spans="1:12" ht="15">
      <c r="A343" s="123" t="s">
        <v>783</v>
      </c>
      <c r="B343" s="123" t="s">
        <v>785</v>
      </c>
      <c r="C343" s="123">
        <v>36</v>
      </c>
      <c r="D343" s="125">
        <v>0</v>
      </c>
      <c r="E343" s="125">
        <v>0.8870425606748144</v>
      </c>
      <c r="F343" s="123" t="s">
        <v>750</v>
      </c>
      <c r="G343" s="123" t="b">
        <v>0</v>
      </c>
      <c r="H343" s="123" t="b">
        <v>0</v>
      </c>
      <c r="I343" s="123" t="b">
        <v>0</v>
      </c>
      <c r="J343" s="123" t="b">
        <v>0</v>
      </c>
      <c r="K343" s="123" t="b">
        <v>0</v>
      </c>
      <c r="L343" s="123" t="b">
        <v>0</v>
      </c>
    </row>
    <row r="344" spans="1:12" ht="15">
      <c r="A344" s="123" t="s">
        <v>782</v>
      </c>
      <c r="B344" s="123" t="s">
        <v>783</v>
      </c>
      <c r="C344" s="123">
        <v>28</v>
      </c>
      <c r="D344" s="125">
        <v>0</v>
      </c>
      <c r="E344" s="125">
        <v>0.7223807633999149</v>
      </c>
      <c r="F344" s="123" t="s">
        <v>750</v>
      </c>
      <c r="G344" s="123" t="b">
        <v>0</v>
      </c>
      <c r="H344" s="123" t="b">
        <v>0</v>
      </c>
      <c r="I344" s="123" t="b">
        <v>0</v>
      </c>
      <c r="J344" s="123" t="b">
        <v>0</v>
      </c>
      <c r="K344" s="123" t="b">
        <v>0</v>
      </c>
      <c r="L344" s="123" t="b">
        <v>0</v>
      </c>
    </row>
    <row r="345" spans="1:12" ht="15">
      <c r="A345" s="123" t="s">
        <v>785</v>
      </c>
      <c r="B345" s="123" t="s">
        <v>782</v>
      </c>
      <c r="C345" s="123">
        <v>18</v>
      </c>
      <c r="D345" s="125">
        <v>0</v>
      </c>
      <c r="E345" s="125">
        <v>0.69995591731767</v>
      </c>
      <c r="F345" s="123" t="s">
        <v>750</v>
      </c>
      <c r="G345" s="123" t="b">
        <v>0</v>
      </c>
      <c r="H345" s="123" t="b">
        <v>0</v>
      </c>
      <c r="I345" s="123" t="b">
        <v>0</v>
      </c>
      <c r="J345" s="123" t="b">
        <v>0</v>
      </c>
      <c r="K345" s="123" t="b">
        <v>0</v>
      </c>
      <c r="L345" s="123" t="b">
        <v>0</v>
      </c>
    </row>
    <row r="346" spans="1:12" ht="15">
      <c r="A346" s="123" t="s">
        <v>787</v>
      </c>
      <c r="B346" s="123" t="s">
        <v>796</v>
      </c>
      <c r="C346" s="123">
        <v>14</v>
      </c>
      <c r="D346" s="125">
        <v>0</v>
      </c>
      <c r="E346" s="125">
        <v>1.2588323158695263</v>
      </c>
      <c r="F346" s="123" t="s">
        <v>750</v>
      </c>
      <c r="G346" s="123" t="b">
        <v>0</v>
      </c>
      <c r="H346" s="123" t="b">
        <v>0</v>
      </c>
      <c r="I346" s="123" t="b">
        <v>0</v>
      </c>
      <c r="J346" s="123" t="b">
        <v>0</v>
      </c>
      <c r="K346" s="123" t="b">
        <v>0</v>
      </c>
      <c r="L346" s="123" t="b">
        <v>0</v>
      </c>
    </row>
    <row r="347" spans="1:12" ht="15">
      <c r="A347" s="123" t="s">
        <v>789</v>
      </c>
      <c r="B347" s="123" t="s">
        <v>782</v>
      </c>
      <c r="C347" s="123">
        <v>13</v>
      </c>
      <c r="D347" s="125">
        <v>0.002519660338209467</v>
      </c>
      <c r="E347" s="125">
        <v>1.0881360887005513</v>
      </c>
      <c r="F347" s="123" t="s">
        <v>750</v>
      </c>
      <c r="G347" s="123" t="b">
        <v>0</v>
      </c>
      <c r="H347" s="123" t="b">
        <v>0</v>
      </c>
      <c r="I347" s="123" t="b">
        <v>0</v>
      </c>
      <c r="J347" s="123" t="b">
        <v>0</v>
      </c>
      <c r="K347" s="123" t="b">
        <v>0</v>
      </c>
      <c r="L347" s="123" t="b">
        <v>0</v>
      </c>
    </row>
    <row r="348" spans="1:12" ht="15">
      <c r="A348" s="123" t="s">
        <v>782</v>
      </c>
      <c r="B348" s="123" t="s">
        <v>815</v>
      </c>
      <c r="C348" s="123">
        <v>10</v>
      </c>
      <c r="D348" s="125">
        <v>0</v>
      </c>
      <c r="E348" s="125">
        <v>0.9912260756924948</v>
      </c>
      <c r="F348" s="123" t="s">
        <v>750</v>
      </c>
      <c r="G348" s="123" t="b">
        <v>0</v>
      </c>
      <c r="H348" s="123" t="b">
        <v>0</v>
      </c>
      <c r="I348" s="123" t="b">
        <v>0</v>
      </c>
      <c r="J348" s="123" t="b">
        <v>0</v>
      </c>
      <c r="K348" s="123" t="b">
        <v>0</v>
      </c>
      <c r="L348" s="123" t="b">
        <v>0</v>
      </c>
    </row>
    <row r="349" spans="1:12" ht="15">
      <c r="A349" s="123" t="s">
        <v>796</v>
      </c>
      <c r="B349" s="123" t="s">
        <v>811</v>
      </c>
      <c r="C349" s="123">
        <v>10</v>
      </c>
      <c r="D349" s="125">
        <v>0</v>
      </c>
      <c r="E349" s="125">
        <v>1.4648867983026508</v>
      </c>
      <c r="F349" s="123" t="s">
        <v>750</v>
      </c>
      <c r="G349" s="123" t="b">
        <v>0</v>
      </c>
      <c r="H349" s="123" t="b">
        <v>0</v>
      </c>
      <c r="I349" s="123" t="b">
        <v>0</v>
      </c>
      <c r="J349" s="123" t="b">
        <v>0</v>
      </c>
      <c r="K349" s="123" t="b">
        <v>0</v>
      </c>
      <c r="L349" s="123" t="b">
        <v>0</v>
      </c>
    </row>
    <row r="350" spans="1:12" ht="15">
      <c r="A350" s="123" t="s">
        <v>785</v>
      </c>
      <c r="B350" s="123" t="s">
        <v>783</v>
      </c>
      <c r="C350" s="123">
        <v>10</v>
      </c>
      <c r="D350" s="125">
        <v>0</v>
      </c>
      <c r="E350" s="125">
        <v>0.3307400599075271</v>
      </c>
      <c r="F350" s="123" t="s">
        <v>750</v>
      </c>
      <c r="G350" s="123" t="b">
        <v>0</v>
      </c>
      <c r="H350" s="123" t="b">
        <v>0</v>
      </c>
      <c r="I350" s="123" t="b">
        <v>0</v>
      </c>
      <c r="J350" s="123" t="b">
        <v>0</v>
      </c>
      <c r="K350" s="123" t="b">
        <v>0</v>
      </c>
      <c r="L350" s="123" t="b">
        <v>0</v>
      </c>
    </row>
    <row r="351" spans="1:12" ht="15">
      <c r="A351" s="123" t="s">
        <v>805</v>
      </c>
      <c r="B351" s="123" t="s">
        <v>788</v>
      </c>
      <c r="C351" s="123">
        <v>9</v>
      </c>
      <c r="D351" s="125">
        <v>0.0008236348300921525</v>
      </c>
      <c r="E351" s="125">
        <v>1.3679767852945943</v>
      </c>
      <c r="F351" s="123" t="s">
        <v>750</v>
      </c>
      <c r="G351" s="123" t="b">
        <v>0</v>
      </c>
      <c r="H351" s="123" t="b">
        <v>0</v>
      </c>
      <c r="I351" s="123" t="b">
        <v>0</v>
      </c>
      <c r="J351" s="123" t="b">
        <v>0</v>
      </c>
      <c r="K351" s="123" t="b">
        <v>1</v>
      </c>
      <c r="L351" s="123" t="b">
        <v>0</v>
      </c>
    </row>
    <row r="352" spans="1:12" ht="15">
      <c r="A352" s="123" t="s">
        <v>788</v>
      </c>
      <c r="B352" s="123" t="s">
        <v>787</v>
      </c>
      <c r="C352" s="123">
        <v>9</v>
      </c>
      <c r="D352" s="125">
        <v>0.0008236348300921525</v>
      </c>
      <c r="E352" s="125">
        <v>0.9120448296448701</v>
      </c>
      <c r="F352" s="123" t="s">
        <v>750</v>
      </c>
      <c r="G352" s="123" t="b">
        <v>0</v>
      </c>
      <c r="H352" s="123" t="b">
        <v>1</v>
      </c>
      <c r="I352" s="123" t="b">
        <v>0</v>
      </c>
      <c r="J352" s="123" t="b">
        <v>0</v>
      </c>
      <c r="K352" s="123" t="b">
        <v>0</v>
      </c>
      <c r="L352" s="123" t="b">
        <v>0</v>
      </c>
    </row>
    <row r="353" spans="1:12" ht="15">
      <c r="A353" s="123" t="s">
        <v>787</v>
      </c>
      <c r="B353" s="123" t="s">
        <v>803</v>
      </c>
      <c r="C353" s="123">
        <v>9</v>
      </c>
      <c r="D353" s="125">
        <v>0.0008236348300921525</v>
      </c>
      <c r="E353" s="125">
        <v>1.2130748253088512</v>
      </c>
      <c r="F353" s="123" t="s">
        <v>750</v>
      </c>
      <c r="G353" s="123" t="b">
        <v>0</v>
      </c>
      <c r="H353" s="123" t="b">
        <v>0</v>
      </c>
      <c r="I353" s="123" t="b">
        <v>0</v>
      </c>
      <c r="J353" s="123" t="b">
        <v>0</v>
      </c>
      <c r="K353" s="123" t="b">
        <v>0</v>
      </c>
      <c r="L353" s="123" t="b">
        <v>0</v>
      </c>
    </row>
    <row r="354" spans="1:12" ht="15">
      <c r="A354" s="123" t="s">
        <v>803</v>
      </c>
      <c r="B354" s="123" t="s">
        <v>788</v>
      </c>
      <c r="C354" s="123">
        <v>9</v>
      </c>
      <c r="D354" s="125">
        <v>0.0008236348300921525</v>
      </c>
      <c r="E354" s="125">
        <v>1.3679767852945943</v>
      </c>
      <c r="F354" s="123" t="s">
        <v>750</v>
      </c>
      <c r="G354" s="123" t="b">
        <v>0</v>
      </c>
      <c r="H354" s="123" t="b">
        <v>0</v>
      </c>
      <c r="I354" s="123" t="b">
        <v>0</v>
      </c>
      <c r="J354" s="123" t="b">
        <v>0</v>
      </c>
      <c r="K354" s="123" t="b">
        <v>1</v>
      </c>
      <c r="L354" s="123" t="b">
        <v>0</v>
      </c>
    </row>
    <row r="355" spans="1:12" ht="15">
      <c r="A355" s="123" t="s">
        <v>788</v>
      </c>
      <c r="B355" s="123" t="s">
        <v>828</v>
      </c>
      <c r="C355" s="123">
        <v>9</v>
      </c>
      <c r="D355" s="125">
        <v>0.0008236348300921525</v>
      </c>
      <c r="E355" s="125">
        <v>1.3891660843645324</v>
      </c>
      <c r="F355" s="123" t="s">
        <v>750</v>
      </c>
      <c r="G355" s="123" t="b">
        <v>0</v>
      </c>
      <c r="H355" s="123" t="b">
        <v>1</v>
      </c>
      <c r="I355" s="123" t="b">
        <v>0</v>
      </c>
      <c r="J355" s="123" t="b">
        <v>0</v>
      </c>
      <c r="K355" s="123" t="b">
        <v>0</v>
      </c>
      <c r="L355" s="123" t="b">
        <v>0</v>
      </c>
    </row>
    <row r="356" spans="1:12" ht="15">
      <c r="A356" s="123" t="s">
        <v>815</v>
      </c>
      <c r="B356" s="123" t="s">
        <v>787</v>
      </c>
      <c r="C356" s="123">
        <v>8</v>
      </c>
      <c r="D356" s="125">
        <v>0.0015505602081289027</v>
      </c>
      <c r="E356" s="125">
        <v>1.16192230286147</v>
      </c>
      <c r="F356" s="123" t="s">
        <v>750</v>
      </c>
      <c r="G356" s="123" t="b">
        <v>0</v>
      </c>
      <c r="H356" s="123" t="b">
        <v>0</v>
      </c>
      <c r="I356" s="123" t="b">
        <v>0</v>
      </c>
      <c r="J356" s="123" t="b">
        <v>0</v>
      </c>
      <c r="K356" s="123" t="b">
        <v>0</v>
      </c>
      <c r="L356" s="123" t="b">
        <v>0</v>
      </c>
    </row>
    <row r="357" spans="1:12" ht="15">
      <c r="A357" s="123" t="s">
        <v>811</v>
      </c>
      <c r="B357" s="123" t="s">
        <v>805</v>
      </c>
      <c r="C357" s="123">
        <v>8</v>
      </c>
      <c r="D357" s="125">
        <v>0.0015505602081289027</v>
      </c>
      <c r="E357" s="125">
        <v>1.5598623115335075</v>
      </c>
      <c r="F357" s="123" t="s">
        <v>750</v>
      </c>
      <c r="G357" s="123" t="b">
        <v>0</v>
      </c>
      <c r="H357" s="123" t="b">
        <v>0</v>
      </c>
      <c r="I357" s="123" t="b">
        <v>0</v>
      </c>
      <c r="J357" s="123" t="b">
        <v>0</v>
      </c>
      <c r="K357" s="123" t="b">
        <v>0</v>
      </c>
      <c r="L357" s="123" t="b">
        <v>0</v>
      </c>
    </row>
    <row r="358" spans="1:12" ht="15">
      <c r="A358" s="123" t="s">
        <v>828</v>
      </c>
      <c r="B358" s="123" t="s">
        <v>785</v>
      </c>
      <c r="C358" s="123">
        <v>8</v>
      </c>
      <c r="D358" s="125">
        <v>0.0015505602081289027</v>
      </c>
      <c r="E358" s="125">
        <v>0.995590881094945</v>
      </c>
      <c r="F358" s="123" t="s">
        <v>750</v>
      </c>
      <c r="G358" s="123" t="b">
        <v>0</v>
      </c>
      <c r="H358" s="123" t="b">
        <v>0</v>
      </c>
      <c r="I358" s="123" t="b">
        <v>0</v>
      </c>
      <c r="J358" s="123" t="b">
        <v>0</v>
      </c>
      <c r="K358" s="123" t="b">
        <v>0</v>
      </c>
      <c r="L358" s="123" t="b">
        <v>0</v>
      </c>
    </row>
    <row r="359" spans="1:12" ht="15">
      <c r="A359" s="123" t="s">
        <v>783</v>
      </c>
      <c r="B359" s="123" t="s">
        <v>783</v>
      </c>
      <c r="C359" s="123">
        <v>8</v>
      </c>
      <c r="D359" s="125">
        <v>0.0015505602081289027</v>
      </c>
      <c r="E359" s="125">
        <v>0.16127937975085901</v>
      </c>
      <c r="F359" s="123" t="s">
        <v>750</v>
      </c>
      <c r="G359" s="123" t="b">
        <v>0</v>
      </c>
      <c r="H359" s="123" t="b">
        <v>0</v>
      </c>
      <c r="I359" s="123" t="b">
        <v>0</v>
      </c>
      <c r="J359" s="123" t="b">
        <v>0</v>
      </c>
      <c r="K359" s="123" t="b">
        <v>0</v>
      </c>
      <c r="L359" s="123" t="b">
        <v>0</v>
      </c>
    </row>
    <row r="360" spans="1:12" ht="15">
      <c r="A360" s="123" t="s">
        <v>785</v>
      </c>
      <c r="B360" s="123" t="s">
        <v>789</v>
      </c>
      <c r="C360" s="123">
        <v>8</v>
      </c>
      <c r="D360" s="125">
        <v>0.0015505602081289027</v>
      </c>
      <c r="E360" s="125">
        <v>0.8358900382274331</v>
      </c>
      <c r="F360" s="123" t="s">
        <v>750</v>
      </c>
      <c r="G360" s="123" t="b">
        <v>0</v>
      </c>
      <c r="H360" s="123" t="b">
        <v>0</v>
      </c>
      <c r="I360" s="123" t="b">
        <v>0</v>
      </c>
      <c r="J360" s="123" t="b">
        <v>0</v>
      </c>
      <c r="K360" s="123" t="b">
        <v>0</v>
      </c>
      <c r="L360" s="123" t="b">
        <v>0</v>
      </c>
    </row>
    <row r="361" spans="1:12" ht="15">
      <c r="A361" s="123" t="s">
        <v>783</v>
      </c>
      <c r="B361" s="123" t="s">
        <v>780</v>
      </c>
      <c r="C361" s="123">
        <v>8</v>
      </c>
      <c r="D361" s="125">
        <v>0.0015505602081289027</v>
      </c>
      <c r="E361" s="125">
        <v>0.9230402139463333</v>
      </c>
      <c r="F361" s="123" t="s">
        <v>750</v>
      </c>
      <c r="G361" s="123" t="b">
        <v>0</v>
      </c>
      <c r="H361" s="123" t="b">
        <v>0</v>
      </c>
      <c r="I361" s="123" t="b">
        <v>0</v>
      </c>
      <c r="J361" s="123" t="b">
        <v>0</v>
      </c>
      <c r="K361" s="123" t="b">
        <v>0</v>
      </c>
      <c r="L361" s="123" t="b">
        <v>0</v>
      </c>
    </row>
    <row r="362" spans="1:12" ht="15">
      <c r="A362" s="123" t="s">
        <v>780</v>
      </c>
      <c r="B362" s="123" t="s">
        <v>790</v>
      </c>
      <c r="C362" s="123">
        <v>8</v>
      </c>
      <c r="D362" s="125">
        <v>0.0015505602081289027</v>
      </c>
      <c r="E362" s="125">
        <v>1.6390435575811324</v>
      </c>
      <c r="F362" s="123" t="s">
        <v>750</v>
      </c>
      <c r="G362" s="123" t="b">
        <v>0</v>
      </c>
      <c r="H362" s="123" t="b">
        <v>0</v>
      </c>
      <c r="I362" s="123" t="b">
        <v>0</v>
      </c>
      <c r="J362" s="123" t="b">
        <v>0</v>
      </c>
      <c r="K362" s="123" t="b">
        <v>0</v>
      </c>
      <c r="L362" s="123" t="b">
        <v>0</v>
      </c>
    </row>
    <row r="363" spans="1:12" ht="15">
      <c r="A363" s="123" t="s">
        <v>782</v>
      </c>
      <c r="B363" s="123" t="s">
        <v>784</v>
      </c>
      <c r="C363" s="123">
        <v>6</v>
      </c>
      <c r="D363" s="125">
        <v>0.002662184995396277</v>
      </c>
      <c r="E363" s="125">
        <v>0.46834733041215726</v>
      </c>
      <c r="F363" s="123" t="s">
        <v>750</v>
      </c>
      <c r="G363" s="123" t="b">
        <v>0</v>
      </c>
      <c r="H363" s="123" t="b">
        <v>0</v>
      </c>
      <c r="I363" s="123" t="b">
        <v>0</v>
      </c>
      <c r="J363" s="123" t="b">
        <v>0</v>
      </c>
      <c r="K363" s="123" t="b">
        <v>0</v>
      </c>
      <c r="L363" s="123" t="b">
        <v>0</v>
      </c>
    </row>
    <row r="364" spans="1:12" ht="15">
      <c r="A364" s="123" t="s">
        <v>784</v>
      </c>
      <c r="B364" s="123" t="s">
        <v>783</v>
      </c>
      <c r="C364" s="123">
        <v>6</v>
      </c>
      <c r="D364" s="125">
        <v>0.0036123599479677745</v>
      </c>
      <c r="E364" s="125">
        <v>0.45131399111337694</v>
      </c>
      <c r="F364" s="123" t="s">
        <v>750</v>
      </c>
      <c r="G364" s="123" t="b">
        <v>0</v>
      </c>
      <c r="H364" s="123" t="b">
        <v>0</v>
      </c>
      <c r="I364" s="123" t="b">
        <v>0</v>
      </c>
      <c r="J364" s="123" t="b">
        <v>0</v>
      </c>
      <c r="K364" s="123" t="b">
        <v>0</v>
      </c>
      <c r="L364" s="123" t="b">
        <v>0</v>
      </c>
    </row>
    <row r="365" spans="1:12" ht="15">
      <c r="A365" s="123" t="s">
        <v>782</v>
      </c>
      <c r="B365" s="123" t="s">
        <v>789</v>
      </c>
      <c r="C365" s="123">
        <v>5</v>
      </c>
      <c r="D365" s="125">
        <v>0.003010299956639812</v>
      </c>
      <c r="E365" s="125">
        <v>0.5762527277216769</v>
      </c>
      <c r="F365" s="123" t="s">
        <v>750</v>
      </c>
      <c r="G365" s="123" t="b">
        <v>0</v>
      </c>
      <c r="H365" s="123" t="b">
        <v>0</v>
      </c>
      <c r="I365" s="123" t="b">
        <v>0</v>
      </c>
      <c r="J365" s="123" t="b">
        <v>0</v>
      </c>
      <c r="K365" s="123" t="b">
        <v>0</v>
      </c>
      <c r="L365" s="123" t="b">
        <v>0</v>
      </c>
    </row>
    <row r="366" spans="1:12" ht="15">
      <c r="A366" s="123" t="s">
        <v>790</v>
      </c>
      <c r="B366" s="123" t="s">
        <v>782</v>
      </c>
      <c r="C366" s="123">
        <v>5</v>
      </c>
      <c r="D366" s="125">
        <v>0.003010299956639812</v>
      </c>
      <c r="E366" s="125">
        <v>0.7871060930365701</v>
      </c>
      <c r="F366" s="123" t="s">
        <v>750</v>
      </c>
      <c r="G366" s="123" t="b">
        <v>0</v>
      </c>
      <c r="H366" s="123" t="b">
        <v>0</v>
      </c>
      <c r="I366" s="123" t="b">
        <v>0</v>
      </c>
      <c r="J366" s="123" t="b">
        <v>0</v>
      </c>
      <c r="K366" s="123" t="b">
        <v>0</v>
      </c>
      <c r="L366" s="123" t="b">
        <v>0</v>
      </c>
    </row>
    <row r="367" spans="1:12" ht="15">
      <c r="A367" s="123" t="s">
        <v>785</v>
      </c>
      <c r="B367" s="123" t="s">
        <v>784</v>
      </c>
      <c r="C367" s="123">
        <v>5</v>
      </c>
      <c r="D367" s="125">
        <v>0.003010299956639812</v>
      </c>
      <c r="E367" s="125">
        <v>0.44468341221436386</v>
      </c>
      <c r="F367" s="123" t="s">
        <v>750</v>
      </c>
      <c r="G367" s="123" t="b">
        <v>0</v>
      </c>
      <c r="H367" s="123" t="b">
        <v>0</v>
      </c>
      <c r="I367" s="123" t="b">
        <v>0</v>
      </c>
      <c r="J367" s="123" t="b">
        <v>0</v>
      </c>
      <c r="K367" s="123" t="b">
        <v>0</v>
      </c>
      <c r="L367" s="123" t="b">
        <v>0</v>
      </c>
    </row>
    <row r="368" spans="1:12" ht="15">
      <c r="A368" s="123" t="s">
        <v>784</v>
      </c>
      <c r="B368" s="123" t="s">
        <v>784</v>
      </c>
      <c r="C368" s="123">
        <v>4</v>
      </c>
      <c r="D368" s="125">
        <v>0.0031835200693763007</v>
      </c>
      <c r="E368" s="125">
        <v>0.6901960800285137</v>
      </c>
      <c r="F368" s="123" t="s">
        <v>750</v>
      </c>
      <c r="G368" s="123" t="b">
        <v>0</v>
      </c>
      <c r="H368" s="123" t="b">
        <v>0</v>
      </c>
      <c r="I368" s="123" t="b">
        <v>0</v>
      </c>
      <c r="J368" s="123" t="b">
        <v>0</v>
      </c>
      <c r="K368" s="123" t="b">
        <v>0</v>
      </c>
      <c r="L368" s="123" t="b">
        <v>0</v>
      </c>
    </row>
    <row r="369" spans="1:12" ht="15">
      <c r="A369" s="123" t="s">
        <v>790</v>
      </c>
      <c r="B369" s="123" t="s">
        <v>784</v>
      </c>
      <c r="C369" s="123">
        <v>4</v>
      </c>
      <c r="D369" s="125">
        <v>0.0031835200693763007</v>
      </c>
      <c r="E369" s="125">
        <v>0.991226075692495</v>
      </c>
      <c r="F369" s="123" t="s">
        <v>750</v>
      </c>
      <c r="G369" s="123" t="b">
        <v>0</v>
      </c>
      <c r="H369" s="123" t="b">
        <v>0</v>
      </c>
      <c r="I369" s="123" t="b">
        <v>0</v>
      </c>
      <c r="J369" s="123" t="b">
        <v>0</v>
      </c>
      <c r="K369" s="123" t="b">
        <v>0</v>
      </c>
      <c r="L369" s="123" t="b">
        <v>0</v>
      </c>
    </row>
    <row r="370" spans="1:12" ht="15">
      <c r="A370" s="123" t="s">
        <v>811</v>
      </c>
      <c r="B370" s="123" t="s">
        <v>787</v>
      </c>
      <c r="C370" s="123">
        <v>4</v>
      </c>
      <c r="D370" s="125">
        <v>0.005591760034688151</v>
      </c>
      <c r="E370" s="125">
        <v>0.781711061149864</v>
      </c>
      <c r="F370" s="123" t="s">
        <v>750</v>
      </c>
      <c r="G370" s="123" t="b">
        <v>0</v>
      </c>
      <c r="H370" s="123" t="b">
        <v>0</v>
      </c>
      <c r="I370" s="123" t="b">
        <v>0</v>
      </c>
      <c r="J370" s="123" t="b">
        <v>0</v>
      </c>
      <c r="K370" s="123" t="b">
        <v>0</v>
      </c>
      <c r="L370" s="123" t="b">
        <v>0</v>
      </c>
    </row>
    <row r="371" spans="1:12" ht="15">
      <c r="A371" s="123" t="s">
        <v>845</v>
      </c>
      <c r="B371" s="123" t="s">
        <v>846</v>
      </c>
      <c r="C371" s="123">
        <v>4</v>
      </c>
      <c r="D371" s="125">
        <v>0.008</v>
      </c>
      <c r="E371" s="125">
        <v>2.0881360887005513</v>
      </c>
      <c r="F371" s="123" t="s">
        <v>750</v>
      </c>
      <c r="G371" s="123" t="b">
        <v>0</v>
      </c>
      <c r="H371" s="123" t="b">
        <v>0</v>
      </c>
      <c r="I371" s="123" t="b">
        <v>0</v>
      </c>
      <c r="J371" s="123" t="b">
        <v>0</v>
      </c>
      <c r="K371" s="123" t="b">
        <v>0</v>
      </c>
      <c r="L371" s="123" t="b">
        <v>0</v>
      </c>
    </row>
    <row r="372" spans="1:12" ht="15">
      <c r="A372" s="123" t="s">
        <v>784</v>
      </c>
      <c r="B372" s="123" t="s">
        <v>782</v>
      </c>
      <c r="C372" s="123">
        <v>3</v>
      </c>
      <c r="D372" s="125">
        <v>0.003137272471682026</v>
      </c>
      <c r="E372" s="125">
        <v>0.2642273477562326</v>
      </c>
      <c r="F372" s="123" t="s">
        <v>750</v>
      </c>
      <c r="G372" s="123" t="b">
        <v>0</v>
      </c>
      <c r="H372" s="123" t="b">
        <v>0</v>
      </c>
      <c r="I372" s="123" t="b">
        <v>0</v>
      </c>
      <c r="J372" s="123" t="b">
        <v>0</v>
      </c>
      <c r="K372" s="123" t="b">
        <v>0</v>
      </c>
      <c r="L372" s="123" t="b">
        <v>0</v>
      </c>
    </row>
    <row r="373" spans="1:12" ht="15">
      <c r="A373" s="123" t="s">
        <v>781</v>
      </c>
      <c r="B373" s="123" t="s">
        <v>779</v>
      </c>
      <c r="C373" s="123">
        <v>2</v>
      </c>
      <c r="D373" s="125">
        <v>0.004</v>
      </c>
      <c r="E373" s="125">
        <v>2.3891660843645326</v>
      </c>
      <c r="F373" s="123" t="s">
        <v>750</v>
      </c>
      <c r="G373" s="123" t="b">
        <v>0</v>
      </c>
      <c r="H373" s="123" t="b">
        <v>0</v>
      </c>
      <c r="I373" s="123" t="b">
        <v>0</v>
      </c>
      <c r="J373" s="123" t="b">
        <v>0</v>
      </c>
      <c r="K373" s="123" t="b">
        <v>0</v>
      </c>
      <c r="L373" s="123" t="b">
        <v>0</v>
      </c>
    </row>
    <row r="374" spans="1:12" ht="15">
      <c r="A374" s="123" t="s">
        <v>785</v>
      </c>
      <c r="B374" s="123" t="s">
        <v>787</v>
      </c>
      <c r="C374" s="123">
        <v>2</v>
      </c>
      <c r="D374" s="125">
        <v>0.0027958800173440755</v>
      </c>
      <c r="E374" s="125">
        <v>-0.08359036495267988</v>
      </c>
      <c r="F374" s="123" t="s">
        <v>750</v>
      </c>
      <c r="G374" s="123" t="b">
        <v>0</v>
      </c>
      <c r="H374" s="123" t="b">
        <v>0</v>
      </c>
      <c r="I374" s="123" t="b">
        <v>0</v>
      </c>
      <c r="J374" s="123" t="b">
        <v>0</v>
      </c>
      <c r="K374" s="123" t="b">
        <v>0</v>
      </c>
      <c r="L374" s="123" t="b">
        <v>0</v>
      </c>
    </row>
    <row r="375" spans="1:12" ht="15">
      <c r="A375" s="123" t="s">
        <v>796</v>
      </c>
      <c r="B375" s="123" t="s">
        <v>790</v>
      </c>
      <c r="C375" s="123">
        <v>2</v>
      </c>
      <c r="D375" s="125">
        <v>0.0027958800173440755</v>
      </c>
      <c r="E375" s="125">
        <v>0.8450980400142569</v>
      </c>
      <c r="F375" s="123" t="s">
        <v>750</v>
      </c>
      <c r="G375" s="123" t="b">
        <v>0</v>
      </c>
      <c r="H375" s="123" t="b">
        <v>0</v>
      </c>
      <c r="I375" s="123" t="b">
        <v>0</v>
      </c>
      <c r="J375" s="123" t="b">
        <v>0</v>
      </c>
      <c r="K375" s="123" t="b">
        <v>0</v>
      </c>
      <c r="L375" s="123" t="b">
        <v>0</v>
      </c>
    </row>
    <row r="376" spans="1:12" ht="15">
      <c r="A376" s="123" t="s">
        <v>797</v>
      </c>
      <c r="B376" s="123" t="s">
        <v>792</v>
      </c>
      <c r="C376" s="123">
        <v>2</v>
      </c>
      <c r="D376" s="125">
        <v>0.0027958800173440755</v>
      </c>
      <c r="E376" s="125">
        <v>2.3891660843645326</v>
      </c>
      <c r="F376" s="123" t="s">
        <v>750</v>
      </c>
      <c r="G376" s="123" t="b">
        <v>0</v>
      </c>
      <c r="H376" s="123" t="b">
        <v>0</v>
      </c>
      <c r="I376" s="123" t="b">
        <v>0</v>
      </c>
      <c r="J376" s="123" t="b">
        <v>0</v>
      </c>
      <c r="K376" s="123" t="b">
        <v>0</v>
      </c>
      <c r="L376" s="123" t="b">
        <v>0</v>
      </c>
    </row>
    <row r="377" spans="1:12" ht="15">
      <c r="A377" s="123" t="s">
        <v>792</v>
      </c>
      <c r="B377" s="123" t="s">
        <v>884</v>
      </c>
      <c r="C377" s="123">
        <v>2</v>
      </c>
      <c r="D377" s="125">
        <v>0.0027958800173440755</v>
      </c>
      <c r="E377" s="125">
        <v>2.3891660843645326</v>
      </c>
      <c r="F377" s="123" t="s">
        <v>750</v>
      </c>
      <c r="G377" s="123" t="b">
        <v>0</v>
      </c>
      <c r="H377" s="123" t="b">
        <v>0</v>
      </c>
      <c r="I377" s="123" t="b">
        <v>0</v>
      </c>
      <c r="J377" s="123" t="b">
        <v>0</v>
      </c>
      <c r="K377" s="123" t="b">
        <v>0</v>
      </c>
      <c r="L377" s="123" t="b">
        <v>0</v>
      </c>
    </row>
    <row r="378" spans="1:12" ht="15">
      <c r="A378" s="123" t="s">
        <v>884</v>
      </c>
      <c r="B378" s="123" t="s">
        <v>1136</v>
      </c>
      <c r="C378" s="123">
        <v>2</v>
      </c>
      <c r="D378" s="125">
        <v>0.0027958800173440755</v>
      </c>
      <c r="E378" s="125">
        <v>2.3891660843645326</v>
      </c>
      <c r="F378" s="123" t="s">
        <v>750</v>
      </c>
      <c r="G378" s="123" t="b">
        <v>0</v>
      </c>
      <c r="H378" s="123" t="b">
        <v>0</v>
      </c>
      <c r="I378" s="123" t="b">
        <v>0</v>
      </c>
      <c r="J378" s="123" t="b">
        <v>0</v>
      </c>
      <c r="K378" s="123" t="b">
        <v>0</v>
      </c>
      <c r="L378" s="123" t="b">
        <v>0</v>
      </c>
    </row>
    <row r="379" spans="1:12" ht="15">
      <c r="A379" s="123" t="s">
        <v>1136</v>
      </c>
      <c r="B379" s="123" t="s">
        <v>787</v>
      </c>
      <c r="C379" s="123">
        <v>2</v>
      </c>
      <c r="D379" s="125">
        <v>0.0027958800173440755</v>
      </c>
      <c r="E379" s="125">
        <v>1.2588323158695263</v>
      </c>
      <c r="F379" s="123" t="s">
        <v>750</v>
      </c>
      <c r="G379" s="123" t="b">
        <v>0</v>
      </c>
      <c r="H379" s="123" t="b">
        <v>0</v>
      </c>
      <c r="I379" s="123" t="b">
        <v>0</v>
      </c>
      <c r="J379" s="123" t="b">
        <v>0</v>
      </c>
      <c r="K379" s="123" t="b">
        <v>0</v>
      </c>
      <c r="L379" s="123" t="b">
        <v>0</v>
      </c>
    </row>
    <row r="380" spans="1:12" ht="15">
      <c r="A380" s="123" t="s">
        <v>796</v>
      </c>
      <c r="B380" s="123" t="s">
        <v>911</v>
      </c>
      <c r="C380" s="123">
        <v>2</v>
      </c>
      <c r="D380" s="125">
        <v>0.0027958800173440755</v>
      </c>
      <c r="E380" s="125">
        <v>1.5440680443502757</v>
      </c>
      <c r="F380" s="123" t="s">
        <v>750</v>
      </c>
      <c r="G380" s="123" t="b">
        <v>0</v>
      </c>
      <c r="H380" s="123" t="b">
        <v>0</v>
      </c>
      <c r="I380" s="123" t="b">
        <v>0</v>
      </c>
      <c r="J380" s="123" t="b">
        <v>0</v>
      </c>
      <c r="K380" s="123" t="b">
        <v>0</v>
      </c>
      <c r="L380" s="123" t="b">
        <v>0</v>
      </c>
    </row>
    <row r="381" spans="1:12" ht="15">
      <c r="A381" s="123" t="s">
        <v>911</v>
      </c>
      <c r="B381" s="123" t="s">
        <v>787</v>
      </c>
      <c r="C381" s="123">
        <v>2</v>
      </c>
      <c r="D381" s="125">
        <v>0.0027958800173440755</v>
      </c>
      <c r="E381" s="125">
        <v>1.2588323158695263</v>
      </c>
      <c r="F381" s="123" t="s">
        <v>750</v>
      </c>
      <c r="G381" s="123" t="b">
        <v>0</v>
      </c>
      <c r="H381" s="123" t="b">
        <v>0</v>
      </c>
      <c r="I381" s="123" t="b">
        <v>0</v>
      </c>
      <c r="J381" s="123" t="b">
        <v>0</v>
      </c>
      <c r="K381" s="123" t="b">
        <v>0</v>
      </c>
      <c r="L381" s="123" t="b">
        <v>0</v>
      </c>
    </row>
    <row r="382" spans="1:12" ht="15">
      <c r="A382" s="123" t="s">
        <v>787</v>
      </c>
      <c r="B382" s="123" t="s">
        <v>811</v>
      </c>
      <c r="C382" s="123">
        <v>2</v>
      </c>
      <c r="D382" s="125">
        <v>0.0027958800173440755</v>
      </c>
      <c r="E382" s="125">
        <v>0.4806810654858828</v>
      </c>
      <c r="F382" s="123" t="s">
        <v>750</v>
      </c>
      <c r="G382" s="123" t="b">
        <v>0</v>
      </c>
      <c r="H382" s="123" t="b">
        <v>0</v>
      </c>
      <c r="I382" s="123" t="b">
        <v>0</v>
      </c>
      <c r="J382" s="123" t="b">
        <v>0</v>
      </c>
      <c r="K382" s="123" t="b">
        <v>0</v>
      </c>
      <c r="L382" s="123" t="b">
        <v>0</v>
      </c>
    </row>
    <row r="383" spans="1:12" ht="15">
      <c r="A383" s="123" t="s">
        <v>787</v>
      </c>
      <c r="B383" s="123" t="s">
        <v>788</v>
      </c>
      <c r="C383" s="123">
        <v>2</v>
      </c>
      <c r="D383" s="125">
        <v>0.0027958800173440755</v>
      </c>
      <c r="E383" s="125">
        <v>0.2376430167995883</v>
      </c>
      <c r="F383" s="123" t="s">
        <v>750</v>
      </c>
      <c r="G383" s="123" t="b">
        <v>0</v>
      </c>
      <c r="H383" s="123" t="b">
        <v>0</v>
      </c>
      <c r="I383" s="123" t="b">
        <v>0</v>
      </c>
      <c r="J383" s="123" t="b">
        <v>0</v>
      </c>
      <c r="K383" s="123" t="b">
        <v>1</v>
      </c>
      <c r="L383" s="123" t="b">
        <v>0</v>
      </c>
    </row>
    <row r="384" spans="1:12" ht="15">
      <c r="A384" s="123" t="s">
        <v>1138</v>
      </c>
      <c r="B384" s="123" t="s">
        <v>1139</v>
      </c>
      <c r="C384" s="123">
        <v>2</v>
      </c>
      <c r="D384" s="125">
        <v>0.004</v>
      </c>
      <c r="E384" s="125">
        <v>2.3891660843645326</v>
      </c>
      <c r="F384" s="123" t="s">
        <v>750</v>
      </c>
      <c r="G384" s="123" t="b">
        <v>0</v>
      </c>
      <c r="H384" s="123" t="b">
        <v>0</v>
      </c>
      <c r="I384" s="123" t="b">
        <v>0</v>
      </c>
      <c r="J384" s="123" t="b">
        <v>0</v>
      </c>
      <c r="K384" s="123" t="b">
        <v>0</v>
      </c>
      <c r="L384" s="123" t="b">
        <v>0</v>
      </c>
    </row>
    <row r="385" spans="1:12" ht="15">
      <c r="A385" s="123" t="s">
        <v>985</v>
      </c>
      <c r="B385" s="123" t="s">
        <v>1131</v>
      </c>
      <c r="C385" s="123">
        <v>2</v>
      </c>
      <c r="D385" s="125">
        <v>0.004</v>
      </c>
      <c r="E385" s="125">
        <v>2.2130748253088512</v>
      </c>
      <c r="F385" s="123" t="s">
        <v>750</v>
      </c>
      <c r="G385" s="123" t="b">
        <v>0</v>
      </c>
      <c r="H385" s="123" t="b">
        <v>0</v>
      </c>
      <c r="I385" s="123" t="b">
        <v>0</v>
      </c>
      <c r="J385" s="123" t="b">
        <v>0</v>
      </c>
      <c r="K385" s="123" t="b">
        <v>0</v>
      </c>
      <c r="L385" s="123" t="b">
        <v>0</v>
      </c>
    </row>
    <row r="386" spans="1:12" ht="15">
      <c r="A386" s="123" t="s">
        <v>1127</v>
      </c>
      <c r="B386" s="123" t="s">
        <v>1128</v>
      </c>
      <c r="C386" s="123">
        <v>2</v>
      </c>
      <c r="D386" s="125">
        <v>0.004</v>
      </c>
      <c r="E386" s="125">
        <v>2.3891660843645326</v>
      </c>
      <c r="F386" s="123" t="s">
        <v>750</v>
      </c>
      <c r="G386" s="123" t="b">
        <v>0</v>
      </c>
      <c r="H386" s="123" t="b">
        <v>0</v>
      </c>
      <c r="I386" s="123" t="b">
        <v>0</v>
      </c>
      <c r="J386" s="123" t="b">
        <v>0</v>
      </c>
      <c r="K386" s="123" t="b">
        <v>0</v>
      </c>
      <c r="L386" s="123" t="b">
        <v>0</v>
      </c>
    </row>
    <row r="387" spans="1:12" ht="15">
      <c r="A387" s="123" t="s">
        <v>797</v>
      </c>
      <c r="B387" s="123" t="s">
        <v>792</v>
      </c>
      <c r="C387" s="123">
        <v>11</v>
      </c>
      <c r="D387" s="125">
        <v>0</v>
      </c>
      <c r="E387" s="125">
        <v>1.3945509270722882</v>
      </c>
      <c r="F387" s="123" t="s">
        <v>751</v>
      </c>
      <c r="G387" s="123" t="b">
        <v>0</v>
      </c>
      <c r="H387" s="123" t="b">
        <v>0</v>
      </c>
      <c r="I387" s="123" t="b">
        <v>0</v>
      </c>
      <c r="J387" s="123" t="b">
        <v>0</v>
      </c>
      <c r="K387" s="123" t="b">
        <v>0</v>
      </c>
      <c r="L387" s="123" t="b">
        <v>0</v>
      </c>
    </row>
    <row r="388" spans="1:12" ht="15">
      <c r="A388" s="123" t="s">
        <v>826</v>
      </c>
      <c r="B388" s="123" t="s">
        <v>827</v>
      </c>
      <c r="C388" s="123">
        <v>9</v>
      </c>
      <c r="D388" s="125">
        <v>0.0013809006716022918</v>
      </c>
      <c r="E388" s="125">
        <v>1.7916126857344041</v>
      </c>
      <c r="F388" s="123" t="s">
        <v>751</v>
      </c>
      <c r="G388" s="123" t="b">
        <v>0</v>
      </c>
      <c r="H388" s="123" t="b">
        <v>0</v>
      </c>
      <c r="I388" s="123" t="b">
        <v>0</v>
      </c>
      <c r="J388" s="123" t="b">
        <v>0</v>
      </c>
      <c r="K388" s="123" t="b">
        <v>0</v>
      </c>
      <c r="L388" s="123" t="b">
        <v>0</v>
      </c>
    </row>
    <row r="389" spans="1:12" ht="15">
      <c r="A389" s="123" t="s">
        <v>793</v>
      </c>
      <c r="B389" s="123" t="s">
        <v>830</v>
      </c>
      <c r="C389" s="123">
        <v>8</v>
      </c>
      <c r="D389" s="125">
        <v>0.0019479253262856544</v>
      </c>
      <c r="E389" s="125">
        <v>1.4905826900704229</v>
      </c>
      <c r="F389" s="123" t="s">
        <v>751</v>
      </c>
      <c r="G389" s="123" t="b">
        <v>0</v>
      </c>
      <c r="H389" s="123" t="b">
        <v>0</v>
      </c>
      <c r="I389" s="123" t="b">
        <v>0</v>
      </c>
      <c r="J389" s="123" t="b">
        <v>0</v>
      </c>
      <c r="K389" s="123" t="b">
        <v>0</v>
      </c>
      <c r="L389" s="123" t="b">
        <v>0</v>
      </c>
    </row>
    <row r="390" spans="1:12" ht="15">
      <c r="A390" s="123" t="s">
        <v>830</v>
      </c>
      <c r="B390" s="123" t="s">
        <v>792</v>
      </c>
      <c r="C390" s="123">
        <v>8</v>
      </c>
      <c r="D390" s="125">
        <v>0.0019479253262856544</v>
      </c>
      <c r="E390" s="125">
        <v>1.4671015942208998</v>
      </c>
      <c r="F390" s="123" t="s">
        <v>751</v>
      </c>
      <c r="G390" s="123" t="b">
        <v>0</v>
      </c>
      <c r="H390" s="123" t="b">
        <v>0</v>
      </c>
      <c r="I390" s="123" t="b">
        <v>0</v>
      </c>
      <c r="J390" s="123" t="b">
        <v>0</v>
      </c>
      <c r="K390" s="123" t="b">
        <v>0</v>
      </c>
      <c r="L390" s="123" t="b">
        <v>0</v>
      </c>
    </row>
    <row r="391" spans="1:12" ht="15">
      <c r="A391" s="123" t="s">
        <v>792</v>
      </c>
      <c r="B391" s="123" t="s">
        <v>791</v>
      </c>
      <c r="C391" s="123">
        <v>8</v>
      </c>
      <c r="D391" s="125">
        <v>0.0019479253262856544</v>
      </c>
      <c r="E391" s="125">
        <v>1.1660715985569188</v>
      </c>
      <c r="F391" s="123" t="s">
        <v>751</v>
      </c>
      <c r="G391" s="123" t="b">
        <v>0</v>
      </c>
      <c r="H391" s="123" t="b">
        <v>0</v>
      </c>
      <c r="I391" s="123" t="b">
        <v>0</v>
      </c>
      <c r="J391" s="123" t="b">
        <v>0</v>
      </c>
      <c r="K391" s="123" t="b">
        <v>0</v>
      </c>
      <c r="L391" s="123" t="b">
        <v>0</v>
      </c>
    </row>
    <row r="392" spans="1:12" ht="15">
      <c r="A392" s="123" t="s">
        <v>791</v>
      </c>
      <c r="B392" s="123" t="s">
        <v>823</v>
      </c>
      <c r="C392" s="123">
        <v>8</v>
      </c>
      <c r="D392" s="125">
        <v>0.0019479253262856544</v>
      </c>
      <c r="E392" s="125">
        <v>1.541735212517804</v>
      </c>
      <c r="F392" s="123" t="s">
        <v>751</v>
      </c>
      <c r="G392" s="123" t="b">
        <v>0</v>
      </c>
      <c r="H392" s="123" t="b">
        <v>0</v>
      </c>
      <c r="I392" s="123" t="b">
        <v>0</v>
      </c>
      <c r="J392" s="123" t="b">
        <v>0</v>
      </c>
      <c r="K392" s="123" t="b">
        <v>0</v>
      </c>
      <c r="L392" s="123" t="b">
        <v>0</v>
      </c>
    </row>
    <row r="393" spans="1:12" ht="15">
      <c r="A393" s="123" t="s">
        <v>823</v>
      </c>
      <c r="B393" s="123" t="s">
        <v>787</v>
      </c>
      <c r="C393" s="123">
        <v>8</v>
      </c>
      <c r="D393" s="125">
        <v>0.0019479253262856544</v>
      </c>
      <c r="E393" s="125">
        <v>1.704462510015504</v>
      </c>
      <c r="F393" s="123" t="s">
        <v>751</v>
      </c>
      <c r="G393" s="123" t="b">
        <v>0</v>
      </c>
      <c r="H393" s="123" t="b">
        <v>0</v>
      </c>
      <c r="I393" s="123" t="b">
        <v>0</v>
      </c>
      <c r="J393" s="123" t="b">
        <v>0</v>
      </c>
      <c r="K393" s="123" t="b">
        <v>0</v>
      </c>
      <c r="L393" s="123" t="b">
        <v>0</v>
      </c>
    </row>
    <row r="394" spans="1:12" ht="15">
      <c r="A394" s="123" t="s">
        <v>787</v>
      </c>
      <c r="B394" s="123" t="s">
        <v>831</v>
      </c>
      <c r="C394" s="123">
        <v>8</v>
      </c>
      <c r="D394" s="125">
        <v>0.0019479253262856544</v>
      </c>
      <c r="E394" s="125">
        <v>1.704462510015504</v>
      </c>
      <c r="F394" s="123" t="s">
        <v>751</v>
      </c>
      <c r="G394" s="123" t="b">
        <v>0</v>
      </c>
      <c r="H394" s="123" t="b">
        <v>0</v>
      </c>
      <c r="I394" s="123" t="b">
        <v>0</v>
      </c>
      <c r="J394" s="123" t="b">
        <v>0</v>
      </c>
      <c r="K394" s="123" t="b">
        <v>0</v>
      </c>
      <c r="L394" s="123" t="b">
        <v>0</v>
      </c>
    </row>
    <row r="395" spans="1:12" ht="15">
      <c r="A395" s="123" t="s">
        <v>831</v>
      </c>
      <c r="B395" s="123" t="s">
        <v>788</v>
      </c>
      <c r="C395" s="123">
        <v>8</v>
      </c>
      <c r="D395" s="125">
        <v>0.0019479253262856544</v>
      </c>
      <c r="E395" s="125">
        <v>1.6319118428668922</v>
      </c>
      <c r="F395" s="123" t="s">
        <v>751</v>
      </c>
      <c r="G395" s="123" t="b">
        <v>0</v>
      </c>
      <c r="H395" s="123" t="b">
        <v>0</v>
      </c>
      <c r="I395" s="123" t="b">
        <v>0</v>
      </c>
      <c r="J395" s="123" t="b">
        <v>0</v>
      </c>
      <c r="K395" s="123" t="b">
        <v>1</v>
      </c>
      <c r="L395" s="123" t="b">
        <v>0</v>
      </c>
    </row>
    <row r="396" spans="1:12" ht="15">
      <c r="A396" s="123" t="s">
        <v>788</v>
      </c>
      <c r="B396" s="123" t="s">
        <v>824</v>
      </c>
      <c r="C396" s="123">
        <v>8</v>
      </c>
      <c r="D396" s="125">
        <v>0.0019479253262856544</v>
      </c>
      <c r="E396" s="125">
        <v>1.6319118428668922</v>
      </c>
      <c r="F396" s="123" t="s">
        <v>751</v>
      </c>
      <c r="G396" s="123" t="b">
        <v>0</v>
      </c>
      <c r="H396" s="123" t="b">
        <v>1</v>
      </c>
      <c r="I396" s="123" t="b">
        <v>0</v>
      </c>
      <c r="J396" s="123" t="b">
        <v>1</v>
      </c>
      <c r="K396" s="123" t="b">
        <v>0</v>
      </c>
      <c r="L396" s="123" t="b">
        <v>0</v>
      </c>
    </row>
    <row r="397" spans="1:12" ht="15">
      <c r="A397" s="123" t="s">
        <v>824</v>
      </c>
      <c r="B397" s="123" t="s">
        <v>797</v>
      </c>
      <c r="C397" s="123">
        <v>8</v>
      </c>
      <c r="D397" s="125">
        <v>0.0019479253262856544</v>
      </c>
      <c r="E397" s="125">
        <v>1.745855195173729</v>
      </c>
      <c r="F397" s="123" t="s">
        <v>751</v>
      </c>
      <c r="G397" s="123" t="b">
        <v>1</v>
      </c>
      <c r="H397" s="123" t="b">
        <v>0</v>
      </c>
      <c r="I397" s="123" t="b">
        <v>0</v>
      </c>
      <c r="J397" s="123" t="b">
        <v>0</v>
      </c>
      <c r="K397" s="123" t="b">
        <v>0</v>
      </c>
      <c r="L397" s="123" t="b">
        <v>0</v>
      </c>
    </row>
    <row r="398" spans="1:12" ht="15">
      <c r="A398" s="123" t="s">
        <v>792</v>
      </c>
      <c r="B398" s="123" t="s">
        <v>814</v>
      </c>
      <c r="C398" s="123">
        <v>8</v>
      </c>
      <c r="D398" s="125">
        <v>0.0019479253262856544</v>
      </c>
      <c r="E398" s="125">
        <v>1.3701915812128436</v>
      </c>
      <c r="F398" s="123" t="s">
        <v>751</v>
      </c>
      <c r="G398" s="123" t="b">
        <v>0</v>
      </c>
      <c r="H398" s="123" t="b">
        <v>0</v>
      </c>
      <c r="I398" s="123" t="b">
        <v>0</v>
      </c>
      <c r="J398" s="123" t="b">
        <v>0</v>
      </c>
      <c r="K398" s="123" t="b">
        <v>0</v>
      </c>
      <c r="L398" s="123" t="b">
        <v>0</v>
      </c>
    </row>
    <row r="399" spans="1:12" ht="15">
      <c r="A399" s="123" t="s">
        <v>791</v>
      </c>
      <c r="B399" s="123" t="s">
        <v>793</v>
      </c>
      <c r="C399" s="123">
        <v>7</v>
      </c>
      <c r="D399" s="125">
        <v>0.0024191241479010164</v>
      </c>
      <c r="E399" s="125">
        <v>1.386833252532061</v>
      </c>
      <c r="F399" s="123" t="s">
        <v>751</v>
      </c>
      <c r="G399" s="123" t="b">
        <v>0</v>
      </c>
      <c r="H399" s="123" t="b">
        <v>0</v>
      </c>
      <c r="I399" s="123" t="b">
        <v>0</v>
      </c>
      <c r="J399" s="123" t="b">
        <v>0</v>
      </c>
      <c r="K399" s="123" t="b">
        <v>0</v>
      </c>
      <c r="L399" s="123" t="b">
        <v>0</v>
      </c>
    </row>
    <row r="400" spans="1:12" ht="15">
      <c r="A400" s="123" t="s">
        <v>793</v>
      </c>
      <c r="B400" s="123" t="s">
        <v>822</v>
      </c>
      <c r="C400" s="123">
        <v>7</v>
      </c>
      <c r="D400" s="125">
        <v>0.0024191241479010164</v>
      </c>
      <c r="E400" s="125">
        <v>1.432590743092736</v>
      </c>
      <c r="F400" s="123" t="s">
        <v>751</v>
      </c>
      <c r="G400" s="123" t="b">
        <v>0</v>
      </c>
      <c r="H400" s="123" t="b">
        <v>0</v>
      </c>
      <c r="I400" s="123" t="b">
        <v>0</v>
      </c>
      <c r="J400" s="123" t="b">
        <v>0</v>
      </c>
      <c r="K400" s="123" t="b">
        <v>0</v>
      </c>
      <c r="L400" s="123" t="b">
        <v>0</v>
      </c>
    </row>
    <row r="401" spans="1:12" ht="15">
      <c r="A401" s="123" t="s">
        <v>835</v>
      </c>
      <c r="B401" s="123" t="s">
        <v>847</v>
      </c>
      <c r="C401" s="123">
        <v>7</v>
      </c>
      <c r="D401" s="125">
        <v>0.0024191241479010164</v>
      </c>
      <c r="E401" s="125">
        <v>1.900757155159472</v>
      </c>
      <c r="F401" s="123" t="s">
        <v>751</v>
      </c>
      <c r="G401" s="123" t="b">
        <v>0</v>
      </c>
      <c r="H401" s="123" t="b">
        <v>0</v>
      </c>
      <c r="I401" s="123" t="b">
        <v>0</v>
      </c>
      <c r="J401" s="123" t="b">
        <v>0</v>
      </c>
      <c r="K401" s="123" t="b">
        <v>0</v>
      </c>
      <c r="L401" s="123" t="b">
        <v>0</v>
      </c>
    </row>
    <row r="402" spans="1:12" ht="15">
      <c r="A402" s="123" t="s">
        <v>847</v>
      </c>
      <c r="B402" s="123" t="s">
        <v>800</v>
      </c>
      <c r="C402" s="123">
        <v>7</v>
      </c>
      <c r="D402" s="125">
        <v>0.0024191241479010164</v>
      </c>
      <c r="E402" s="125">
        <v>1.8427652081817854</v>
      </c>
      <c r="F402" s="123" t="s">
        <v>751</v>
      </c>
      <c r="G402" s="123" t="b">
        <v>0</v>
      </c>
      <c r="H402" s="123" t="b">
        <v>0</v>
      </c>
      <c r="I402" s="123" t="b">
        <v>0</v>
      </c>
      <c r="J402" s="123" t="b">
        <v>0</v>
      </c>
      <c r="K402" s="123" t="b">
        <v>0</v>
      </c>
      <c r="L402" s="123" t="b">
        <v>0</v>
      </c>
    </row>
    <row r="403" spans="1:12" ht="15">
      <c r="A403" s="123" t="s">
        <v>800</v>
      </c>
      <c r="B403" s="123" t="s">
        <v>848</v>
      </c>
      <c r="C403" s="123">
        <v>7</v>
      </c>
      <c r="D403" s="125">
        <v>0.0024191241479010164</v>
      </c>
      <c r="E403" s="125">
        <v>1.8427652081817854</v>
      </c>
      <c r="F403" s="123" t="s">
        <v>751</v>
      </c>
      <c r="G403" s="123" t="b">
        <v>0</v>
      </c>
      <c r="H403" s="123" t="b">
        <v>0</v>
      </c>
      <c r="I403" s="123" t="b">
        <v>0</v>
      </c>
      <c r="J403" s="123" t="b">
        <v>0</v>
      </c>
      <c r="K403" s="123" t="b">
        <v>0</v>
      </c>
      <c r="L403" s="123" t="b">
        <v>0</v>
      </c>
    </row>
    <row r="404" spans="1:12" ht="15">
      <c r="A404" s="123" t="s">
        <v>814</v>
      </c>
      <c r="B404" s="123" t="s">
        <v>798</v>
      </c>
      <c r="C404" s="123">
        <v>7</v>
      </c>
      <c r="D404" s="125">
        <v>0.0024191241479010164</v>
      </c>
      <c r="E404" s="125">
        <v>1.745855195173729</v>
      </c>
      <c r="F404" s="123" t="s">
        <v>751</v>
      </c>
      <c r="G404" s="123" t="b">
        <v>0</v>
      </c>
      <c r="H404" s="123" t="b">
        <v>0</v>
      </c>
      <c r="I404" s="123" t="b">
        <v>0</v>
      </c>
      <c r="J404" s="123" t="b">
        <v>0</v>
      </c>
      <c r="K404" s="123" t="b">
        <v>0</v>
      </c>
      <c r="L404" s="123" t="b">
        <v>0</v>
      </c>
    </row>
    <row r="405" spans="1:12" ht="15">
      <c r="A405" s="123" t="s">
        <v>798</v>
      </c>
      <c r="B405" s="123" t="s">
        <v>832</v>
      </c>
      <c r="C405" s="123">
        <v>7</v>
      </c>
      <c r="D405" s="125">
        <v>0.0024191241479010164</v>
      </c>
      <c r="E405" s="125">
        <v>1.8427652081817854</v>
      </c>
      <c r="F405" s="123" t="s">
        <v>751</v>
      </c>
      <c r="G405" s="123" t="b">
        <v>0</v>
      </c>
      <c r="H405" s="123" t="b">
        <v>0</v>
      </c>
      <c r="I405" s="123" t="b">
        <v>0</v>
      </c>
      <c r="J405" s="123" t="b">
        <v>0</v>
      </c>
      <c r="K405" s="123" t="b">
        <v>0</v>
      </c>
      <c r="L405" s="123" t="b">
        <v>0</v>
      </c>
    </row>
    <row r="406" spans="1:12" ht="15">
      <c r="A406" s="123" t="s">
        <v>832</v>
      </c>
      <c r="B406" s="123" t="s">
        <v>833</v>
      </c>
      <c r="C406" s="123">
        <v>7</v>
      </c>
      <c r="D406" s="125">
        <v>0.0024191241479010164</v>
      </c>
      <c r="E406" s="125">
        <v>1.8427652081817854</v>
      </c>
      <c r="F406" s="123" t="s">
        <v>751</v>
      </c>
      <c r="G406" s="123" t="b">
        <v>0</v>
      </c>
      <c r="H406" s="123" t="b">
        <v>0</v>
      </c>
      <c r="I406" s="123" t="b">
        <v>0</v>
      </c>
      <c r="J406" s="123" t="b">
        <v>0</v>
      </c>
      <c r="K406" s="123" t="b">
        <v>0</v>
      </c>
      <c r="L406" s="123" t="b">
        <v>0</v>
      </c>
    </row>
    <row r="407" spans="1:12" ht="15">
      <c r="A407" s="123" t="s">
        <v>833</v>
      </c>
      <c r="B407" s="123" t="s">
        <v>834</v>
      </c>
      <c r="C407" s="123">
        <v>7</v>
      </c>
      <c r="D407" s="125">
        <v>0.0024191241479010164</v>
      </c>
      <c r="E407" s="125">
        <v>1.8427652081817854</v>
      </c>
      <c r="F407" s="123" t="s">
        <v>751</v>
      </c>
      <c r="G407" s="123" t="b">
        <v>0</v>
      </c>
      <c r="H407" s="123" t="b">
        <v>0</v>
      </c>
      <c r="I407" s="123" t="b">
        <v>0</v>
      </c>
      <c r="J407" s="123" t="b">
        <v>0</v>
      </c>
      <c r="K407" s="123" t="b">
        <v>0</v>
      </c>
      <c r="L407" s="123" t="b">
        <v>0</v>
      </c>
    </row>
    <row r="408" spans="1:12" ht="15">
      <c r="A408" s="123" t="s">
        <v>834</v>
      </c>
      <c r="B408" s="123" t="s">
        <v>843</v>
      </c>
      <c r="C408" s="123">
        <v>7</v>
      </c>
      <c r="D408" s="125">
        <v>0.0024191241479010164</v>
      </c>
      <c r="E408" s="125">
        <v>1.8427652081817854</v>
      </c>
      <c r="F408" s="123" t="s">
        <v>751</v>
      </c>
      <c r="G408" s="123" t="b">
        <v>0</v>
      </c>
      <c r="H408" s="123" t="b">
        <v>0</v>
      </c>
      <c r="I408" s="123" t="b">
        <v>0</v>
      </c>
      <c r="J408" s="123" t="b">
        <v>0</v>
      </c>
      <c r="K408" s="123" t="b">
        <v>0</v>
      </c>
      <c r="L408" s="123" t="b">
        <v>0</v>
      </c>
    </row>
    <row r="409" spans="1:12" ht="15">
      <c r="A409" s="123" t="s">
        <v>827</v>
      </c>
      <c r="B409" s="123" t="s">
        <v>835</v>
      </c>
      <c r="C409" s="123">
        <v>6</v>
      </c>
      <c r="D409" s="125">
        <v>0.0027807193814216344</v>
      </c>
      <c r="E409" s="125">
        <v>1.7246658961037908</v>
      </c>
      <c r="F409" s="123" t="s">
        <v>751</v>
      </c>
      <c r="G409" s="123" t="b">
        <v>0</v>
      </c>
      <c r="H409" s="123" t="b">
        <v>0</v>
      </c>
      <c r="I409" s="123" t="b">
        <v>0</v>
      </c>
      <c r="J409" s="123" t="b">
        <v>0</v>
      </c>
      <c r="K409" s="123" t="b">
        <v>0</v>
      </c>
      <c r="L409" s="123" t="b">
        <v>0</v>
      </c>
    </row>
    <row r="410" spans="1:12" ht="15">
      <c r="A410" s="123" t="s">
        <v>822</v>
      </c>
      <c r="B410" s="123" t="s">
        <v>859</v>
      </c>
      <c r="C410" s="123">
        <v>6</v>
      </c>
      <c r="D410" s="125">
        <v>0.0027807193814216344</v>
      </c>
      <c r="E410" s="125">
        <v>1.8427652081817851</v>
      </c>
      <c r="F410" s="123" t="s">
        <v>751</v>
      </c>
      <c r="G410" s="123" t="b">
        <v>0</v>
      </c>
      <c r="H410" s="123" t="b">
        <v>0</v>
      </c>
      <c r="I410" s="123" t="b">
        <v>0</v>
      </c>
      <c r="J410" s="123" t="b">
        <v>0</v>
      </c>
      <c r="K410" s="123" t="b">
        <v>0</v>
      </c>
      <c r="L410" s="123" t="b">
        <v>0</v>
      </c>
    </row>
    <row r="411" spans="1:12" ht="15">
      <c r="A411" s="123" t="s">
        <v>859</v>
      </c>
      <c r="B411" s="123" t="s">
        <v>789</v>
      </c>
      <c r="C411" s="123">
        <v>6</v>
      </c>
      <c r="D411" s="125">
        <v>0.0027807193814216344</v>
      </c>
      <c r="E411" s="125">
        <v>1.5697639361180475</v>
      </c>
      <c r="F411" s="123" t="s">
        <v>751</v>
      </c>
      <c r="G411" s="123" t="b">
        <v>0</v>
      </c>
      <c r="H411" s="123" t="b">
        <v>0</v>
      </c>
      <c r="I411" s="123" t="b">
        <v>0</v>
      </c>
      <c r="J411" s="123" t="b">
        <v>0</v>
      </c>
      <c r="K411" s="123" t="b">
        <v>0</v>
      </c>
      <c r="L411" s="123" t="b">
        <v>0</v>
      </c>
    </row>
    <row r="412" spans="1:12" ht="15">
      <c r="A412" s="123" t="s">
        <v>843</v>
      </c>
      <c r="B412" s="123" t="s">
        <v>861</v>
      </c>
      <c r="C412" s="123">
        <v>6</v>
      </c>
      <c r="D412" s="125">
        <v>0.0027807193814216344</v>
      </c>
      <c r="E412" s="125">
        <v>1.900757155159472</v>
      </c>
      <c r="F412" s="123" t="s">
        <v>751</v>
      </c>
      <c r="G412" s="123" t="b">
        <v>0</v>
      </c>
      <c r="H412" s="123" t="b">
        <v>0</v>
      </c>
      <c r="I412" s="123" t="b">
        <v>0</v>
      </c>
      <c r="J412" s="123" t="b">
        <v>0</v>
      </c>
      <c r="K412" s="123" t="b">
        <v>0</v>
      </c>
      <c r="L412" s="123" t="b">
        <v>0</v>
      </c>
    </row>
    <row r="413" spans="1:12" ht="15">
      <c r="A413" s="123" t="s">
        <v>861</v>
      </c>
      <c r="B413" s="123" t="s">
        <v>844</v>
      </c>
      <c r="C413" s="123">
        <v>6</v>
      </c>
      <c r="D413" s="125">
        <v>0.0027807193814216344</v>
      </c>
      <c r="E413" s="125">
        <v>1.900757155159472</v>
      </c>
      <c r="F413" s="123" t="s">
        <v>751</v>
      </c>
      <c r="G413" s="123" t="b">
        <v>0</v>
      </c>
      <c r="H413" s="123" t="b">
        <v>0</v>
      </c>
      <c r="I413" s="123" t="b">
        <v>0</v>
      </c>
      <c r="J413" s="123" t="b">
        <v>0</v>
      </c>
      <c r="K413" s="123" t="b">
        <v>0</v>
      </c>
      <c r="L413" s="123" t="b">
        <v>0</v>
      </c>
    </row>
    <row r="414" spans="1:12" ht="15">
      <c r="A414" s="123" t="s">
        <v>829</v>
      </c>
      <c r="B414" s="123" t="s">
        <v>865</v>
      </c>
      <c r="C414" s="123">
        <v>6</v>
      </c>
      <c r="D414" s="125">
        <v>0.007820732635502576</v>
      </c>
      <c r="E414" s="125">
        <v>1.9677039447900853</v>
      </c>
      <c r="F414" s="123" t="s">
        <v>751</v>
      </c>
      <c r="G414" s="123" t="b">
        <v>0</v>
      </c>
      <c r="H414" s="123" t="b">
        <v>0</v>
      </c>
      <c r="I414" s="123" t="b">
        <v>0</v>
      </c>
      <c r="J414" s="123" t="b">
        <v>0</v>
      </c>
      <c r="K414" s="123" t="b">
        <v>0</v>
      </c>
      <c r="L414" s="123" t="b">
        <v>0</v>
      </c>
    </row>
    <row r="415" spans="1:12" ht="15">
      <c r="A415" s="123" t="s">
        <v>848</v>
      </c>
      <c r="B415" s="123" t="s">
        <v>860</v>
      </c>
      <c r="C415" s="123">
        <v>5</v>
      </c>
      <c r="D415" s="125">
        <v>0.003014284162167309</v>
      </c>
      <c r="E415" s="125">
        <v>1.8215759091118473</v>
      </c>
      <c r="F415" s="123" t="s">
        <v>751</v>
      </c>
      <c r="G415" s="123" t="b">
        <v>0</v>
      </c>
      <c r="H415" s="123" t="b">
        <v>0</v>
      </c>
      <c r="I415" s="123" t="b">
        <v>0</v>
      </c>
      <c r="J415" s="123" t="b">
        <v>0</v>
      </c>
      <c r="K415" s="123" t="b">
        <v>0</v>
      </c>
      <c r="L415" s="123" t="b">
        <v>0</v>
      </c>
    </row>
    <row r="416" spans="1:12" ht="15">
      <c r="A416" s="123" t="s">
        <v>781</v>
      </c>
      <c r="B416" s="123" t="s">
        <v>779</v>
      </c>
      <c r="C416" s="123">
        <v>4</v>
      </c>
      <c r="D416" s="125">
        <v>0.003973742467877201</v>
      </c>
      <c r="E416" s="125">
        <v>2.1437952038457664</v>
      </c>
      <c r="F416" s="123" t="s">
        <v>751</v>
      </c>
      <c r="G416" s="123" t="b">
        <v>0</v>
      </c>
      <c r="H416" s="123" t="b">
        <v>0</v>
      </c>
      <c r="I416" s="123" t="b">
        <v>0</v>
      </c>
      <c r="J416" s="123" t="b">
        <v>0</v>
      </c>
      <c r="K416" s="123" t="b">
        <v>0</v>
      </c>
      <c r="L416" s="123" t="b">
        <v>0</v>
      </c>
    </row>
    <row r="417" spans="1:12" ht="15">
      <c r="A417" s="123" t="s">
        <v>982</v>
      </c>
      <c r="B417" s="123" t="s">
        <v>983</v>
      </c>
      <c r="C417" s="123">
        <v>3</v>
      </c>
      <c r="D417" s="125">
        <v>0.0055003134779483724</v>
      </c>
      <c r="E417" s="125">
        <v>2.2687339404540663</v>
      </c>
      <c r="F417" s="123" t="s">
        <v>751</v>
      </c>
      <c r="G417" s="123" t="b">
        <v>0</v>
      </c>
      <c r="H417" s="123" t="b">
        <v>0</v>
      </c>
      <c r="I417" s="123" t="b">
        <v>0</v>
      </c>
      <c r="J417" s="123" t="b">
        <v>0</v>
      </c>
      <c r="K417" s="123" t="b">
        <v>0</v>
      </c>
      <c r="L417" s="123" t="b">
        <v>0</v>
      </c>
    </row>
    <row r="418" spans="1:12" ht="15">
      <c r="A418" s="123" t="s">
        <v>799</v>
      </c>
      <c r="B418" s="123" t="s">
        <v>784</v>
      </c>
      <c r="C418" s="123">
        <v>3</v>
      </c>
      <c r="D418" s="125">
        <v>0.002980306850907901</v>
      </c>
      <c r="E418" s="125">
        <v>1.704462510015504</v>
      </c>
      <c r="F418" s="123" t="s">
        <v>751</v>
      </c>
      <c r="G418" s="123" t="b">
        <v>0</v>
      </c>
      <c r="H418" s="123" t="b">
        <v>0</v>
      </c>
      <c r="I418" s="123" t="b">
        <v>0</v>
      </c>
      <c r="J418" s="123" t="b">
        <v>0</v>
      </c>
      <c r="K418" s="123" t="b">
        <v>0</v>
      </c>
      <c r="L418" s="123" t="b">
        <v>0</v>
      </c>
    </row>
    <row r="419" spans="1:12" ht="15">
      <c r="A419" s="123" t="s">
        <v>955</v>
      </c>
      <c r="B419" s="123" t="s">
        <v>1126</v>
      </c>
      <c r="C419" s="123">
        <v>2</v>
      </c>
      <c r="D419" s="125">
        <v>0.0036668756519655818</v>
      </c>
      <c r="E419" s="125">
        <v>2.4448251995097476</v>
      </c>
      <c r="F419" s="123" t="s">
        <v>751</v>
      </c>
      <c r="G419" s="123" t="b">
        <v>0</v>
      </c>
      <c r="H419" s="123" t="b">
        <v>0</v>
      </c>
      <c r="I419" s="123" t="b">
        <v>0</v>
      </c>
      <c r="J419" s="123" t="b">
        <v>0</v>
      </c>
      <c r="K419" s="123" t="b">
        <v>0</v>
      </c>
      <c r="L419" s="123" t="b">
        <v>0</v>
      </c>
    </row>
    <row r="420" spans="1:12" ht="15">
      <c r="A420" s="123" t="s">
        <v>789</v>
      </c>
      <c r="B420" s="123" t="s">
        <v>1121</v>
      </c>
      <c r="C420" s="123">
        <v>2</v>
      </c>
      <c r="D420" s="125">
        <v>0.002606910878500859</v>
      </c>
      <c r="E420" s="125">
        <v>1.5697639361180478</v>
      </c>
      <c r="F420" s="123" t="s">
        <v>751</v>
      </c>
      <c r="G420" s="123" t="b">
        <v>0</v>
      </c>
      <c r="H420" s="123" t="b">
        <v>0</v>
      </c>
      <c r="I420" s="123" t="b">
        <v>0</v>
      </c>
      <c r="J420" s="123" t="b">
        <v>0</v>
      </c>
      <c r="K420" s="123" t="b">
        <v>0</v>
      </c>
      <c r="L420" s="123" t="b">
        <v>0</v>
      </c>
    </row>
    <row r="421" spans="1:12" ht="15">
      <c r="A421" s="123" t="s">
        <v>792</v>
      </c>
      <c r="B421" s="123" t="s">
        <v>829</v>
      </c>
      <c r="C421" s="123">
        <v>2</v>
      </c>
      <c r="D421" s="125">
        <v>0.002606910878500859</v>
      </c>
      <c r="E421" s="125">
        <v>0.9899803395012374</v>
      </c>
      <c r="F421" s="123" t="s">
        <v>751</v>
      </c>
      <c r="G421" s="123" t="b">
        <v>0</v>
      </c>
      <c r="H421" s="123" t="b">
        <v>0</v>
      </c>
      <c r="I421" s="123" t="b">
        <v>0</v>
      </c>
      <c r="J421" s="123" t="b">
        <v>0</v>
      </c>
      <c r="K421" s="123" t="b">
        <v>0</v>
      </c>
      <c r="L421" s="123" t="b">
        <v>0</v>
      </c>
    </row>
    <row r="422" spans="1:12" ht="15">
      <c r="A422" s="123" t="s">
        <v>1115</v>
      </c>
      <c r="B422" s="123" t="s">
        <v>862</v>
      </c>
      <c r="C422" s="123">
        <v>2</v>
      </c>
      <c r="D422" s="125">
        <v>0.002606910878500859</v>
      </c>
      <c r="E422" s="125">
        <v>2.1437952038457664</v>
      </c>
      <c r="F422" s="123" t="s">
        <v>751</v>
      </c>
      <c r="G422" s="123" t="b">
        <v>0</v>
      </c>
      <c r="H422" s="123" t="b">
        <v>0</v>
      </c>
      <c r="I422" s="123" t="b">
        <v>0</v>
      </c>
      <c r="J422" s="123" t="b">
        <v>0</v>
      </c>
      <c r="K422" s="123" t="b">
        <v>0</v>
      </c>
      <c r="L422" s="123" t="b">
        <v>0</v>
      </c>
    </row>
    <row r="423" spans="1:12" ht="15">
      <c r="A423" s="123" t="s">
        <v>862</v>
      </c>
      <c r="B423" s="123" t="s">
        <v>862</v>
      </c>
      <c r="C423" s="123">
        <v>2</v>
      </c>
      <c r="D423" s="125">
        <v>0.002606910878500859</v>
      </c>
      <c r="E423" s="125">
        <v>1.8427652081817854</v>
      </c>
      <c r="F423" s="123" t="s">
        <v>751</v>
      </c>
      <c r="G423" s="123" t="b">
        <v>0</v>
      </c>
      <c r="H423" s="123" t="b">
        <v>0</v>
      </c>
      <c r="I423" s="123" t="b">
        <v>0</v>
      </c>
      <c r="J423" s="123" t="b">
        <v>0</v>
      </c>
      <c r="K423" s="123" t="b">
        <v>0</v>
      </c>
      <c r="L423" s="123" t="b">
        <v>0</v>
      </c>
    </row>
    <row r="424" spans="1:12" ht="15">
      <c r="A424" s="123" t="s">
        <v>862</v>
      </c>
      <c r="B424" s="123" t="s">
        <v>1116</v>
      </c>
      <c r="C424" s="123">
        <v>2</v>
      </c>
      <c r="D424" s="125">
        <v>0.002606910878500859</v>
      </c>
      <c r="E424" s="125">
        <v>2.1437952038457664</v>
      </c>
      <c r="F424" s="123" t="s">
        <v>751</v>
      </c>
      <c r="G424" s="123" t="b">
        <v>0</v>
      </c>
      <c r="H424" s="123" t="b">
        <v>0</v>
      </c>
      <c r="I424" s="123" t="b">
        <v>0</v>
      </c>
      <c r="J424" s="123" t="b">
        <v>0</v>
      </c>
      <c r="K424" s="123" t="b">
        <v>0</v>
      </c>
      <c r="L424" s="123" t="b">
        <v>0</v>
      </c>
    </row>
    <row r="425" spans="1:12" ht="15">
      <c r="A425" s="123" t="s">
        <v>1116</v>
      </c>
      <c r="B425" s="123" t="s">
        <v>788</v>
      </c>
      <c r="C425" s="123">
        <v>2</v>
      </c>
      <c r="D425" s="125">
        <v>0.002606910878500859</v>
      </c>
      <c r="E425" s="125">
        <v>1.6319118428668922</v>
      </c>
      <c r="F425" s="123" t="s">
        <v>751</v>
      </c>
      <c r="G425" s="123" t="b">
        <v>0</v>
      </c>
      <c r="H425" s="123" t="b">
        <v>0</v>
      </c>
      <c r="I425" s="123" t="b">
        <v>0</v>
      </c>
      <c r="J425" s="123" t="b">
        <v>0</v>
      </c>
      <c r="K425" s="123" t="b">
        <v>1</v>
      </c>
      <c r="L425" s="123" t="b">
        <v>0</v>
      </c>
    </row>
    <row r="426" spans="1:12" ht="15">
      <c r="A426" s="123" t="s">
        <v>788</v>
      </c>
      <c r="B426" s="123" t="s">
        <v>884</v>
      </c>
      <c r="C426" s="123">
        <v>2</v>
      </c>
      <c r="D426" s="125">
        <v>0.002606910878500859</v>
      </c>
      <c r="E426" s="125">
        <v>1.455820583811211</v>
      </c>
      <c r="F426" s="123" t="s">
        <v>751</v>
      </c>
      <c r="G426" s="123" t="b">
        <v>0</v>
      </c>
      <c r="H426" s="123" t="b">
        <v>1</v>
      </c>
      <c r="I426" s="123" t="b">
        <v>0</v>
      </c>
      <c r="J426" s="123" t="b">
        <v>0</v>
      </c>
      <c r="K426" s="123" t="b">
        <v>0</v>
      </c>
      <c r="L426" s="123" t="b">
        <v>0</v>
      </c>
    </row>
    <row r="427" spans="1:12" ht="15">
      <c r="A427" s="123" t="s">
        <v>884</v>
      </c>
      <c r="B427" s="123" t="s">
        <v>787</v>
      </c>
      <c r="C427" s="123">
        <v>2</v>
      </c>
      <c r="D427" s="125">
        <v>0.002606910878500859</v>
      </c>
      <c r="E427" s="125">
        <v>1.5283712509598226</v>
      </c>
      <c r="F427" s="123" t="s">
        <v>751</v>
      </c>
      <c r="G427" s="123" t="b">
        <v>0</v>
      </c>
      <c r="H427" s="123" t="b">
        <v>0</v>
      </c>
      <c r="I427" s="123" t="b">
        <v>0</v>
      </c>
      <c r="J427" s="123" t="b">
        <v>0</v>
      </c>
      <c r="K427" s="123" t="b">
        <v>0</v>
      </c>
      <c r="L427" s="123" t="b">
        <v>0</v>
      </c>
    </row>
    <row r="428" spans="1:12" ht="15">
      <c r="A428" s="123" t="s">
        <v>787</v>
      </c>
      <c r="B428" s="123" t="s">
        <v>979</v>
      </c>
      <c r="C428" s="123">
        <v>2</v>
      </c>
      <c r="D428" s="125">
        <v>0.002606910878500859</v>
      </c>
      <c r="E428" s="125">
        <v>1.5283712509598226</v>
      </c>
      <c r="F428" s="123" t="s">
        <v>751</v>
      </c>
      <c r="G428" s="123" t="b">
        <v>0</v>
      </c>
      <c r="H428" s="123" t="b">
        <v>0</v>
      </c>
      <c r="I428" s="123" t="b">
        <v>0</v>
      </c>
      <c r="J428" s="123" t="b">
        <v>1</v>
      </c>
      <c r="K428" s="123" t="b">
        <v>0</v>
      </c>
      <c r="L428" s="123" t="b">
        <v>0</v>
      </c>
    </row>
    <row r="429" spans="1:12" ht="15">
      <c r="A429" s="123" t="s">
        <v>979</v>
      </c>
      <c r="B429" s="123" t="s">
        <v>911</v>
      </c>
      <c r="C429" s="123">
        <v>2</v>
      </c>
      <c r="D429" s="125">
        <v>0.002606910878500859</v>
      </c>
      <c r="E429" s="125">
        <v>2.2687339404540663</v>
      </c>
      <c r="F429" s="123" t="s">
        <v>751</v>
      </c>
      <c r="G429" s="123" t="b">
        <v>1</v>
      </c>
      <c r="H429" s="123" t="b">
        <v>0</v>
      </c>
      <c r="I429" s="123" t="b">
        <v>0</v>
      </c>
      <c r="J429" s="123" t="b">
        <v>0</v>
      </c>
      <c r="K429" s="123" t="b">
        <v>0</v>
      </c>
      <c r="L429" s="123" t="b">
        <v>0</v>
      </c>
    </row>
    <row r="430" spans="1:12" ht="15">
      <c r="A430" s="123" t="s">
        <v>911</v>
      </c>
      <c r="B430" s="123" t="s">
        <v>1117</v>
      </c>
      <c r="C430" s="123">
        <v>2</v>
      </c>
      <c r="D430" s="125">
        <v>0.002606910878500859</v>
      </c>
      <c r="E430" s="125">
        <v>2.4448251995097476</v>
      </c>
      <c r="F430" s="123" t="s">
        <v>751</v>
      </c>
      <c r="G430" s="123" t="b">
        <v>0</v>
      </c>
      <c r="H430" s="123" t="b">
        <v>0</v>
      </c>
      <c r="I430" s="123" t="b">
        <v>0</v>
      </c>
      <c r="J430" s="123" t="b">
        <v>0</v>
      </c>
      <c r="K430" s="123" t="b">
        <v>1</v>
      </c>
      <c r="L430" s="123" t="b">
        <v>0</v>
      </c>
    </row>
    <row r="431" spans="1:12" ht="15">
      <c r="A431" s="123" t="s">
        <v>1117</v>
      </c>
      <c r="B431" s="123" t="s">
        <v>793</v>
      </c>
      <c r="C431" s="123">
        <v>2</v>
      </c>
      <c r="D431" s="125">
        <v>0.002606910878500859</v>
      </c>
      <c r="E431" s="125">
        <v>1.745855195173729</v>
      </c>
      <c r="F431" s="123" t="s">
        <v>751</v>
      </c>
      <c r="G431" s="123" t="b">
        <v>0</v>
      </c>
      <c r="H431" s="123" t="b">
        <v>1</v>
      </c>
      <c r="I431" s="123" t="b">
        <v>0</v>
      </c>
      <c r="J431" s="123" t="b">
        <v>0</v>
      </c>
      <c r="K431" s="123" t="b">
        <v>0</v>
      </c>
      <c r="L431" s="123" t="b">
        <v>0</v>
      </c>
    </row>
    <row r="432" spans="1:12" ht="15">
      <c r="A432" s="123" t="s">
        <v>793</v>
      </c>
      <c r="B432" s="123" t="s">
        <v>829</v>
      </c>
      <c r="C432" s="123">
        <v>2</v>
      </c>
      <c r="D432" s="125">
        <v>0.002606910878500859</v>
      </c>
      <c r="E432" s="125">
        <v>1.0134614353507605</v>
      </c>
      <c r="F432" s="123" t="s">
        <v>751</v>
      </c>
      <c r="G432" s="123" t="b">
        <v>0</v>
      </c>
      <c r="H432" s="123" t="b">
        <v>0</v>
      </c>
      <c r="I432" s="123" t="b">
        <v>0</v>
      </c>
      <c r="J432" s="123" t="b">
        <v>0</v>
      </c>
      <c r="K432" s="123" t="b">
        <v>0</v>
      </c>
      <c r="L432" s="123" t="b">
        <v>0</v>
      </c>
    </row>
    <row r="433" spans="1:12" ht="15">
      <c r="A433" s="123" t="s">
        <v>865</v>
      </c>
      <c r="B433" s="123" t="s">
        <v>814</v>
      </c>
      <c r="C433" s="123">
        <v>2</v>
      </c>
      <c r="D433" s="125">
        <v>0.002606910878500859</v>
      </c>
      <c r="E433" s="125">
        <v>1.2687339404540665</v>
      </c>
      <c r="F433" s="123" t="s">
        <v>751</v>
      </c>
      <c r="G433" s="123" t="b">
        <v>0</v>
      </c>
      <c r="H433" s="123" t="b">
        <v>0</v>
      </c>
      <c r="I433" s="123" t="b">
        <v>0</v>
      </c>
      <c r="J433" s="123" t="b">
        <v>0</v>
      </c>
      <c r="K433" s="123" t="b">
        <v>0</v>
      </c>
      <c r="L433" s="123" t="b">
        <v>0</v>
      </c>
    </row>
    <row r="434" spans="1:12" ht="15">
      <c r="A434" s="123" t="s">
        <v>814</v>
      </c>
      <c r="B434" s="123" t="s">
        <v>1118</v>
      </c>
      <c r="C434" s="123">
        <v>2</v>
      </c>
      <c r="D434" s="125">
        <v>0.002606910878500859</v>
      </c>
      <c r="E434" s="125">
        <v>1.745855195173729</v>
      </c>
      <c r="F434" s="123" t="s">
        <v>751</v>
      </c>
      <c r="G434" s="123" t="b">
        <v>0</v>
      </c>
      <c r="H434" s="123" t="b">
        <v>0</v>
      </c>
      <c r="I434" s="123" t="b">
        <v>0</v>
      </c>
      <c r="J434" s="123" t="b">
        <v>0</v>
      </c>
      <c r="K434" s="123" t="b">
        <v>0</v>
      </c>
      <c r="L434" s="123" t="b">
        <v>0</v>
      </c>
    </row>
    <row r="435" spans="1:12" ht="15">
      <c r="A435" s="123" t="s">
        <v>1118</v>
      </c>
      <c r="B435" s="123" t="s">
        <v>829</v>
      </c>
      <c r="C435" s="123">
        <v>2</v>
      </c>
      <c r="D435" s="125">
        <v>0.002606910878500859</v>
      </c>
      <c r="E435" s="125">
        <v>1.9677039447900853</v>
      </c>
      <c r="F435" s="123" t="s">
        <v>751</v>
      </c>
      <c r="G435" s="123" t="b">
        <v>0</v>
      </c>
      <c r="H435" s="123" t="b">
        <v>0</v>
      </c>
      <c r="I435" s="123" t="b">
        <v>0</v>
      </c>
      <c r="J435" s="123" t="b">
        <v>0</v>
      </c>
      <c r="K435" s="123" t="b">
        <v>0</v>
      </c>
      <c r="L435" s="123" t="b">
        <v>0</v>
      </c>
    </row>
    <row r="436" spans="1:12" ht="15">
      <c r="A436" s="123" t="s">
        <v>865</v>
      </c>
      <c r="B436" s="123" t="s">
        <v>826</v>
      </c>
      <c r="C436" s="123">
        <v>2</v>
      </c>
      <c r="D436" s="125">
        <v>0.002606910878500859</v>
      </c>
      <c r="E436" s="125">
        <v>1.3144914310147415</v>
      </c>
      <c r="F436" s="123" t="s">
        <v>751</v>
      </c>
      <c r="G436" s="123" t="b">
        <v>0</v>
      </c>
      <c r="H436" s="123" t="b">
        <v>0</v>
      </c>
      <c r="I436" s="123" t="b">
        <v>0</v>
      </c>
      <c r="J436" s="123" t="b">
        <v>0</v>
      </c>
      <c r="K436" s="123" t="b">
        <v>0</v>
      </c>
      <c r="L436" s="123" t="b">
        <v>0</v>
      </c>
    </row>
    <row r="437" spans="1:12" ht="15">
      <c r="A437" s="123" t="s">
        <v>827</v>
      </c>
      <c r="B437" s="123" t="s">
        <v>780</v>
      </c>
      <c r="C437" s="123">
        <v>2</v>
      </c>
      <c r="D437" s="125">
        <v>0.002606910878500859</v>
      </c>
      <c r="E437" s="125">
        <v>1.7916126857344041</v>
      </c>
      <c r="F437" s="123" t="s">
        <v>751</v>
      </c>
      <c r="G437" s="123" t="b">
        <v>0</v>
      </c>
      <c r="H437" s="123" t="b">
        <v>0</v>
      </c>
      <c r="I437" s="123" t="b">
        <v>0</v>
      </c>
      <c r="J437" s="123" t="b">
        <v>0</v>
      </c>
      <c r="K437" s="123" t="b">
        <v>0</v>
      </c>
      <c r="L437" s="123" t="b">
        <v>0</v>
      </c>
    </row>
    <row r="438" spans="1:12" ht="15">
      <c r="A438" s="123" t="s">
        <v>780</v>
      </c>
      <c r="B438" s="123" t="s">
        <v>810</v>
      </c>
      <c r="C438" s="123">
        <v>2</v>
      </c>
      <c r="D438" s="125">
        <v>0.002606910878500859</v>
      </c>
      <c r="E438" s="125">
        <v>2.1437952038457664</v>
      </c>
      <c r="F438" s="123" t="s">
        <v>751</v>
      </c>
      <c r="G438" s="123" t="b">
        <v>0</v>
      </c>
      <c r="H438" s="123" t="b">
        <v>0</v>
      </c>
      <c r="I438" s="123" t="b">
        <v>0</v>
      </c>
      <c r="J438" s="123" t="b">
        <v>0</v>
      </c>
      <c r="K438" s="123" t="b">
        <v>0</v>
      </c>
      <c r="L438" s="123" t="b">
        <v>0</v>
      </c>
    </row>
    <row r="439" spans="1:12" ht="15">
      <c r="A439" s="123" t="s">
        <v>810</v>
      </c>
      <c r="B439" s="123" t="s">
        <v>810</v>
      </c>
      <c r="C439" s="123">
        <v>2</v>
      </c>
      <c r="D439" s="125">
        <v>0.002606910878500859</v>
      </c>
      <c r="E439" s="125">
        <v>1.8427652081817854</v>
      </c>
      <c r="F439" s="123" t="s">
        <v>751</v>
      </c>
      <c r="G439" s="123" t="b">
        <v>0</v>
      </c>
      <c r="H439" s="123" t="b">
        <v>0</v>
      </c>
      <c r="I439" s="123" t="b">
        <v>0</v>
      </c>
      <c r="J439" s="123" t="b">
        <v>0</v>
      </c>
      <c r="K439" s="123" t="b">
        <v>0</v>
      </c>
      <c r="L439" s="123" t="b">
        <v>0</v>
      </c>
    </row>
    <row r="440" spans="1:12" ht="15">
      <c r="A440" s="123" t="s">
        <v>784</v>
      </c>
      <c r="B440" s="123" t="s">
        <v>821</v>
      </c>
      <c r="C440" s="123">
        <v>2</v>
      </c>
      <c r="D440" s="125">
        <v>0.002606910878500859</v>
      </c>
      <c r="E440" s="125">
        <v>1.745855195173729</v>
      </c>
      <c r="F440" s="123" t="s">
        <v>751</v>
      </c>
      <c r="G440" s="123" t="b">
        <v>0</v>
      </c>
      <c r="H440" s="123" t="b">
        <v>0</v>
      </c>
      <c r="I440" s="123" t="b">
        <v>0</v>
      </c>
      <c r="J440" s="123" t="b">
        <v>0</v>
      </c>
      <c r="K440" s="123" t="b">
        <v>0</v>
      </c>
      <c r="L440" s="123" t="b">
        <v>0</v>
      </c>
    </row>
    <row r="441" spans="1:12" ht="15">
      <c r="A441" s="123" t="s">
        <v>788</v>
      </c>
      <c r="B441" s="123" t="s">
        <v>788</v>
      </c>
      <c r="C441" s="123">
        <v>2</v>
      </c>
      <c r="D441" s="125">
        <v>0.0036668756519655818</v>
      </c>
      <c r="E441" s="125">
        <v>0.8189984862240366</v>
      </c>
      <c r="F441" s="123" t="s">
        <v>751</v>
      </c>
      <c r="G441" s="123" t="b">
        <v>0</v>
      </c>
      <c r="H441" s="123" t="b">
        <v>1</v>
      </c>
      <c r="I441" s="123" t="b">
        <v>0</v>
      </c>
      <c r="J441" s="123" t="b">
        <v>0</v>
      </c>
      <c r="K441" s="123" t="b">
        <v>1</v>
      </c>
      <c r="L441" s="123" t="b">
        <v>0</v>
      </c>
    </row>
    <row r="442" spans="1:12" ht="15">
      <c r="A442" s="123" t="s">
        <v>1111</v>
      </c>
      <c r="B442" s="123" t="s">
        <v>1112</v>
      </c>
      <c r="C442" s="123">
        <v>2</v>
      </c>
      <c r="D442" s="125">
        <v>0.0036668756519655818</v>
      </c>
      <c r="E442" s="125">
        <v>2.4448251995097476</v>
      </c>
      <c r="F442" s="123" t="s">
        <v>751</v>
      </c>
      <c r="G442" s="123" t="b">
        <v>0</v>
      </c>
      <c r="H442" s="123" t="b">
        <v>0</v>
      </c>
      <c r="I442" s="123" t="b">
        <v>0</v>
      </c>
      <c r="J442" s="123" t="b">
        <v>0</v>
      </c>
      <c r="K442" s="123" t="b">
        <v>0</v>
      </c>
      <c r="L442" s="123" t="b">
        <v>0</v>
      </c>
    </row>
    <row r="443" spans="1:12" ht="15">
      <c r="A443" s="123" t="s">
        <v>789</v>
      </c>
      <c r="B443" s="123" t="s">
        <v>791</v>
      </c>
      <c r="C443" s="123">
        <v>2</v>
      </c>
      <c r="D443" s="125">
        <v>0.002606910878500859</v>
      </c>
      <c r="E443" s="125">
        <v>0.6666739491261041</v>
      </c>
      <c r="F443" s="123" t="s">
        <v>751</v>
      </c>
      <c r="G443" s="123" t="b">
        <v>0</v>
      </c>
      <c r="H443" s="123" t="b">
        <v>0</v>
      </c>
      <c r="I443" s="123" t="b">
        <v>0</v>
      </c>
      <c r="J443" s="123" t="b">
        <v>0</v>
      </c>
      <c r="K443" s="123" t="b">
        <v>0</v>
      </c>
      <c r="L443" s="123" t="b">
        <v>0</v>
      </c>
    </row>
    <row r="444" spans="1:12" ht="15">
      <c r="A444" s="123" t="s">
        <v>817</v>
      </c>
      <c r="B444" s="123" t="s">
        <v>812</v>
      </c>
      <c r="C444" s="123">
        <v>11</v>
      </c>
      <c r="D444" s="125">
        <v>0.004708192798728426</v>
      </c>
      <c r="E444" s="125">
        <v>1.3117538610557542</v>
      </c>
      <c r="F444" s="123" t="s">
        <v>752</v>
      </c>
      <c r="G444" s="123" t="b">
        <v>0</v>
      </c>
      <c r="H444" s="123" t="b">
        <v>0</v>
      </c>
      <c r="I444" s="123" t="b">
        <v>0</v>
      </c>
      <c r="J444" s="123" t="b">
        <v>0</v>
      </c>
      <c r="K444" s="123" t="b">
        <v>0</v>
      </c>
      <c r="L444" s="123" t="b">
        <v>0</v>
      </c>
    </row>
    <row r="445" spans="1:12" ht="15">
      <c r="A445" s="123" t="s">
        <v>988</v>
      </c>
      <c r="B445" s="123" t="s">
        <v>989</v>
      </c>
      <c r="C445" s="123">
        <v>3</v>
      </c>
      <c r="D445" s="125">
        <v>0.005613191231996028</v>
      </c>
      <c r="E445" s="125">
        <v>1.9138138523837167</v>
      </c>
      <c r="F445" s="123" t="s">
        <v>752</v>
      </c>
      <c r="G445" s="123" t="b">
        <v>0</v>
      </c>
      <c r="H445" s="123" t="b">
        <v>0</v>
      </c>
      <c r="I445" s="123" t="b">
        <v>0</v>
      </c>
      <c r="J445" s="123" t="b">
        <v>0</v>
      </c>
      <c r="K445" s="123" t="b">
        <v>0</v>
      </c>
      <c r="L445" s="123" t="b">
        <v>0</v>
      </c>
    </row>
    <row r="446" spans="1:12" ht="15">
      <c r="A446" s="123" t="s">
        <v>989</v>
      </c>
      <c r="B446" s="123" t="s">
        <v>990</v>
      </c>
      <c r="C446" s="123">
        <v>3</v>
      </c>
      <c r="D446" s="125">
        <v>0.005613191231996028</v>
      </c>
      <c r="E446" s="125">
        <v>1.9138138523837167</v>
      </c>
      <c r="F446" s="123" t="s">
        <v>752</v>
      </c>
      <c r="G446" s="123" t="b">
        <v>0</v>
      </c>
      <c r="H446" s="123" t="b">
        <v>0</v>
      </c>
      <c r="I446" s="123" t="b">
        <v>0</v>
      </c>
      <c r="J446" s="123" t="b">
        <v>0</v>
      </c>
      <c r="K446" s="123" t="b">
        <v>0</v>
      </c>
      <c r="L446" s="123" t="b">
        <v>0</v>
      </c>
    </row>
    <row r="447" spans="1:12" ht="15">
      <c r="A447" s="123" t="s">
        <v>992</v>
      </c>
      <c r="B447" s="123" t="s">
        <v>913</v>
      </c>
      <c r="C447" s="123">
        <v>3</v>
      </c>
      <c r="D447" s="125">
        <v>0.007684853103239338</v>
      </c>
      <c r="E447" s="125">
        <v>1.9138138523837167</v>
      </c>
      <c r="F447" s="123" t="s">
        <v>752</v>
      </c>
      <c r="G447" s="123" t="b">
        <v>0</v>
      </c>
      <c r="H447" s="123" t="b">
        <v>0</v>
      </c>
      <c r="I447" s="123" t="b">
        <v>0</v>
      </c>
      <c r="J447" s="123" t="b">
        <v>0</v>
      </c>
      <c r="K447" s="123" t="b">
        <v>0</v>
      </c>
      <c r="L447" s="123" t="b">
        <v>0</v>
      </c>
    </row>
    <row r="448" spans="1:12" ht="15">
      <c r="A448" s="123" t="s">
        <v>812</v>
      </c>
      <c r="B448" s="123" t="s">
        <v>866</v>
      </c>
      <c r="C448" s="123">
        <v>3</v>
      </c>
      <c r="D448" s="125">
        <v>0.005613191231996028</v>
      </c>
      <c r="E448" s="125">
        <v>1.0899051114393978</v>
      </c>
      <c r="F448" s="123" t="s">
        <v>752</v>
      </c>
      <c r="G448" s="123" t="b">
        <v>0</v>
      </c>
      <c r="H448" s="123" t="b">
        <v>0</v>
      </c>
      <c r="I448" s="123" t="b">
        <v>0</v>
      </c>
      <c r="J448" s="123" t="b">
        <v>0</v>
      </c>
      <c r="K448" s="123" t="b">
        <v>0</v>
      </c>
      <c r="L448" s="123" t="b">
        <v>0</v>
      </c>
    </row>
    <row r="449" spans="1:12" ht="15">
      <c r="A449" s="123" t="s">
        <v>866</v>
      </c>
      <c r="B449" s="123" t="s">
        <v>912</v>
      </c>
      <c r="C449" s="123">
        <v>3</v>
      </c>
      <c r="D449" s="125">
        <v>0.005613191231996028</v>
      </c>
      <c r="E449" s="125">
        <v>1.6919651027673603</v>
      </c>
      <c r="F449" s="123" t="s">
        <v>752</v>
      </c>
      <c r="G449" s="123" t="b">
        <v>0</v>
      </c>
      <c r="H449" s="123" t="b">
        <v>0</v>
      </c>
      <c r="I449" s="123" t="b">
        <v>0</v>
      </c>
      <c r="J449" s="123" t="b">
        <v>0</v>
      </c>
      <c r="K449" s="123" t="b">
        <v>0</v>
      </c>
      <c r="L449" s="123" t="b">
        <v>0</v>
      </c>
    </row>
    <row r="450" spans="1:12" ht="15">
      <c r="A450" s="123" t="s">
        <v>987</v>
      </c>
      <c r="B450" s="123" t="s">
        <v>1147</v>
      </c>
      <c r="C450" s="123">
        <v>2</v>
      </c>
      <c r="D450" s="125">
        <v>0.0051232354021595585</v>
      </c>
      <c r="E450" s="125">
        <v>1.9138138523837167</v>
      </c>
      <c r="F450" s="123" t="s">
        <v>752</v>
      </c>
      <c r="G450" s="123" t="b">
        <v>0</v>
      </c>
      <c r="H450" s="123" t="b">
        <v>0</v>
      </c>
      <c r="I450" s="123" t="b">
        <v>0</v>
      </c>
      <c r="J450" s="123" t="b">
        <v>0</v>
      </c>
      <c r="K450" s="123" t="b">
        <v>0</v>
      </c>
      <c r="L450" s="123" t="b">
        <v>0</v>
      </c>
    </row>
    <row r="451" spans="1:12" ht="15">
      <c r="A451" s="123" t="s">
        <v>994</v>
      </c>
      <c r="B451" s="123" t="s">
        <v>1163</v>
      </c>
      <c r="C451" s="123">
        <v>2</v>
      </c>
      <c r="D451" s="125">
        <v>0.0051232354021595585</v>
      </c>
      <c r="E451" s="125">
        <v>2.089905111439398</v>
      </c>
      <c r="F451" s="123" t="s">
        <v>752</v>
      </c>
      <c r="G451" s="123" t="b">
        <v>0</v>
      </c>
      <c r="H451" s="123" t="b">
        <v>0</v>
      </c>
      <c r="I451" s="123" t="b">
        <v>0</v>
      </c>
      <c r="J451" s="123" t="b">
        <v>0</v>
      </c>
      <c r="K451" s="123" t="b">
        <v>0</v>
      </c>
      <c r="L451" s="123" t="b">
        <v>0</v>
      </c>
    </row>
    <row r="452" spans="1:12" ht="15">
      <c r="A452" s="123" t="s">
        <v>995</v>
      </c>
      <c r="B452" s="123" t="s">
        <v>995</v>
      </c>
      <c r="C452" s="123">
        <v>2</v>
      </c>
      <c r="D452" s="125">
        <v>0.007484254975994704</v>
      </c>
      <c r="E452" s="125">
        <v>1.7377225933280356</v>
      </c>
      <c r="F452" s="123" t="s">
        <v>752</v>
      </c>
      <c r="G452" s="123" t="b">
        <v>0</v>
      </c>
      <c r="H452" s="123" t="b">
        <v>0</v>
      </c>
      <c r="I452" s="123" t="b">
        <v>0</v>
      </c>
      <c r="J452" s="123" t="b">
        <v>0</v>
      </c>
      <c r="K452" s="123" t="b">
        <v>0</v>
      </c>
      <c r="L452" s="123" t="b">
        <v>0</v>
      </c>
    </row>
    <row r="453" spans="1:12" ht="15">
      <c r="A453" s="123" t="s">
        <v>1159</v>
      </c>
      <c r="B453" s="123" t="s">
        <v>1160</v>
      </c>
      <c r="C453" s="123">
        <v>2</v>
      </c>
      <c r="D453" s="125">
        <v>0.0051232354021595585</v>
      </c>
      <c r="E453" s="125">
        <v>2.089905111439398</v>
      </c>
      <c r="F453" s="123" t="s">
        <v>752</v>
      </c>
      <c r="G453" s="123" t="b">
        <v>0</v>
      </c>
      <c r="H453" s="123" t="b">
        <v>0</v>
      </c>
      <c r="I453" s="123" t="b">
        <v>0</v>
      </c>
      <c r="J453" s="123" t="b">
        <v>0</v>
      </c>
      <c r="K453" s="123" t="b">
        <v>0</v>
      </c>
      <c r="L453" s="123" t="b">
        <v>0</v>
      </c>
    </row>
    <row r="454" spans="1:12" ht="15">
      <c r="A454" s="123" t="s">
        <v>1160</v>
      </c>
      <c r="B454" s="123" t="s">
        <v>975</v>
      </c>
      <c r="C454" s="123">
        <v>2</v>
      </c>
      <c r="D454" s="125">
        <v>0.0051232354021595585</v>
      </c>
      <c r="E454" s="125">
        <v>2.089905111439398</v>
      </c>
      <c r="F454" s="123" t="s">
        <v>752</v>
      </c>
      <c r="G454" s="123" t="b">
        <v>0</v>
      </c>
      <c r="H454" s="123" t="b">
        <v>0</v>
      </c>
      <c r="I454" s="123" t="b">
        <v>0</v>
      </c>
      <c r="J454" s="123" t="b">
        <v>0</v>
      </c>
      <c r="K454" s="123" t="b">
        <v>0</v>
      </c>
      <c r="L454" s="123" t="b">
        <v>0</v>
      </c>
    </row>
    <row r="455" spans="1:12" ht="15">
      <c r="A455" s="123" t="s">
        <v>975</v>
      </c>
      <c r="B455" s="123" t="s">
        <v>1161</v>
      </c>
      <c r="C455" s="123">
        <v>2</v>
      </c>
      <c r="D455" s="125">
        <v>0.0051232354021595585</v>
      </c>
      <c r="E455" s="125">
        <v>2.089905111439398</v>
      </c>
      <c r="F455" s="123" t="s">
        <v>752</v>
      </c>
      <c r="G455" s="123" t="b">
        <v>0</v>
      </c>
      <c r="H455" s="123" t="b">
        <v>0</v>
      </c>
      <c r="I455" s="123" t="b">
        <v>0</v>
      </c>
      <c r="J455" s="123" t="b">
        <v>0</v>
      </c>
      <c r="K455" s="123" t="b">
        <v>0</v>
      </c>
      <c r="L455" s="123" t="b">
        <v>0</v>
      </c>
    </row>
    <row r="456" spans="1:12" ht="15">
      <c r="A456" s="123" t="s">
        <v>990</v>
      </c>
      <c r="B456" s="123" t="s">
        <v>1151</v>
      </c>
      <c r="C456" s="123">
        <v>2</v>
      </c>
      <c r="D456" s="125">
        <v>0.0051232354021595585</v>
      </c>
      <c r="E456" s="125">
        <v>1.9138138523837167</v>
      </c>
      <c r="F456" s="123" t="s">
        <v>752</v>
      </c>
      <c r="G456" s="123" t="b">
        <v>0</v>
      </c>
      <c r="H456" s="123" t="b">
        <v>0</v>
      </c>
      <c r="I456" s="123" t="b">
        <v>0</v>
      </c>
      <c r="J456" s="123" t="b">
        <v>0</v>
      </c>
      <c r="K456" s="123" t="b">
        <v>0</v>
      </c>
      <c r="L456" s="123" t="b">
        <v>0</v>
      </c>
    </row>
    <row r="457" spans="1:12" ht="15">
      <c r="A457" s="123" t="s">
        <v>1155</v>
      </c>
      <c r="B457" s="123" t="s">
        <v>1156</v>
      </c>
      <c r="C457" s="123">
        <v>2</v>
      </c>
      <c r="D457" s="125">
        <v>0.0051232354021595585</v>
      </c>
      <c r="E457" s="125">
        <v>2.089905111439398</v>
      </c>
      <c r="F457" s="123" t="s">
        <v>752</v>
      </c>
      <c r="G457" s="123" t="b">
        <v>0</v>
      </c>
      <c r="H457" s="123" t="b">
        <v>0</v>
      </c>
      <c r="I457" s="123" t="b">
        <v>0</v>
      </c>
      <c r="J457" s="123" t="b">
        <v>0</v>
      </c>
      <c r="K457" s="123" t="b">
        <v>0</v>
      </c>
      <c r="L457" s="123" t="b">
        <v>0</v>
      </c>
    </row>
    <row r="458" spans="1:12" ht="15">
      <c r="A458" s="123" t="s">
        <v>880</v>
      </c>
      <c r="B458" s="123" t="s">
        <v>1154</v>
      </c>
      <c r="C458" s="123">
        <v>2</v>
      </c>
      <c r="D458" s="125">
        <v>0.007484254975994704</v>
      </c>
      <c r="E458" s="125">
        <v>1.9138138523837167</v>
      </c>
      <c r="F458" s="123" t="s">
        <v>752</v>
      </c>
      <c r="G458" s="123" t="b">
        <v>0</v>
      </c>
      <c r="H458" s="123" t="b">
        <v>0</v>
      </c>
      <c r="I458" s="123" t="b">
        <v>0</v>
      </c>
      <c r="J458" s="123" t="b">
        <v>0</v>
      </c>
      <c r="K458" s="123" t="b">
        <v>0</v>
      </c>
      <c r="L458" s="123" t="b">
        <v>0</v>
      </c>
    </row>
    <row r="459" spans="1:12" ht="15">
      <c r="A459" s="123" t="s">
        <v>798</v>
      </c>
      <c r="B459" s="123" t="s">
        <v>1152</v>
      </c>
      <c r="C459" s="123">
        <v>2</v>
      </c>
      <c r="D459" s="125">
        <v>0.007484254975994704</v>
      </c>
      <c r="E459" s="125">
        <v>1.4878451201114355</v>
      </c>
      <c r="F459" s="123" t="s">
        <v>752</v>
      </c>
      <c r="G459" s="123" t="b">
        <v>0</v>
      </c>
      <c r="H459" s="123" t="b">
        <v>0</v>
      </c>
      <c r="I459" s="123" t="b">
        <v>0</v>
      </c>
      <c r="J459" s="123" t="b">
        <v>0</v>
      </c>
      <c r="K459" s="123" t="b">
        <v>0</v>
      </c>
      <c r="L459" s="123" t="b">
        <v>0</v>
      </c>
    </row>
    <row r="460" spans="1:12" ht="15">
      <c r="A460" s="123" t="s">
        <v>781</v>
      </c>
      <c r="B460" s="123" t="s">
        <v>779</v>
      </c>
      <c r="C460" s="123">
        <v>3</v>
      </c>
      <c r="D460" s="125">
        <v>0.021617629000083058</v>
      </c>
      <c r="E460" s="125">
        <v>1.0944212126043618</v>
      </c>
      <c r="F460" s="123" t="s">
        <v>753</v>
      </c>
      <c r="G460" s="123" t="b">
        <v>0</v>
      </c>
      <c r="H460" s="123" t="b">
        <v>0</v>
      </c>
      <c r="I460" s="123" t="b">
        <v>0</v>
      </c>
      <c r="J460" s="123" t="b">
        <v>0</v>
      </c>
      <c r="K460" s="123" t="b">
        <v>0</v>
      </c>
      <c r="L460" s="123" t="b">
        <v>0</v>
      </c>
    </row>
    <row r="461" spans="1:12" ht="15">
      <c r="A461" s="123" t="s">
        <v>804</v>
      </c>
      <c r="B461" s="123" t="s">
        <v>780</v>
      </c>
      <c r="C461" s="123">
        <v>3</v>
      </c>
      <c r="D461" s="125">
        <v>0.030927835051546393</v>
      </c>
      <c r="E461" s="125">
        <v>1.2405492482825997</v>
      </c>
      <c r="F461" s="123" t="s">
        <v>753</v>
      </c>
      <c r="G461" s="123" t="b">
        <v>0</v>
      </c>
      <c r="H461" s="123" t="b">
        <v>0</v>
      </c>
      <c r="I461" s="123" t="b">
        <v>0</v>
      </c>
      <c r="J461" s="123" t="b">
        <v>0</v>
      </c>
      <c r="K461" s="123" t="b">
        <v>0</v>
      </c>
      <c r="L461" s="123" t="b">
        <v>0</v>
      </c>
    </row>
    <row r="462" spans="1:12" ht="15">
      <c r="A462" s="123" t="s">
        <v>879</v>
      </c>
      <c r="B462" s="123" t="s">
        <v>901</v>
      </c>
      <c r="C462" s="123">
        <v>3</v>
      </c>
      <c r="D462" s="125">
        <v>0.030927835051546393</v>
      </c>
      <c r="E462" s="125">
        <v>1.1156105116742998</v>
      </c>
      <c r="F462" s="123" t="s">
        <v>753</v>
      </c>
      <c r="G462" s="123" t="b">
        <v>0</v>
      </c>
      <c r="H462" s="123" t="b">
        <v>0</v>
      </c>
      <c r="I462" s="123" t="b">
        <v>0</v>
      </c>
      <c r="J462" s="123" t="b">
        <v>0</v>
      </c>
      <c r="K462" s="123" t="b">
        <v>0</v>
      </c>
      <c r="L462" s="123" t="b">
        <v>0</v>
      </c>
    </row>
    <row r="463" spans="1:12" ht="15">
      <c r="A463" s="123" t="s">
        <v>1055</v>
      </c>
      <c r="B463" s="123" t="s">
        <v>810</v>
      </c>
      <c r="C463" s="123">
        <v>2</v>
      </c>
      <c r="D463" s="125">
        <v>0.014411752666722039</v>
      </c>
      <c r="E463" s="125">
        <v>1.3374592612906562</v>
      </c>
      <c r="F463" s="123" t="s">
        <v>753</v>
      </c>
      <c r="G463" s="123" t="b">
        <v>1</v>
      </c>
      <c r="H463" s="123" t="b">
        <v>0</v>
      </c>
      <c r="I463" s="123" t="b">
        <v>0</v>
      </c>
      <c r="J463" s="123" t="b">
        <v>0</v>
      </c>
      <c r="K463" s="123" t="b">
        <v>0</v>
      </c>
      <c r="L463" s="123" t="b">
        <v>0</v>
      </c>
    </row>
    <row r="464" spans="1:12" ht="15">
      <c r="A464" s="123" t="s">
        <v>901</v>
      </c>
      <c r="B464" s="123" t="s">
        <v>879</v>
      </c>
      <c r="C464" s="123">
        <v>2</v>
      </c>
      <c r="D464" s="125">
        <v>0.020618556701030927</v>
      </c>
      <c r="E464" s="125">
        <v>0.9395192526186186</v>
      </c>
      <c r="F464" s="123" t="s">
        <v>753</v>
      </c>
      <c r="G464" s="123" t="b">
        <v>0</v>
      </c>
      <c r="H464" s="123" t="b">
        <v>0</v>
      </c>
      <c r="I464" s="123" t="b">
        <v>0</v>
      </c>
      <c r="J464" s="123" t="b">
        <v>0</v>
      </c>
      <c r="K464" s="123" t="b">
        <v>0</v>
      </c>
      <c r="L464" s="123" t="b">
        <v>0</v>
      </c>
    </row>
    <row r="465" spans="1:12" ht="15">
      <c r="A465" s="123" t="s">
        <v>960</v>
      </c>
      <c r="B465" s="123" t="s">
        <v>1056</v>
      </c>
      <c r="C465" s="123">
        <v>2</v>
      </c>
      <c r="D465" s="125">
        <v>0.014411752666722039</v>
      </c>
      <c r="E465" s="125">
        <v>1.6384892569546374</v>
      </c>
      <c r="F465" s="123" t="s">
        <v>753</v>
      </c>
      <c r="G465" s="123" t="b">
        <v>0</v>
      </c>
      <c r="H465" s="123" t="b">
        <v>0</v>
      </c>
      <c r="I465" s="123" t="b">
        <v>0</v>
      </c>
      <c r="J465" s="123" t="b">
        <v>0</v>
      </c>
      <c r="K465" s="123" t="b">
        <v>1</v>
      </c>
      <c r="L465" s="123" t="b">
        <v>0</v>
      </c>
    </row>
    <row r="466" spans="1:12" ht="15">
      <c r="A466" s="123" t="s">
        <v>781</v>
      </c>
      <c r="B466" s="123" t="s">
        <v>779</v>
      </c>
      <c r="C466" s="123">
        <v>13</v>
      </c>
      <c r="D466" s="125">
        <v>0.01956694971815878</v>
      </c>
      <c r="E466" s="125">
        <v>1.0234810958495228</v>
      </c>
      <c r="F466" s="123" t="s">
        <v>754</v>
      </c>
      <c r="G466" s="123" t="b">
        <v>0</v>
      </c>
      <c r="H466" s="123" t="b">
        <v>0</v>
      </c>
      <c r="I466" s="123" t="b">
        <v>0</v>
      </c>
      <c r="J466" s="123" t="b">
        <v>0</v>
      </c>
      <c r="K466" s="123" t="b">
        <v>0</v>
      </c>
      <c r="L466" s="123" t="b">
        <v>0</v>
      </c>
    </row>
    <row r="467" spans="1:12" ht="15">
      <c r="A467" s="123" t="s">
        <v>841</v>
      </c>
      <c r="B467" s="123" t="s">
        <v>857</v>
      </c>
      <c r="C467" s="123">
        <v>5</v>
      </c>
      <c r="D467" s="125">
        <v>0.025</v>
      </c>
      <c r="E467" s="125">
        <v>1.5006023505691855</v>
      </c>
      <c r="F467" s="123" t="s">
        <v>754</v>
      </c>
      <c r="G467" s="123" t="b">
        <v>0</v>
      </c>
      <c r="H467" s="123" t="b">
        <v>0</v>
      </c>
      <c r="I467" s="123" t="b">
        <v>0</v>
      </c>
      <c r="J467" s="123" t="b">
        <v>0</v>
      </c>
      <c r="K467" s="123" t="b">
        <v>0</v>
      </c>
      <c r="L467" s="123" t="b">
        <v>0</v>
      </c>
    </row>
    <row r="468" spans="1:12" ht="15">
      <c r="A468" s="123" t="s">
        <v>804</v>
      </c>
      <c r="B468" s="123" t="s">
        <v>780</v>
      </c>
      <c r="C468" s="123">
        <v>4</v>
      </c>
      <c r="D468" s="125">
        <v>0.007958800173440752</v>
      </c>
      <c r="E468" s="125">
        <v>0.8895875165882966</v>
      </c>
      <c r="F468" s="123" t="s">
        <v>754</v>
      </c>
      <c r="G468" s="123" t="b">
        <v>0</v>
      </c>
      <c r="H468" s="123" t="b">
        <v>0</v>
      </c>
      <c r="I468" s="123" t="b">
        <v>0</v>
      </c>
      <c r="J468" s="123" t="b">
        <v>0</v>
      </c>
      <c r="K468" s="123" t="b">
        <v>0</v>
      </c>
      <c r="L468" s="123" t="b">
        <v>0</v>
      </c>
    </row>
    <row r="469" spans="1:12" ht="15">
      <c r="A469" s="123" t="s">
        <v>780</v>
      </c>
      <c r="B469" s="123" t="s">
        <v>780</v>
      </c>
      <c r="C469" s="123">
        <v>4</v>
      </c>
      <c r="D469" s="125">
        <v>0.007958800173440752</v>
      </c>
      <c r="E469" s="125">
        <v>0.6932928714443283</v>
      </c>
      <c r="F469" s="123" t="s">
        <v>754</v>
      </c>
      <c r="G469" s="123" t="b">
        <v>0</v>
      </c>
      <c r="H469" s="123" t="b">
        <v>0</v>
      </c>
      <c r="I469" s="123" t="b">
        <v>0</v>
      </c>
      <c r="J469" s="123" t="b">
        <v>0</v>
      </c>
      <c r="K469" s="123" t="b">
        <v>0</v>
      </c>
      <c r="L469" s="123" t="b">
        <v>0</v>
      </c>
    </row>
    <row r="470" spans="1:12" ht="15">
      <c r="A470" s="123" t="s">
        <v>779</v>
      </c>
      <c r="B470" s="123" t="s">
        <v>779</v>
      </c>
      <c r="C470" s="123">
        <v>4</v>
      </c>
      <c r="D470" s="125">
        <v>0.010457574905606752</v>
      </c>
      <c r="E470" s="125">
        <v>0.39509216579921136</v>
      </c>
      <c r="F470" s="123" t="s">
        <v>754</v>
      </c>
      <c r="G470" s="123" t="b">
        <v>0</v>
      </c>
      <c r="H470" s="123" t="b">
        <v>0</v>
      </c>
      <c r="I470" s="123" t="b">
        <v>0</v>
      </c>
      <c r="J470" s="123" t="b">
        <v>0</v>
      </c>
      <c r="K470" s="123" t="b">
        <v>0</v>
      </c>
      <c r="L470" s="123" t="b">
        <v>0</v>
      </c>
    </row>
    <row r="471" spans="1:12" ht="15">
      <c r="A471" s="123" t="s">
        <v>947</v>
      </c>
      <c r="B471" s="123" t="s">
        <v>780</v>
      </c>
      <c r="C471" s="123">
        <v>3</v>
      </c>
      <c r="D471" s="125">
        <v>0.007843181179205063</v>
      </c>
      <c r="E471" s="125">
        <v>1.132625565274591</v>
      </c>
      <c r="F471" s="123" t="s">
        <v>754</v>
      </c>
      <c r="G471" s="123" t="b">
        <v>0</v>
      </c>
      <c r="H471" s="123" t="b">
        <v>0</v>
      </c>
      <c r="I471" s="123" t="b">
        <v>0</v>
      </c>
      <c r="J471" s="123" t="b">
        <v>0</v>
      </c>
      <c r="K471" s="123" t="b">
        <v>0</v>
      </c>
      <c r="L471" s="123" t="b">
        <v>0</v>
      </c>
    </row>
    <row r="472" spans="1:12" ht="15">
      <c r="A472" s="123" t="s">
        <v>874</v>
      </c>
      <c r="B472" s="123" t="s">
        <v>875</v>
      </c>
      <c r="C472" s="123">
        <v>3</v>
      </c>
      <c r="D472" s="125">
        <v>0.007843181179205063</v>
      </c>
      <c r="E472" s="125">
        <v>1.6766936096248666</v>
      </c>
      <c r="F472" s="123" t="s">
        <v>754</v>
      </c>
      <c r="G472" s="123" t="b">
        <v>0</v>
      </c>
      <c r="H472" s="123" t="b">
        <v>0</v>
      </c>
      <c r="I472" s="123" t="b">
        <v>0</v>
      </c>
      <c r="J472" s="123" t="b">
        <v>0</v>
      </c>
      <c r="K472" s="123" t="b">
        <v>0</v>
      </c>
      <c r="L472" s="123" t="b">
        <v>0</v>
      </c>
    </row>
    <row r="473" spans="1:12" ht="15">
      <c r="A473" s="123" t="s">
        <v>875</v>
      </c>
      <c r="B473" s="123" t="s">
        <v>790</v>
      </c>
      <c r="C473" s="123">
        <v>3</v>
      </c>
      <c r="D473" s="125">
        <v>0.007843181179205063</v>
      </c>
      <c r="E473" s="125">
        <v>1.3087168243302723</v>
      </c>
      <c r="F473" s="123" t="s">
        <v>754</v>
      </c>
      <c r="G473" s="123" t="b">
        <v>0</v>
      </c>
      <c r="H473" s="123" t="b">
        <v>0</v>
      </c>
      <c r="I473" s="123" t="b">
        <v>0</v>
      </c>
      <c r="J473" s="123" t="b">
        <v>0</v>
      </c>
      <c r="K473" s="123" t="b">
        <v>0</v>
      </c>
      <c r="L473" s="123" t="b">
        <v>0</v>
      </c>
    </row>
    <row r="474" spans="1:12" ht="15">
      <c r="A474" s="123" t="s">
        <v>790</v>
      </c>
      <c r="B474" s="123" t="s">
        <v>899</v>
      </c>
      <c r="C474" s="123">
        <v>3</v>
      </c>
      <c r="D474" s="125">
        <v>0.007843181179205063</v>
      </c>
      <c r="E474" s="125">
        <v>1.4336555609385722</v>
      </c>
      <c r="F474" s="123" t="s">
        <v>754</v>
      </c>
      <c r="G474" s="123" t="b">
        <v>0</v>
      </c>
      <c r="H474" s="123" t="b">
        <v>0</v>
      </c>
      <c r="I474" s="123" t="b">
        <v>0</v>
      </c>
      <c r="J474" s="123" t="b">
        <v>0</v>
      </c>
      <c r="K474" s="123" t="b">
        <v>0</v>
      </c>
      <c r="L474" s="123" t="b">
        <v>0</v>
      </c>
    </row>
    <row r="475" spans="1:12" ht="15">
      <c r="A475" s="123" t="s">
        <v>899</v>
      </c>
      <c r="B475" s="123" t="s">
        <v>790</v>
      </c>
      <c r="C475" s="123">
        <v>3</v>
      </c>
      <c r="D475" s="125">
        <v>0.007843181179205063</v>
      </c>
      <c r="E475" s="125">
        <v>1.4336555609385722</v>
      </c>
      <c r="F475" s="123" t="s">
        <v>754</v>
      </c>
      <c r="G475" s="123" t="b">
        <v>0</v>
      </c>
      <c r="H475" s="123" t="b">
        <v>0</v>
      </c>
      <c r="I475" s="123" t="b">
        <v>0</v>
      </c>
      <c r="J475" s="123" t="b">
        <v>0</v>
      </c>
      <c r="K475" s="123" t="b">
        <v>0</v>
      </c>
      <c r="L475" s="123" t="b">
        <v>0</v>
      </c>
    </row>
    <row r="476" spans="1:12" ht="15">
      <c r="A476" s="123" t="s">
        <v>876</v>
      </c>
      <c r="B476" s="123" t="s">
        <v>804</v>
      </c>
      <c r="C476" s="123">
        <v>3</v>
      </c>
      <c r="D476" s="125">
        <v>0.007843181179205063</v>
      </c>
      <c r="E476" s="125">
        <v>1.5006023505691852</v>
      </c>
      <c r="F476" s="123" t="s">
        <v>754</v>
      </c>
      <c r="G476" s="123" t="b">
        <v>0</v>
      </c>
      <c r="H476" s="123" t="b">
        <v>0</v>
      </c>
      <c r="I476" s="123" t="b">
        <v>0</v>
      </c>
      <c r="J476" s="123" t="b">
        <v>0</v>
      </c>
      <c r="K476" s="123" t="b">
        <v>0</v>
      </c>
      <c r="L476" s="123" t="b">
        <v>0</v>
      </c>
    </row>
    <row r="477" spans="1:12" ht="15">
      <c r="A477" s="123" t="s">
        <v>779</v>
      </c>
      <c r="B477" s="123" t="s">
        <v>786</v>
      </c>
      <c r="C477" s="123">
        <v>3</v>
      </c>
      <c r="D477" s="125">
        <v>0.007843181179205063</v>
      </c>
      <c r="E477" s="125">
        <v>0.8264559299581987</v>
      </c>
      <c r="F477" s="123" t="s">
        <v>754</v>
      </c>
      <c r="G477" s="123" t="b">
        <v>0</v>
      </c>
      <c r="H477" s="123" t="b">
        <v>0</v>
      </c>
      <c r="I477" s="123" t="b">
        <v>0</v>
      </c>
      <c r="J477" s="123" t="b">
        <v>0</v>
      </c>
      <c r="K477" s="123" t="b">
        <v>0</v>
      </c>
      <c r="L477" s="123" t="b">
        <v>0</v>
      </c>
    </row>
    <row r="478" spans="1:12" ht="15">
      <c r="A478" s="123" t="s">
        <v>820</v>
      </c>
      <c r="B478" s="123" t="s">
        <v>801</v>
      </c>
      <c r="C478" s="123">
        <v>3</v>
      </c>
      <c r="D478" s="125">
        <v>0.007843181179205063</v>
      </c>
      <c r="E478" s="125">
        <v>1.6766936096248666</v>
      </c>
      <c r="F478" s="123" t="s">
        <v>754</v>
      </c>
      <c r="G478" s="123" t="b">
        <v>0</v>
      </c>
      <c r="H478" s="123" t="b">
        <v>0</v>
      </c>
      <c r="I478" s="123" t="b">
        <v>0</v>
      </c>
      <c r="J478" s="123" t="b">
        <v>0</v>
      </c>
      <c r="K478" s="123" t="b">
        <v>0</v>
      </c>
      <c r="L478" s="123" t="b">
        <v>0</v>
      </c>
    </row>
    <row r="479" spans="1:12" ht="15">
      <c r="A479" s="123" t="s">
        <v>804</v>
      </c>
      <c r="B479" s="123" t="s">
        <v>878</v>
      </c>
      <c r="C479" s="123">
        <v>3</v>
      </c>
      <c r="D479" s="125">
        <v>0.010484550065040283</v>
      </c>
      <c r="E479" s="125">
        <v>1.3087168243302723</v>
      </c>
      <c r="F479" s="123" t="s">
        <v>754</v>
      </c>
      <c r="G479" s="123" t="b">
        <v>0</v>
      </c>
      <c r="H479" s="123" t="b">
        <v>0</v>
      </c>
      <c r="I479" s="123" t="b">
        <v>0</v>
      </c>
      <c r="J479" s="123" t="b">
        <v>0</v>
      </c>
      <c r="K479" s="123" t="b">
        <v>0</v>
      </c>
      <c r="L479" s="123" t="b">
        <v>0</v>
      </c>
    </row>
    <row r="480" spans="1:12" ht="15">
      <c r="A480" s="123" t="s">
        <v>898</v>
      </c>
      <c r="B480" s="123" t="s">
        <v>840</v>
      </c>
      <c r="C480" s="123">
        <v>2</v>
      </c>
      <c r="D480" s="125">
        <v>0.0069897000433601884</v>
      </c>
      <c r="E480" s="125">
        <v>1.6766936096248666</v>
      </c>
      <c r="F480" s="123" t="s">
        <v>754</v>
      </c>
      <c r="G480" s="123" t="b">
        <v>0</v>
      </c>
      <c r="H480" s="123" t="b">
        <v>0</v>
      </c>
      <c r="I480" s="123" t="b">
        <v>0</v>
      </c>
      <c r="J480" s="123" t="b">
        <v>0</v>
      </c>
      <c r="K480" s="123" t="b">
        <v>0</v>
      </c>
      <c r="L480" s="123" t="b">
        <v>0</v>
      </c>
    </row>
    <row r="481" spans="1:12" ht="15">
      <c r="A481" s="123" t="s">
        <v>840</v>
      </c>
      <c r="B481" s="123" t="s">
        <v>840</v>
      </c>
      <c r="C481" s="123">
        <v>2</v>
      </c>
      <c r="D481" s="125">
        <v>0.0069897000433601884</v>
      </c>
      <c r="E481" s="125">
        <v>1.3756636139608853</v>
      </c>
      <c r="F481" s="123" t="s">
        <v>754</v>
      </c>
      <c r="G481" s="123" t="b">
        <v>0</v>
      </c>
      <c r="H481" s="123" t="b">
        <v>0</v>
      </c>
      <c r="I481" s="123" t="b">
        <v>0</v>
      </c>
      <c r="J481" s="123" t="b">
        <v>0</v>
      </c>
      <c r="K481" s="123" t="b">
        <v>0</v>
      </c>
      <c r="L481" s="123" t="b">
        <v>0</v>
      </c>
    </row>
    <row r="482" spans="1:12" ht="15">
      <c r="A482" s="123" t="s">
        <v>790</v>
      </c>
      <c r="B482" s="123" t="s">
        <v>876</v>
      </c>
      <c r="C482" s="123">
        <v>2</v>
      </c>
      <c r="D482" s="125">
        <v>0.0069897000433601884</v>
      </c>
      <c r="E482" s="125">
        <v>1.2575643018828908</v>
      </c>
      <c r="F482" s="123" t="s">
        <v>754</v>
      </c>
      <c r="G482" s="123" t="b">
        <v>0</v>
      </c>
      <c r="H482" s="123" t="b">
        <v>0</v>
      </c>
      <c r="I482" s="123" t="b">
        <v>0</v>
      </c>
      <c r="J482" s="123" t="b">
        <v>0</v>
      </c>
      <c r="K482" s="123" t="b">
        <v>0</v>
      </c>
      <c r="L482" s="123" t="b">
        <v>0</v>
      </c>
    </row>
    <row r="483" spans="1:12" ht="15">
      <c r="A483" s="123" t="s">
        <v>799</v>
      </c>
      <c r="B483" s="123" t="s">
        <v>784</v>
      </c>
      <c r="C483" s="123">
        <v>2</v>
      </c>
      <c r="D483" s="125">
        <v>0.0069897000433601884</v>
      </c>
      <c r="E483" s="125">
        <v>1.8016323462331665</v>
      </c>
      <c r="F483" s="123" t="s">
        <v>754</v>
      </c>
      <c r="G483" s="123" t="b">
        <v>0</v>
      </c>
      <c r="H483" s="123" t="b">
        <v>0</v>
      </c>
      <c r="I483" s="123" t="b">
        <v>0</v>
      </c>
      <c r="J483" s="123" t="b">
        <v>0</v>
      </c>
      <c r="K483" s="123" t="b">
        <v>0</v>
      </c>
      <c r="L483" s="123" t="b">
        <v>0</v>
      </c>
    </row>
    <row r="484" spans="1:12" ht="15">
      <c r="A484" s="123" t="s">
        <v>1052</v>
      </c>
      <c r="B484" s="123" t="s">
        <v>1053</v>
      </c>
      <c r="C484" s="123">
        <v>2</v>
      </c>
      <c r="D484" s="125">
        <v>0.01</v>
      </c>
      <c r="E484" s="125">
        <v>1.9777236052888478</v>
      </c>
      <c r="F484" s="123" t="s">
        <v>754</v>
      </c>
      <c r="G484" s="123" t="b">
        <v>0</v>
      </c>
      <c r="H484" s="123" t="b">
        <v>0</v>
      </c>
      <c r="I484" s="123" t="b">
        <v>0</v>
      </c>
      <c r="J484" s="123" t="b">
        <v>0</v>
      </c>
      <c r="K484" s="123" t="b">
        <v>0</v>
      </c>
      <c r="L484" s="123" t="b">
        <v>0</v>
      </c>
    </row>
    <row r="485" spans="1:12" ht="15">
      <c r="A485" s="123" t="s">
        <v>959</v>
      </c>
      <c r="B485" s="123" t="s">
        <v>781</v>
      </c>
      <c r="C485" s="123">
        <v>2</v>
      </c>
      <c r="D485" s="125">
        <v>0.01</v>
      </c>
      <c r="E485" s="125">
        <v>1.0612696567389226</v>
      </c>
      <c r="F485" s="123" t="s">
        <v>754</v>
      </c>
      <c r="G485" s="123" t="b">
        <v>0</v>
      </c>
      <c r="H485" s="123" t="b">
        <v>0</v>
      </c>
      <c r="I485" s="123" t="b">
        <v>0</v>
      </c>
      <c r="J485" s="123" t="b">
        <v>0</v>
      </c>
      <c r="K485" s="123" t="b">
        <v>0</v>
      </c>
      <c r="L485" s="123" t="b">
        <v>0</v>
      </c>
    </row>
    <row r="486" spans="1:12" ht="15">
      <c r="A486" s="123" t="s">
        <v>786</v>
      </c>
      <c r="B486" s="123" t="s">
        <v>781</v>
      </c>
      <c r="C486" s="123">
        <v>2</v>
      </c>
      <c r="D486" s="125">
        <v>0.0069897000433601884</v>
      </c>
      <c r="E486" s="125">
        <v>0.8394209071225663</v>
      </c>
      <c r="F486" s="123" t="s">
        <v>754</v>
      </c>
      <c r="G486" s="123" t="b">
        <v>0</v>
      </c>
      <c r="H486" s="123" t="b">
        <v>0</v>
      </c>
      <c r="I486" s="123" t="b">
        <v>0</v>
      </c>
      <c r="J486" s="123" t="b">
        <v>0</v>
      </c>
      <c r="K486" s="123" t="b">
        <v>0</v>
      </c>
      <c r="L486" s="123" t="b">
        <v>0</v>
      </c>
    </row>
    <row r="487" spans="1:12" ht="15">
      <c r="A487" s="123" t="s">
        <v>948</v>
      </c>
      <c r="B487" s="123" t="s">
        <v>949</v>
      </c>
      <c r="C487" s="123">
        <v>2</v>
      </c>
      <c r="D487" s="125">
        <v>0.01</v>
      </c>
      <c r="E487" s="125">
        <v>1.9777236052888478</v>
      </c>
      <c r="F487" s="123" t="s">
        <v>754</v>
      </c>
      <c r="G487" s="123" t="b">
        <v>0</v>
      </c>
      <c r="H487" s="123" t="b">
        <v>0</v>
      </c>
      <c r="I487" s="123" t="b">
        <v>0</v>
      </c>
      <c r="J487" s="123" t="b">
        <v>0</v>
      </c>
      <c r="K487" s="123" t="b">
        <v>0</v>
      </c>
      <c r="L487" s="123" t="b">
        <v>0</v>
      </c>
    </row>
    <row r="488" spans="1:12" ht="15">
      <c r="A488" s="123" t="s">
        <v>1045</v>
      </c>
      <c r="B488" s="123" t="s">
        <v>1046</v>
      </c>
      <c r="C488" s="123">
        <v>2</v>
      </c>
      <c r="D488" s="125">
        <v>0.01</v>
      </c>
      <c r="E488" s="125">
        <v>1.9777236052888478</v>
      </c>
      <c r="F488" s="123" t="s">
        <v>754</v>
      </c>
      <c r="G488" s="123" t="b">
        <v>0</v>
      </c>
      <c r="H488" s="123" t="b">
        <v>0</v>
      </c>
      <c r="I488" s="123" t="b">
        <v>0</v>
      </c>
      <c r="J488" s="123" t="b">
        <v>0</v>
      </c>
      <c r="K488" s="123" t="b">
        <v>0</v>
      </c>
      <c r="L488" s="123" t="b">
        <v>0</v>
      </c>
    </row>
    <row r="489" spans="1:12" ht="15">
      <c r="A489" s="123" t="s">
        <v>779</v>
      </c>
      <c r="B489" s="123" t="s">
        <v>795</v>
      </c>
      <c r="C489" s="123">
        <v>2</v>
      </c>
      <c r="D489" s="125">
        <v>0.01</v>
      </c>
      <c r="E489" s="125">
        <v>1.048304679574555</v>
      </c>
      <c r="F489" s="123" t="s">
        <v>754</v>
      </c>
      <c r="G489" s="123" t="b">
        <v>0</v>
      </c>
      <c r="H489" s="123" t="b">
        <v>0</v>
      </c>
      <c r="I489" s="123" t="b">
        <v>0</v>
      </c>
      <c r="J489" s="123" t="b">
        <v>0</v>
      </c>
      <c r="K489" s="123" t="b">
        <v>0</v>
      </c>
      <c r="L489" s="123" t="b">
        <v>0</v>
      </c>
    </row>
    <row r="490" spans="1:12" ht="15">
      <c r="A490" s="123" t="s">
        <v>781</v>
      </c>
      <c r="B490" s="123" t="s">
        <v>779</v>
      </c>
      <c r="C490" s="123">
        <v>4</v>
      </c>
      <c r="D490" s="125">
        <v>0.005748448852044126</v>
      </c>
      <c r="E490" s="125">
        <v>1.9071425310031405</v>
      </c>
      <c r="F490" s="123" t="s">
        <v>755</v>
      </c>
      <c r="G490" s="123" t="b">
        <v>0</v>
      </c>
      <c r="H490" s="123" t="b">
        <v>0</v>
      </c>
      <c r="I490" s="123" t="b">
        <v>0</v>
      </c>
      <c r="J490" s="123" t="b">
        <v>0</v>
      </c>
      <c r="K490" s="123" t="b">
        <v>0</v>
      </c>
      <c r="L490" s="123" t="b">
        <v>0</v>
      </c>
    </row>
    <row r="491" spans="1:12" ht="15">
      <c r="A491" s="123" t="s">
        <v>902</v>
      </c>
      <c r="B491" s="123" t="s">
        <v>903</v>
      </c>
      <c r="C491" s="123">
        <v>4</v>
      </c>
      <c r="D491" s="125">
        <v>0.007870030286449925</v>
      </c>
      <c r="E491" s="125">
        <v>1.9071425310031405</v>
      </c>
      <c r="F491" s="123" t="s">
        <v>755</v>
      </c>
      <c r="G491" s="123" t="b">
        <v>0</v>
      </c>
      <c r="H491" s="123" t="b">
        <v>0</v>
      </c>
      <c r="I491" s="123" t="b">
        <v>0</v>
      </c>
      <c r="J491" s="123" t="b">
        <v>0</v>
      </c>
      <c r="K491" s="123" t="b">
        <v>0</v>
      </c>
      <c r="L491" s="123" t="b">
        <v>0</v>
      </c>
    </row>
    <row r="492" spans="1:12" ht="15">
      <c r="A492" s="123" t="s">
        <v>845</v>
      </c>
      <c r="B492" s="123" t="s">
        <v>846</v>
      </c>
      <c r="C492" s="123">
        <v>3</v>
      </c>
      <c r="D492" s="125">
        <v>0.005902522714837443</v>
      </c>
      <c r="E492" s="125">
        <v>2.0320812676114404</v>
      </c>
      <c r="F492" s="123" t="s">
        <v>755</v>
      </c>
      <c r="G492" s="123" t="b">
        <v>0</v>
      </c>
      <c r="H492" s="123" t="b">
        <v>0</v>
      </c>
      <c r="I492" s="123" t="b">
        <v>0</v>
      </c>
      <c r="J492" s="123" t="b">
        <v>0</v>
      </c>
      <c r="K492" s="123" t="b">
        <v>0</v>
      </c>
      <c r="L492" s="123" t="b">
        <v>0</v>
      </c>
    </row>
    <row r="493" spans="1:12" ht="15">
      <c r="A493" s="123" t="s">
        <v>799</v>
      </c>
      <c r="B493" s="123" t="s">
        <v>784</v>
      </c>
      <c r="C493" s="123">
        <v>2</v>
      </c>
      <c r="D493" s="125">
        <v>0.003935015143224962</v>
      </c>
      <c r="E493" s="125">
        <v>2.2081725266671217</v>
      </c>
      <c r="F493" s="123" t="s">
        <v>755</v>
      </c>
      <c r="G493" s="123" t="b">
        <v>0</v>
      </c>
      <c r="H493" s="123" t="b">
        <v>0</v>
      </c>
      <c r="I493" s="123" t="b">
        <v>0</v>
      </c>
      <c r="J493" s="123" t="b">
        <v>0</v>
      </c>
      <c r="K493" s="123" t="b">
        <v>0</v>
      </c>
      <c r="L493" s="123" t="b">
        <v>0</v>
      </c>
    </row>
    <row r="494" spans="1:12" ht="15">
      <c r="A494" s="123" t="s">
        <v>779</v>
      </c>
      <c r="B494" s="123" t="s">
        <v>786</v>
      </c>
      <c r="C494" s="123">
        <v>2</v>
      </c>
      <c r="D494" s="125">
        <v>0.003935015143224962</v>
      </c>
      <c r="E494" s="125">
        <v>1.7310512719474593</v>
      </c>
      <c r="F494" s="123" t="s">
        <v>755</v>
      </c>
      <c r="G494" s="123" t="b">
        <v>0</v>
      </c>
      <c r="H494" s="123" t="b">
        <v>0</v>
      </c>
      <c r="I494" s="123" t="b">
        <v>0</v>
      </c>
      <c r="J494" s="123" t="b">
        <v>0</v>
      </c>
      <c r="K494" s="123" t="b">
        <v>0</v>
      </c>
      <c r="L494" s="123" t="b">
        <v>0</v>
      </c>
    </row>
    <row r="495" spans="1:12" ht="15">
      <c r="A495" s="123" t="s">
        <v>786</v>
      </c>
      <c r="B495" s="123" t="s">
        <v>902</v>
      </c>
      <c r="C495" s="123">
        <v>2</v>
      </c>
      <c r="D495" s="125">
        <v>0.003935015143224962</v>
      </c>
      <c r="E495" s="125">
        <v>1.7310512719474593</v>
      </c>
      <c r="F495" s="123" t="s">
        <v>755</v>
      </c>
      <c r="G495" s="123" t="b">
        <v>0</v>
      </c>
      <c r="H495" s="123" t="b">
        <v>0</v>
      </c>
      <c r="I495" s="123" t="b">
        <v>0</v>
      </c>
      <c r="J495" s="123" t="b">
        <v>0</v>
      </c>
      <c r="K495" s="123" t="b">
        <v>0</v>
      </c>
      <c r="L495" s="123" t="b">
        <v>0</v>
      </c>
    </row>
    <row r="496" spans="1:12" ht="15">
      <c r="A496" s="123" t="s">
        <v>903</v>
      </c>
      <c r="B496" s="123" t="s">
        <v>805</v>
      </c>
      <c r="C496" s="123">
        <v>2</v>
      </c>
      <c r="D496" s="125">
        <v>0.003935015143224962</v>
      </c>
      <c r="E496" s="125">
        <v>1.9071425310031405</v>
      </c>
      <c r="F496" s="123" t="s">
        <v>755</v>
      </c>
      <c r="G496" s="123" t="b">
        <v>0</v>
      </c>
      <c r="H496" s="123" t="b">
        <v>0</v>
      </c>
      <c r="I496" s="123" t="b">
        <v>0</v>
      </c>
      <c r="J496" s="123" t="b">
        <v>0</v>
      </c>
      <c r="K496" s="123" t="b">
        <v>0</v>
      </c>
      <c r="L496" s="123" t="b">
        <v>0</v>
      </c>
    </row>
    <row r="497" spans="1:12" ht="15">
      <c r="A497" s="123" t="s">
        <v>805</v>
      </c>
      <c r="B497" s="123" t="s">
        <v>787</v>
      </c>
      <c r="C497" s="123">
        <v>2</v>
      </c>
      <c r="D497" s="125">
        <v>0.003935015143224962</v>
      </c>
      <c r="E497" s="125">
        <v>2.0320812676114404</v>
      </c>
      <c r="F497" s="123" t="s">
        <v>755</v>
      </c>
      <c r="G497" s="123" t="b">
        <v>0</v>
      </c>
      <c r="H497" s="123" t="b">
        <v>0</v>
      </c>
      <c r="I497" s="123" t="b">
        <v>0</v>
      </c>
      <c r="J497" s="123" t="b">
        <v>0</v>
      </c>
      <c r="K497" s="123" t="b">
        <v>0</v>
      </c>
      <c r="L497" s="123" t="b">
        <v>0</v>
      </c>
    </row>
    <row r="498" spans="1:12" ht="15">
      <c r="A498" s="123" t="s">
        <v>787</v>
      </c>
      <c r="B498" s="123" t="s">
        <v>796</v>
      </c>
      <c r="C498" s="123">
        <v>2</v>
      </c>
      <c r="D498" s="125">
        <v>0.003935015143224962</v>
      </c>
      <c r="E498" s="125">
        <v>2.0320812676114404</v>
      </c>
      <c r="F498" s="123" t="s">
        <v>755</v>
      </c>
      <c r="G498" s="123" t="b">
        <v>0</v>
      </c>
      <c r="H498" s="123" t="b">
        <v>0</v>
      </c>
      <c r="I498" s="123" t="b">
        <v>0</v>
      </c>
      <c r="J498" s="123" t="b">
        <v>0</v>
      </c>
      <c r="K498" s="123" t="b">
        <v>0</v>
      </c>
      <c r="L498" s="123" t="b">
        <v>0</v>
      </c>
    </row>
    <row r="499" spans="1:12" ht="15">
      <c r="A499" s="123" t="s">
        <v>796</v>
      </c>
      <c r="B499" s="123" t="s">
        <v>902</v>
      </c>
      <c r="C499" s="123">
        <v>2</v>
      </c>
      <c r="D499" s="125">
        <v>0.003935015143224962</v>
      </c>
      <c r="E499" s="125">
        <v>1.9071425310031405</v>
      </c>
      <c r="F499" s="123" t="s">
        <v>755</v>
      </c>
      <c r="G499" s="123" t="b">
        <v>0</v>
      </c>
      <c r="H499" s="123" t="b">
        <v>0</v>
      </c>
      <c r="I499" s="123" t="b">
        <v>0</v>
      </c>
      <c r="J499" s="123" t="b">
        <v>0</v>
      </c>
      <c r="K499" s="123" t="b">
        <v>0</v>
      </c>
      <c r="L499" s="123" t="b">
        <v>0</v>
      </c>
    </row>
    <row r="500" spans="1:12" ht="15">
      <c r="A500" s="123" t="s">
        <v>903</v>
      </c>
      <c r="B500" s="123" t="s">
        <v>1066</v>
      </c>
      <c r="C500" s="123">
        <v>2</v>
      </c>
      <c r="D500" s="125">
        <v>0.003935015143224962</v>
      </c>
      <c r="E500" s="125">
        <v>1.9071425310031405</v>
      </c>
      <c r="F500" s="123" t="s">
        <v>755</v>
      </c>
      <c r="G500" s="123" t="b">
        <v>0</v>
      </c>
      <c r="H500" s="123" t="b">
        <v>0</v>
      </c>
      <c r="I500" s="123" t="b">
        <v>0</v>
      </c>
      <c r="J500" s="123" t="b">
        <v>0</v>
      </c>
      <c r="K500" s="123" t="b">
        <v>0</v>
      </c>
      <c r="L500" s="123" t="b">
        <v>0</v>
      </c>
    </row>
    <row r="501" spans="1:12" ht="15">
      <c r="A501" s="123" t="s">
        <v>1066</v>
      </c>
      <c r="B501" s="123" t="s">
        <v>943</v>
      </c>
      <c r="C501" s="123">
        <v>2</v>
      </c>
      <c r="D501" s="125">
        <v>0.003935015143224962</v>
      </c>
      <c r="E501" s="125">
        <v>2.2081725266671217</v>
      </c>
      <c r="F501" s="123" t="s">
        <v>755</v>
      </c>
      <c r="G501" s="123" t="b">
        <v>0</v>
      </c>
      <c r="H501" s="123" t="b">
        <v>0</v>
      </c>
      <c r="I501" s="123" t="b">
        <v>0</v>
      </c>
      <c r="J501" s="123" t="b">
        <v>0</v>
      </c>
      <c r="K501" s="123" t="b">
        <v>0</v>
      </c>
      <c r="L501" s="123" t="b">
        <v>0</v>
      </c>
    </row>
    <row r="502" spans="1:12" ht="15">
      <c r="A502" s="123" t="s">
        <v>943</v>
      </c>
      <c r="B502" s="123" t="s">
        <v>1067</v>
      </c>
      <c r="C502" s="123">
        <v>2</v>
      </c>
      <c r="D502" s="125">
        <v>0.003935015143224962</v>
      </c>
      <c r="E502" s="125">
        <v>2.2081725266671217</v>
      </c>
      <c r="F502" s="123" t="s">
        <v>755</v>
      </c>
      <c r="G502" s="123" t="b">
        <v>0</v>
      </c>
      <c r="H502" s="123" t="b">
        <v>0</v>
      </c>
      <c r="I502" s="123" t="b">
        <v>0</v>
      </c>
      <c r="J502" s="123" t="b">
        <v>0</v>
      </c>
      <c r="K502" s="123" t="b">
        <v>0</v>
      </c>
      <c r="L502" s="123" t="b">
        <v>0</v>
      </c>
    </row>
    <row r="503" spans="1:12" ht="15">
      <c r="A503" s="123" t="s">
        <v>1067</v>
      </c>
      <c r="B503" s="123" t="s">
        <v>1068</v>
      </c>
      <c r="C503" s="123">
        <v>2</v>
      </c>
      <c r="D503" s="125">
        <v>0.003935015143224962</v>
      </c>
      <c r="E503" s="125">
        <v>2.2081725266671217</v>
      </c>
      <c r="F503" s="123" t="s">
        <v>755</v>
      </c>
      <c r="G503" s="123" t="b">
        <v>0</v>
      </c>
      <c r="H503" s="123" t="b">
        <v>0</v>
      </c>
      <c r="I503" s="123" t="b">
        <v>0</v>
      </c>
      <c r="J503" s="123" t="b">
        <v>0</v>
      </c>
      <c r="K503" s="123" t="b">
        <v>0</v>
      </c>
      <c r="L503" s="123" t="b">
        <v>0</v>
      </c>
    </row>
    <row r="504" spans="1:12" ht="15">
      <c r="A504" s="123" t="s">
        <v>1068</v>
      </c>
      <c r="B504" s="123" t="s">
        <v>1069</v>
      </c>
      <c r="C504" s="123">
        <v>2</v>
      </c>
      <c r="D504" s="125">
        <v>0.003935015143224962</v>
      </c>
      <c r="E504" s="125">
        <v>2.2081725266671217</v>
      </c>
      <c r="F504" s="123" t="s">
        <v>755</v>
      </c>
      <c r="G504" s="123" t="b">
        <v>0</v>
      </c>
      <c r="H504" s="123" t="b">
        <v>0</v>
      </c>
      <c r="I504" s="123" t="b">
        <v>0</v>
      </c>
      <c r="J504" s="123" t="b">
        <v>0</v>
      </c>
      <c r="K504" s="123" t="b">
        <v>0</v>
      </c>
      <c r="L504" s="123" t="b">
        <v>0</v>
      </c>
    </row>
    <row r="505" spans="1:12" ht="15">
      <c r="A505" s="123" t="s">
        <v>1069</v>
      </c>
      <c r="B505" s="123" t="s">
        <v>1070</v>
      </c>
      <c r="C505" s="123">
        <v>2</v>
      </c>
      <c r="D505" s="125">
        <v>0.003935015143224962</v>
      </c>
      <c r="E505" s="125">
        <v>2.2081725266671217</v>
      </c>
      <c r="F505" s="123" t="s">
        <v>755</v>
      </c>
      <c r="G505" s="123" t="b">
        <v>0</v>
      </c>
      <c r="H505" s="123" t="b">
        <v>0</v>
      </c>
      <c r="I505" s="123" t="b">
        <v>0</v>
      </c>
      <c r="J505" s="123" t="b">
        <v>0</v>
      </c>
      <c r="K505" s="123" t="b">
        <v>0</v>
      </c>
      <c r="L505" s="123" t="b">
        <v>0</v>
      </c>
    </row>
    <row r="506" spans="1:12" ht="15">
      <c r="A506" s="123" t="s">
        <v>1070</v>
      </c>
      <c r="B506" s="123" t="s">
        <v>1071</v>
      </c>
      <c r="C506" s="123">
        <v>2</v>
      </c>
      <c r="D506" s="125">
        <v>0.003935015143224962</v>
      </c>
      <c r="E506" s="125">
        <v>2.2081725266671217</v>
      </c>
      <c r="F506" s="123" t="s">
        <v>755</v>
      </c>
      <c r="G506" s="123" t="b">
        <v>0</v>
      </c>
      <c r="H506" s="123" t="b">
        <v>0</v>
      </c>
      <c r="I506" s="123" t="b">
        <v>0</v>
      </c>
      <c r="J506" s="123" t="b">
        <v>0</v>
      </c>
      <c r="K506" s="123" t="b">
        <v>0</v>
      </c>
      <c r="L506" s="123" t="b">
        <v>0</v>
      </c>
    </row>
    <row r="507" spans="1:12" ht="15">
      <c r="A507" s="123" t="s">
        <v>1071</v>
      </c>
      <c r="B507" s="123" t="s">
        <v>1072</v>
      </c>
      <c r="C507" s="123">
        <v>2</v>
      </c>
      <c r="D507" s="125">
        <v>0.003935015143224962</v>
      </c>
      <c r="E507" s="125">
        <v>2.2081725266671217</v>
      </c>
      <c r="F507" s="123" t="s">
        <v>755</v>
      </c>
      <c r="G507" s="123" t="b">
        <v>0</v>
      </c>
      <c r="H507" s="123" t="b">
        <v>0</v>
      </c>
      <c r="I507" s="123" t="b">
        <v>0</v>
      </c>
      <c r="J507" s="123" t="b">
        <v>0</v>
      </c>
      <c r="K507" s="123" t="b">
        <v>0</v>
      </c>
      <c r="L507" s="123" t="b">
        <v>0</v>
      </c>
    </row>
    <row r="508" spans="1:12" ht="15">
      <c r="A508" s="123" t="s">
        <v>1072</v>
      </c>
      <c r="B508" s="123" t="s">
        <v>1073</v>
      </c>
      <c r="C508" s="123">
        <v>2</v>
      </c>
      <c r="D508" s="125">
        <v>0.003935015143224962</v>
      </c>
      <c r="E508" s="125">
        <v>2.2081725266671217</v>
      </c>
      <c r="F508" s="123" t="s">
        <v>755</v>
      </c>
      <c r="G508" s="123" t="b">
        <v>0</v>
      </c>
      <c r="H508" s="123" t="b">
        <v>0</v>
      </c>
      <c r="I508" s="123" t="b">
        <v>0</v>
      </c>
      <c r="J508" s="123" t="b">
        <v>0</v>
      </c>
      <c r="K508" s="123" t="b">
        <v>0</v>
      </c>
      <c r="L508" s="123" t="b">
        <v>0</v>
      </c>
    </row>
    <row r="509" spans="1:12" ht="15">
      <c r="A509" s="123" t="s">
        <v>1073</v>
      </c>
      <c r="B509" s="123" t="s">
        <v>963</v>
      </c>
      <c r="C509" s="123">
        <v>2</v>
      </c>
      <c r="D509" s="125">
        <v>0.003935015143224962</v>
      </c>
      <c r="E509" s="125">
        <v>2.0320812676114404</v>
      </c>
      <c r="F509" s="123" t="s">
        <v>755</v>
      </c>
      <c r="G509" s="123" t="b">
        <v>0</v>
      </c>
      <c r="H509" s="123" t="b">
        <v>0</v>
      </c>
      <c r="I509" s="123" t="b">
        <v>0</v>
      </c>
      <c r="J509" s="123" t="b">
        <v>0</v>
      </c>
      <c r="K509" s="123" t="b">
        <v>0</v>
      </c>
      <c r="L509" s="123" t="b">
        <v>0</v>
      </c>
    </row>
    <row r="510" spans="1:12" ht="15">
      <c r="A510" s="123" t="s">
        <v>963</v>
      </c>
      <c r="B510" s="123" t="s">
        <v>1074</v>
      </c>
      <c r="C510" s="123">
        <v>2</v>
      </c>
      <c r="D510" s="125">
        <v>0.003935015143224962</v>
      </c>
      <c r="E510" s="125">
        <v>2.0320812676114404</v>
      </c>
      <c r="F510" s="123" t="s">
        <v>755</v>
      </c>
      <c r="G510" s="123" t="b">
        <v>0</v>
      </c>
      <c r="H510" s="123" t="b">
        <v>0</v>
      </c>
      <c r="I510" s="123" t="b">
        <v>0</v>
      </c>
      <c r="J510" s="123" t="b">
        <v>0</v>
      </c>
      <c r="K510" s="123" t="b">
        <v>0</v>
      </c>
      <c r="L510" s="123" t="b">
        <v>0</v>
      </c>
    </row>
    <row r="511" spans="1:12" ht="15">
      <c r="A511" s="123" t="s">
        <v>1074</v>
      </c>
      <c r="B511" s="123" t="s">
        <v>964</v>
      </c>
      <c r="C511" s="123">
        <v>2</v>
      </c>
      <c r="D511" s="125">
        <v>0.003935015143224962</v>
      </c>
      <c r="E511" s="125">
        <v>2.0320812676114404</v>
      </c>
      <c r="F511" s="123" t="s">
        <v>755</v>
      </c>
      <c r="G511" s="123" t="b">
        <v>0</v>
      </c>
      <c r="H511" s="123" t="b">
        <v>0</v>
      </c>
      <c r="I511" s="123" t="b">
        <v>0</v>
      </c>
      <c r="J511" s="123" t="b">
        <v>0</v>
      </c>
      <c r="K511" s="123" t="b">
        <v>0</v>
      </c>
      <c r="L511" s="123" t="b">
        <v>0</v>
      </c>
    </row>
    <row r="512" spans="1:12" ht="15">
      <c r="A512" s="123" t="s">
        <v>964</v>
      </c>
      <c r="B512" s="123" t="s">
        <v>954</v>
      </c>
      <c r="C512" s="123">
        <v>2</v>
      </c>
      <c r="D512" s="125">
        <v>0.003935015143224962</v>
      </c>
      <c r="E512" s="125">
        <v>2.0320812676114404</v>
      </c>
      <c r="F512" s="123" t="s">
        <v>755</v>
      </c>
      <c r="G512" s="123" t="b">
        <v>0</v>
      </c>
      <c r="H512" s="123" t="b">
        <v>0</v>
      </c>
      <c r="I512" s="123" t="b">
        <v>0</v>
      </c>
      <c r="J512" s="123" t="b">
        <v>0</v>
      </c>
      <c r="K512" s="123" t="b">
        <v>0</v>
      </c>
      <c r="L512" s="123" t="b">
        <v>0</v>
      </c>
    </row>
    <row r="513" spans="1:12" ht="15">
      <c r="A513" s="123" t="s">
        <v>954</v>
      </c>
      <c r="B513" s="123" t="s">
        <v>965</v>
      </c>
      <c r="C513" s="123">
        <v>2</v>
      </c>
      <c r="D513" s="125">
        <v>0.003935015143224962</v>
      </c>
      <c r="E513" s="125">
        <v>2.0320812676114404</v>
      </c>
      <c r="F513" s="123" t="s">
        <v>755</v>
      </c>
      <c r="G513" s="123" t="b">
        <v>0</v>
      </c>
      <c r="H513" s="123" t="b">
        <v>0</v>
      </c>
      <c r="I513" s="123" t="b">
        <v>0</v>
      </c>
      <c r="J513" s="123" t="b">
        <v>0</v>
      </c>
      <c r="K513" s="123" t="b">
        <v>0</v>
      </c>
      <c r="L513" s="123" t="b">
        <v>0</v>
      </c>
    </row>
    <row r="514" spans="1:12" ht="15">
      <c r="A514" s="123" t="s">
        <v>965</v>
      </c>
      <c r="B514" s="123" t="s">
        <v>956</v>
      </c>
      <c r="C514" s="123">
        <v>2</v>
      </c>
      <c r="D514" s="125">
        <v>0.003935015143224962</v>
      </c>
      <c r="E514" s="125">
        <v>2.0320812676114404</v>
      </c>
      <c r="F514" s="123" t="s">
        <v>755</v>
      </c>
      <c r="G514" s="123" t="b">
        <v>0</v>
      </c>
      <c r="H514" s="123" t="b">
        <v>0</v>
      </c>
      <c r="I514" s="123" t="b">
        <v>0</v>
      </c>
      <c r="J514" s="123" t="b">
        <v>0</v>
      </c>
      <c r="K514" s="123" t="b">
        <v>0</v>
      </c>
      <c r="L514" s="123" t="b">
        <v>0</v>
      </c>
    </row>
    <row r="515" spans="1:12" ht="15">
      <c r="A515" s="123" t="s">
        <v>956</v>
      </c>
      <c r="B515" s="123" t="s">
        <v>1075</v>
      </c>
      <c r="C515" s="123">
        <v>2</v>
      </c>
      <c r="D515" s="125">
        <v>0.003935015143224962</v>
      </c>
      <c r="E515" s="125">
        <v>2.2081725266671217</v>
      </c>
      <c r="F515" s="123" t="s">
        <v>755</v>
      </c>
      <c r="G515" s="123" t="b">
        <v>0</v>
      </c>
      <c r="H515" s="123" t="b">
        <v>0</v>
      </c>
      <c r="I515" s="123" t="b">
        <v>0</v>
      </c>
      <c r="J515" s="123" t="b">
        <v>0</v>
      </c>
      <c r="K515" s="123" t="b">
        <v>0</v>
      </c>
      <c r="L515" s="123" t="b">
        <v>0</v>
      </c>
    </row>
    <row r="516" spans="1:12" ht="15">
      <c r="A516" s="123" t="s">
        <v>1075</v>
      </c>
      <c r="B516" s="123" t="s">
        <v>904</v>
      </c>
      <c r="C516" s="123">
        <v>2</v>
      </c>
      <c r="D516" s="125">
        <v>0.003935015143224962</v>
      </c>
      <c r="E516" s="125">
        <v>2.0320812676114404</v>
      </c>
      <c r="F516" s="123" t="s">
        <v>755</v>
      </c>
      <c r="G516" s="123" t="b">
        <v>0</v>
      </c>
      <c r="H516" s="123" t="b">
        <v>0</v>
      </c>
      <c r="I516" s="123" t="b">
        <v>0</v>
      </c>
      <c r="J516" s="123" t="b">
        <v>0</v>
      </c>
      <c r="K516" s="123" t="b">
        <v>0</v>
      </c>
      <c r="L516" s="123" t="b">
        <v>0</v>
      </c>
    </row>
    <row r="517" spans="1:12" ht="15">
      <c r="A517" s="123" t="s">
        <v>904</v>
      </c>
      <c r="B517" s="123" t="s">
        <v>880</v>
      </c>
      <c r="C517" s="123">
        <v>2</v>
      </c>
      <c r="D517" s="125">
        <v>0.003935015143224962</v>
      </c>
      <c r="E517" s="125">
        <v>2.0320812676114404</v>
      </c>
      <c r="F517" s="123" t="s">
        <v>755</v>
      </c>
      <c r="G517" s="123" t="b">
        <v>0</v>
      </c>
      <c r="H517" s="123" t="b">
        <v>0</v>
      </c>
      <c r="I517" s="123" t="b">
        <v>0</v>
      </c>
      <c r="J517" s="123" t="b">
        <v>0</v>
      </c>
      <c r="K517" s="123" t="b">
        <v>0</v>
      </c>
      <c r="L517" s="123" t="b">
        <v>0</v>
      </c>
    </row>
    <row r="518" spans="1:12" ht="15">
      <c r="A518" s="123" t="s">
        <v>880</v>
      </c>
      <c r="B518" s="123" t="s">
        <v>958</v>
      </c>
      <c r="C518" s="123">
        <v>2</v>
      </c>
      <c r="D518" s="125">
        <v>0.003935015143224962</v>
      </c>
      <c r="E518" s="125">
        <v>2.2081725266671217</v>
      </c>
      <c r="F518" s="123" t="s">
        <v>755</v>
      </c>
      <c r="G518" s="123" t="b">
        <v>0</v>
      </c>
      <c r="H518" s="123" t="b">
        <v>0</v>
      </c>
      <c r="I518" s="123" t="b">
        <v>0</v>
      </c>
      <c r="J518" s="123" t="b">
        <v>0</v>
      </c>
      <c r="K518" s="123" t="b">
        <v>0</v>
      </c>
      <c r="L518" s="123" t="b">
        <v>0</v>
      </c>
    </row>
    <row r="519" spans="1:12" ht="15">
      <c r="A519" s="123" t="s">
        <v>800</v>
      </c>
      <c r="B519" s="123" t="s">
        <v>1078</v>
      </c>
      <c r="C519" s="123">
        <v>2</v>
      </c>
      <c r="D519" s="125">
        <v>0.003935015143224962</v>
      </c>
      <c r="E519" s="125">
        <v>1.9071425310031405</v>
      </c>
      <c r="F519" s="123" t="s">
        <v>755</v>
      </c>
      <c r="G519" s="123" t="b">
        <v>0</v>
      </c>
      <c r="H519" s="123" t="b">
        <v>0</v>
      </c>
      <c r="I519" s="123" t="b">
        <v>0</v>
      </c>
      <c r="J519" s="123" t="b">
        <v>0</v>
      </c>
      <c r="K519" s="123" t="b">
        <v>0</v>
      </c>
      <c r="L519" s="123" t="b">
        <v>0</v>
      </c>
    </row>
    <row r="520" spans="1:12" ht="15">
      <c r="A520" s="123" t="s">
        <v>1078</v>
      </c>
      <c r="B520" s="123" t="s">
        <v>1079</v>
      </c>
      <c r="C520" s="123">
        <v>2</v>
      </c>
      <c r="D520" s="125">
        <v>0.003935015143224962</v>
      </c>
      <c r="E520" s="125">
        <v>2.2081725266671217</v>
      </c>
      <c r="F520" s="123" t="s">
        <v>755</v>
      </c>
      <c r="G520" s="123" t="b">
        <v>0</v>
      </c>
      <c r="H520" s="123" t="b">
        <v>0</v>
      </c>
      <c r="I520" s="123" t="b">
        <v>0</v>
      </c>
      <c r="J520" s="123" t="b">
        <v>0</v>
      </c>
      <c r="K520" s="123" t="b">
        <v>0</v>
      </c>
      <c r="L520" s="123" t="b">
        <v>0</v>
      </c>
    </row>
    <row r="521" spans="1:12" ht="15">
      <c r="A521" s="123" t="s">
        <v>1080</v>
      </c>
      <c r="B521" s="123" t="s">
        <v>966</v>
      </c>
      <c r="C521" s="123">
        <v>2</v>
      </c>
      <c r="D521" s="125">
        <v>0.003935015143224962</v>
      </c>
      <c r="E521" s="125">
        <v>2.0320812676114404</v>
      </c>
      <c r="F521" s="123" t="s">
        <v>755</v>
      </c>
      <c r="G521" s="123" t="b">
        <v>0</v>
      </c>
      <c r="H521" s="123" t="b">
        <v>0</v>
      </c>
      <c r="I521" s="123" t="b">
        <v>0</v>
      </c>
      <c r="J521" s="123" t="b">
        <v>0</v>
      </c>
      <c r="K521" s="123" t="b">
        <v>0</v>
      </c>
      <c r="L521" s="123" t="b">
        <v>0</v>
      </c>
    </row>
    <row r="522" spans="1:12" ht="15">
      <c r="A522" s="123" t="s">
        <v>1089</v>
      </c>
      <c r="B522" s="123" t="s">
        <v>1090</v>
      </c>
      <c r="C522" s="123">
        <v>2</v>
      </c>
      <c r="D522" s="125">
        <v>0.005748448852044126</v>
      </c>
      <c r="E522" s="125">
        <v>2.2081725266671217</v>
      </c>
      <c r="F522" s="123" t="s">
        <v>755</v>
      </c>
      <c r="G522" s="123" t="b">
        <v>0</v>
      </c>
      <c r="H522" s="123" t="b">
        <v>0</v>
      </c>
      <c r="I522" s="123" t="b">
        <v>0</v>
      </c>
      <c r="J522" s="123" t="b">
        <v>0</v>
      </c>
      <c r="K522" s="123" t="b">
        <v>0</v>
      </c>
      <c r="L522" s="123" t="b">
        <v>0</v>
      </c>
    </row>
    <row r="523" spans="1:12" ht="15">
      <c r="A523" s="123" t="s">
        <v>1090</v>
      </c>
      <c r="B523" s="123" t="s">
        <v>1091</v>
      </c>
      <c r="C523" s="123">
        <v>2</v>
      </c>
      <c r="D523" s="125">
        <v>0.005748448852044126</v>
      </c>
      <c r="E523" s="125">
        <v>2.2081725266671217</v>
      </c>
      <c r="F523" s="123" t="s">
        <v>755</v>
      </c>
      <c r="G523" s="123" t="b">
        <v>0</v>
      </c>
      <c r="H523" s="123" t="b">
        <v>0</v>
      </c>
      <c r="I523" s="123" t="b">
        <v>0</v>
      </c>
      <c r="J523" s="123" t="b">
        <v>0</v>
      </c>
      <c r="K523" s="123" t="b">
        <v>0</v>
      </c>
      <c r="L523" s="123" t="b">
        <v>0</v>
      </c>
    </row>
    <row r="524" spans="1:12" ht="15">
      <c r="A524" s="123" t="s">
        <v>781</v>
      </c>
      <c r="B524" s="123" t="s">
        <v>779</v>
      </c>
      <c r="C524" s="123">
        <v>11</v>
      </c>
      <c r="D524" s="125">
        <v>0.006190658120231078</v>
      </c>
      <c r="E524" s="125">
        <v>1.1543225142935096</v>
      </c>
      <c r="F524" s="123" t="s">
        <v>756</v>
      </c>
      <c r="G524" s="123" t="b">
        <v>0</v>
      </c>
      <c r="H524" s="123" t="b">
        <v>0</v>
      </c>
      <c r="I524" s="123" t="b">
        <v>0</v>
      </c>
      <c r="J524" s="123" t="b">
        <v>0</v>
      </c>
      <c r="K524" s="123" t="b">
        <v>0</v>
      </c>
      <c r="L524" s="123" t="b">
        <v>0</v>
      </c>
    </row>
    <row r="525" spans="1:12" ht="15">
      <c r="A525" s="123" t="s">
        <v>779</v>
      </c>
      <c r="B525" s="123" t="s">
        <v>786</v>
      </c>
      <c r="C525" s="123">
        <v>4</v>
      </c>
      <c r="D525" s="125">
        <v>0.005423963885837499</v>
      </c>
      <c r="E525" s="125">
        <v>0.8021399961821472</v>
      </c>
      <c r="F525" s="123" t="s">
        <v>756</v>
      </c>
      <c r="G525" s="123" t="b">
        <v>0</v>
      </c>
      <c r="H525" s="123" t="b">
        <v>0</v>
      </c>
      <c r="I525" s="123" t="b">
        <v>0</v>
      </c>
      <c r="J525" s="123" t="b">
        <v>0</v>
      </c>
      <c r="K525" s="123" t="b">
        <v>0</v>
      </c>
      <c r="L525" s="123" t="b">
        <v>0</v>
      </c>
    </row>
    <row r="526" spans="1:12" ht="15">
      <c r="A526" s="123" t="s">
        <v>820</v>
      </c>
      <c r="B526" s="123" t="s">
        <v>801</v>
      </c>
      <c r="C526" s="123">
        <v>3</v>
      </c>
      <c r="D526" s="125">
        <v>0.005756334219895691</v>
      </c>
      <c r="E526" s="125">
        <v>1.7283537820212285</v>
      </c>
      <c r="F526" s="123" t="s">
        <v>756</v>
      </c>
      <c r="G526" s="123" t="b">
        <v>0</v>
      </c>
      <c r="H526" s="123" t="b">
        <v>0</v>
      </c>
      <c r="I526" s="123" t="b">
        <v>0</v>
      </c>
      <c r="J526" s="123" t="b">
        <v>0</v>
      </c>
      <c r="K526" s="123" t="b">
        <v>0</v>
      </c>
      <c r="L526" s="123" t="b">
        <v>0</v>
      </c>
    </row>
    <row r="527" spans="1:12" ht="15">
      <c r="A527" s="123" t="s">
        <v>780</v>
      </c>
      <c r="B527" s="123" t="s">
        <v>780</v>
      </c>
      <c r="C527" s="123">
        <v>3</v>
      </c>
      <c r="D527" s="125">
        <v>0.005756334219895691</v>
      </c>
      <c r="E527" s="125">
        <v>0.6869610968630033</v>
      </c>
      <c r="F527" s="123" t="s">
        <v>756</v>
      </c>
      <c r="G527" s="123" t="b">
        <v>0</v>
      </c>
      <c r="H527" s="123" t="b">
        <v>0</v>
      </c>
      <c r="I527" s="123" t="b">
        <v>0</v>
      </c>
      <c r="J527" s="123" t="b">
        <v>0</v>
      </c>
      <c r="K527" s="123" t="b">
        <v>0</v>
      </c>
      <c r="L527" s="123" t="b">
        <v>0</v>
      </c>
    </row>
    <row r="528" spans="1:12" ht="15">
      <c r="A528" s="123" t="s">
        <v>839</v>
      </c>
      <c r="B528" s="123" t="s">
        <v>819</v>
      </c>
      <c r="C528" s="123">
        <v>3</v>
      </c>
      <c r="D528" s="125">
        <v>0.012203918743134373</v>
      </c>
      <c r="E528" s="125">
        <v>1.485315733334934</v>
      </c>
      <c r="F528" s="123" t="s">
        <v>756</v>
      </c>
      <c r="G528" s="123" t="b">
        <v>0</v>
      </c>
      <c r="H528" s="123" t="b">
        <v>0</v>
      </c>
      <c r="I528" s="123" t="b">
        <v>0</v>
      </c>
      <c r="J528" s="123" t="b">
        <v>0</v>
      </c>
      <c r="K528" s="123" t="b">
        <v>0</v>
      </c>
      <c r="L528" s="123" t="b">
        <v>0</v>
      </c>
    </row>
    <row r="529" spans="1:12" ht="15">
      <c r="A529" s="123" t="s">
        <v>779</v>
      </c>
      <c r="B529" s="123" t="s">
        <v>886</v>
      </c>
      <c r="C529" s="123">
        <v>2</v>
      </c>
      <c r="D529" s="125">
        <v>0.008135945828756248</v>
      </c>
      <c r="E529" s="125">
        <v>0.9782312552378284</v>
      </c>
      <c r="F529" s="123" t="s">
        <v>756</v>
      </c>
      <c r="G529" s="123" t="b">
        <v>0</v>
      </c>
      <c r="H529" s="123" t="b">
        <v>0</v>
      </c>
      <c r="I529" s="123" t="b">
        <v>0</v>
      </c>
      <c r="J529" s="123" t="b">
        <v>0</v>
      </c>
      <c r="K529" s="123" t="b">
        <v>0</v>
      </c>
      <c r="L529" s="123" t="b">
        <v>0</v>
      </c>
    </row>
    <row r="530" spans="1:12" ht="15">
      <c r="A530" s="123" t="s">
        <v>886</v>
      </c>
      <c r="B530" s="123" t="s">
        <v>1144</v>
      </c>
      <c r="C530" s="123">
        <v>2</v>
      </c>
      <c r="D530" s="125">
        <v>0.008135945828756248</v>
      </c>
      <c r="E530" s="125">
        <v>1.8532925186295284</v>
      </c>
      <c r="F530" s="123" t="s">
        <v>756</v>
      </c>
      <c r="G530" s="123" t="b">
        <v>0</v>
      </c>
      <c r="H530" s="123" t="b">
        <v>0</v>
      </c>
      <c r="I530" s="123" t="b">
        <v>0</v>
      </c>
      <c r="J530" s="123" t="b">
        <v>0</v>
      </c>
      <c r="K530" s="123" t="b">
        <v>0</v>
      </c>
      <c r="L530" s="123" t="b">
        <v>0</v>
      </c>
    </row>
    <row r="531" spans="1:12" ht="15">
      <c r="A531" s="123" t="s">
        <v>915</v>
      </c>
      <c r="B531" s="123" t="s">
        <v>807</v>
      </c>
      <c r="C531" s="123">
        <v>2</v>
      </c>
      <c r="D531" s="125">
        <v>0.005423963885837499</v>
      </c>
      <c r="E531" s="125">
        <v>1.7283537820212285</v>
      </c>
      <c r="F531" s="123" t="s">
        <v>756</v>
      </c>
      <c r="G531" s="123" t="b">
        <v>0</v>
      </c>
      <c r="H531" s="123" t="b">
        <v>0</v>
      </c>
      <c r="I531" s="123" t="b">
        <v>0</v>
      </c>
      <c r="J531" s="123" t="b">
        <v>0</v>
      </c>
      <c r="K531" s="123" t="b">
        <v>0</v>
      </c>
      <c r="L531" s="123" t="b">
        <v>0</v>
      </c>
    </row>
    <row r="532" spans="1:12" ht="15">
      <c r="A532" s="123" t="s">
        <v>780</v>
      </c>
      <c r="B532" s="123" t="s">
        <v>1146</v>
      </c>
      <c r="C532" s="123">
        <v>2</v>
      </c>
      <c r="D532" s="125">
        <v>0.005423963885837499</v>
      </c>
      <c r="E532" s="125">
        <v>1.251232527301566</v>
      </c>
      <c r="F532" s="123" t="s">
        <v>756</v>
      </c>
      <c r="G532" s="123" t="b">
        <v>0</v>
      </c>
      <c r="H532" s="123" t="b">
        <v>0</v>
      </c>
      <c r="I532" s="123" t="b">
        <v>0</v>
      </c>
      <c r="J532" s="123" t="b">
        <v>0</v>
      </c>
      <c r="K532" s="123" t="b">
        <v>1</v>
      </c>
      <c r="L532" s="123" t="b">
        <v>0</v>
      </c>
    </row>
    <row r="533" spans="1:12" ht="15">
      <c r="A533" s="123" t="s">
        <v>1146</v>
      </c>
      <c r="B533" s="123" t="s">
        <v>780</v>
      </c>
      <c r="C533" s="123">
        <v>2</v>
      </c>
      <c r="D533" s="125">
        <v>0.005423963885837499</v>
      </c>
      <c r="E533" s="125">
        <v>1.2890210881909658</v>
      </c>
      <c r="F533" s="123" t="s">
        <v>756</v>
      </c>
      <c r="G533" s="123" t="b">
        <v>0</v>
      </c>
      <c r="H533" s="123" t="b">
        <v>1</v>
      </c>
      <c r="I533" s="123" t="b">
        <v>0</v>
      </c>
      <c r="J533" s="123" t="b">
        <v>0</v>
      </c>
      <c r="K533" s="123" t="b">
        <v>0</v>
      </c>
      <c r="L533" s="123" t="b">
        <v>0</v>
      </c>
    </row>
    <row r="534" spans="1:12" ht="15">
      <c r="A534" s="123" t="s">
        <v>780</v>
      </c>
      <c r="B534" s="123" t="s">
        <v>791</v>
      </c>
      <c r="C534" s="123">
        <v>2</v>
      </c>
      <c r="D534" s="125">
        <v>0.008135945828756248</v>
      </c>
      <c r="E534" s="125">
        <v>1.0751412682458847</v>
      </c>
      <c r="F534" s="123" t="s">
        <v>756</v>
      </c>
      <c r="G534" s="123" t="b">
        <v>0</v>
      </c>
      <c r="H534" s="123" t="b">
        <v>0</v>
      </c>
      <c r="I534" s="123" t="b">
        <v>0</v>
      </c>
      <c r="J534" s="123" t="b">
        <v>0</v>
      </c>
      <c r="K534" s="123" t="b">
        <v>0</v>
      </c>
      <c r="L534" s="123" t="b">
        <v>0</v>
      </c>
    </row>
    <row r="535" spans="1:12" ht="15">
      <c r="A535" s="123" t="s">
        <v>799</v>
      </c>
      <c r="B535" s="123" t="s">
        <v>784</v>
      </c>
      <c r="C535" s="123">
        <v>2</v>
      </c>
      <c r="D535" s="125">
        <v>0.005423963885837499</v>
      </c>
      <c r="E535" s="125">
        <v>1.7283537820212285</v>
      </c>
      <c r="F535" s="123" t="s">
        <v>756</v>
      </c>
      <c r="G535" s="123" t="b">
        <v>0</v>
      </c>
      <c r="H535" s="123" t="b">
        <v>0</v>
      </c>
      <c r="I535" s="123" t="b">
        <v>0</v>
      </c>
      <c r="J535" s="123" t="b">
        <v>0</v>
      </c>
      <c r="K535" s="123" t="b">
        <v>0</v>
      </c>
      <c r="L535" s="123" t="b">
        <v>0</v>
      </c>
    </row>
    <row r="536" spans="1:12" ht="15">
      <c r="A536" s="123" t="s">
        <v>819</v>
      </c>
      <c r="B536" s="123" t="s">
        <v>839</v>
      </c>
      <c r="C536" s="123">
        <v>2</v>
      </c>
      <c r="D536" s="125">
        <v>0.008135945828756248</v>
      </c>
      <c r="E536" s="125">
        <v>1.251232527301566</v>
      </c>
      <c r="F536" s="123" t="s">
        <v>756</v>
      </c>
      <c r="G536" s="123" t="b">
        <v>0</v>
      </c>
      <c r="H536" s="123" t="b">
        <v>0</v>
      </c>
      <c r="I536" s="123" t="b">
        <v>0</v>
      </c>
      <c r="J536" s="123" t="b">
        <v>0</v>
      </c>
      <c r="K536" s="123" t="b">
        <v>0</v>
      </c>
      <c r="L536" s="123" t="b">
        <v>0</v>
      </c>
    </row>
    <row r="537" spans="1:12" ht="15">
      <c r="A537" s="123" t="s">
        <v>786</v>
      </c>
      <c r="B537" s="123" t="s">
        <v>781</v>
      </c>
      <c r="C537" s="123">
        <v>2</v>
      </c>
      <c r="D537" s="125">
        <v>0.008135945828756248</v>
      </c>
      <c r="E537" s="125">
        <v>0.6772012595738471</v>
      </c>
      <c r="F537" s="123" t="s">
        <v>756</v>
      </c>
      <c r="G537" s="123" t="b">
        <v>0</v>
      </c>
      <c r="H537" s="123" t="b">
        <v>0</v>
      </c>
      <c r="I537" s="123" t="b">
        <v>0</v>
      </c>
      <c r="J537" s="123" t="b">
        <v>0</v>
      </c>
      <c r="K537" s="123" t="b">
        <v>0</v>
      </c>
      <c r="L537" s="123" t="b">
        <v>0</v>
      </c>
    </row>
    <row r="538" spans="1:12" ht="15">
      <c r="A538" s="123" t="s">
        <v>781</v>
      </c>
      <c r="B538" s="123" t="s">
        <v>779</v>
      </c>
      <c r="C538" s="123">
        <v>18</v>
      </c>
      <c r="D538" s="125">
        <v>0.008089558485429492</v>
      </c>
      <c r="E538" s="125">
        <v>0.7411676841304736</v>
      </c>
      <c r="F538" s="123" t="s">
        <v>757</v>
      </c>
      <c r="G538" s="123" t="b">
        <v>0</v>
      </c>
      <c r="H538" s="123" t="b">
        <v>0</v>
      </c>
      <c r="I538" s="123" t="b">
        <v>0</v>
      </c>
      <c r="J538" s="123" t="b">
        <v>0</v>
      </c>
      <c r="K538" s="123" t="b">
        <v>0</v>
      </c>
      <c r="L538" s="123" t="b">
        <v>0</v>
      </c>
    </row>
    <row r="539" spans="1:12" ht="15">
      <c r="A539" s="123" t="s">
        <v>779</v>
      </c>
      <c r="B539" s="123" t="s">
        <v>795</v>
      </c>
      <c r="C539" s="123">
        <v>6</v>
      </c>
      <c r="D539" s="125">
        <v>0.01949115079838727</v>
      </c>
      <c r="E539" s="125">
        <v>0.5477023290053696</v>
      </c>
      <c r="F539" s="123" t="s">
        <v>757</v>
      </c>
      <c r="G539" s="123" t="b">
        <v>0</v>
      </c>
      <c r="H539" s="123" t="b">
        <v>0</v>
      </c>
      <c r="I539" s="123" t="b">
        <v>0</v>
      </c>
      <c r="J539" s="123" t="b">
        <v>0</v>
      </c>
      <c r="K539" s="123" t="b">
        <v>0</v>
      </c>
      <c r="L539" s="123" t="b">
        <v>0</v>
      </c>
    </row>
    <row r="540" spans="1:12" ht="15">
      <c r="A540" s="123" t="s">
        <v>779</v>
      </c>
      <c r="B540" s="123" t="s">
        <v>781</v>
      </c>
      <c r="C540" s="123">
        <v>5</v>
      </c>
      <c r="D540" s="125">
        <v>0.007661308134393544</v>
      </c>
      <c r="E540" s="125">
        <v>0.16749108729376364</v>
      </c>
      <c r="F540" s="123" t="s">
        <v>757</v>
      </c>
      <c r="G540" s="123" t="b">
        <v>0</v>
      </c>
      <c r="H540" s="123" t="b">
        <v>0</v>
      </c>
      <c r="I540" s="123" t="b">
        <v>0</v>
      </c>
      <c r="J540" s="123" t="b">
        <v>0</v>
      </c>
      <c r="K540" s="123" t="b">
        <v>0</v>
      </c>
      <c r="L540" s="123" t="b">
        <v>0</v>
      </c>
    </row>
    <row r="541" spans="1:12" ht="15">
      <c r="A541" s="123" t="s">
        <v>779</v>
      </c>
      <c r="B541" s="123" t="s">
        <v>779</v>
      </c>
      <c r="C541" s="123">
        <v>5</v>
      </c>
      <c r="D541" s="125">
        <v>0.007661308134393544</v>
      </c>
      <c r="E541" s="125">
        <v>-0.26743248763144395</v>
      </c>
      <c r="F541" s="123" t="s">
        <v>757</v>
      </c>
      <c r="G541" s="123" t="b">
        <v>0</v>
      </c>
      <c r="H541" s="123" t="b">
        <v>0</v>
      </c>
      <c r="I541" s="123" t="b">
        <v>0</v>
      </c>
      <c r="J541" s="123" t="b">
        <v>0</v>
      </c>
      <c r="K541" s="123" t="b">
        <v>0</v>
      </c>
      <c r="L541" s="123" t="b">
        <v>0</v>
      </c>
    </row>
    <row r="542" spans="1:12" ht="15">
      <c r="A542" s="123" t="s">
        <v>779</v>
      </c>
      <c r="B542" s="123" t="s">
        <v>780</v>
      </c>
      <c r="C542" s="123">
        <v>4</v>
      </c>
      <c r="D542" s="125">
        <v>0.0061290465075148366</v>
      </c>
      <c r="E542" s="125">
        <v>0.21191022708217655</v>
      </c>
      <c r="F542" s="123" t="s">
        <v>757</v>
      </c>
      <c r="G542" s="123" t="b">
        <v>0</v>
      </c>
      <c r="H542" s="123" t="b">
        <v>0</v>
      </c>
      <c r="I542" s="123" t="b">
        <v>0</v>
      </c>
      <c r="J542" s="123" t="b">
        <v>0</v>
      </c>
      <c r="K542" s="123" t="b">
        <v>0</v>
      </c>
      <c r="L542" s="123" t="b">
        <v>0</v>
      </c>
    </row>
    <row r="543" spans="1:12" ht="15">
      <c r="A543" s="123" t="s">
        <v>779</v>
      </c>
      <c r="B543" s="123" t="s">
        <v>786</v>
      </c>
      <c r="C543" s="123">
        <v>4</v>
      </c>
      <c r="D543" s="125">
        <v>0.0061290465075148366</v>
      </c>
      <c r="E543" s="125">
        <v>0.2466723333413885</v>
      </c>
      <c r="F543" s="123" t="s">
        <v>757</v>
      </c>
      <c r="G543" s="123" t="b">
        <v>0</v>
      </c>
      <c r="H543" s="123" t="b">
        <v>0</v>
      </c>
      <c r="I543" s="123" t="b">
        <v>0</v>
      </c>
      <c r="J543" s="123" t="b">
        <v>0</v>
      </c>
      <c r="K543" s="123" t="b">
        <v>0</v>
      </c>
      <c r="L543" s="123" t="b">
        <v>0</v>
      </c>
    </row>
    <row r="544" spans="1:12" ht="15">
      <c r="A544" s="123" t="s">
        <v>786</v>
      </c>
      <c r="B544" s="123" t="s">
        <v>781</v>
      </c>
      <c r="C544" s="123">
        <v>4</v>
      </c>
      <c r="D544" s="125">
        <v>0.0061290465075148366</v>
      </c>
      <c r="E544" s="125">
        <v>0.6989700043360189</v>
      </c>
      <c r="F544" s="123" t="s">
        <v>757</v>
      </c>
      <c r="G544" s="123" t="b">
        <v>0</v>
      </c>
      <c r="H544" s="123" t="b">
        <v>0</v>
      </c>
      <c r="I544" s="123" t="b">
        <v>0</v>
      </c>
      <c r="J544" s="123" t="b">
        <v>0</v>
      </c>
      <c r="K544" s="123" t="b">
        <v>0</v>
      </c>
      <c r="L544" s="123" t="b">
        <v>0</v>
      </c>
    </row>
    <row r="545" spans="1:12" ht="15">
      <c r="A545" s="123" t="s">
        <v>795</v>
      </c>
      <c r="B545" s="123" t="s">
        <v>779</v>
      </c>
      <c r="C545" s="123">
        <v>3</v>
      </c>
      <c r="D545" s="125">
        <v>0.009745575399193636</v>
      </c>
      <c r="E545" s="125">
        <v>0.26404642941081125</v>
      </c>
      <c r="F545" s="123" t="s">
        <v>757</v>
      </c>
      <c r="G545" s="123" t="b">
        <v>0</v>
      </c>
      <c r="H545" s="123" t="b">
        <v>0</v>
      </c>
      <c r="I545" s="123" t="b">
        <v>0</v>
      </c>
      <c r="J545" s="123" t="b">
        <v>0</v>
      </c>
      <c r="K545" s="123" t="b">
        <v>0</v>
      </c>
      <c r="L545" s="123" t="b">
        <v>0</v>
      </c>
    </row>
    <row r="546" spans="1:12" ht="15">
      <c r="A546" s="123" t="s">
        <v>779</v>
      </c>
      <c r="B546" s="123" t="s">
        <v>872</v>
      </c>
      <c r="C546" s="123">
        <v>3</v>
      </c>
      <c r="D546" s="125">
        <v>0.006497050266129091</v>
      </c>
      <c r="E546" s="125">
        <v>0.598854851452751</v>
      </c>
      <c r="F546" s="123" t="s">
        <v>757</v>
      </c>
      <c r="G546" s="123" t="b">
        <v>0</v>
      </c>
      <c r="H546" s="123" t="b">
        <v>0</v>
      </c>
      <c r="I546" s="123" t="b">
        <v>0</v>
      </c>
      <c r="J546" s="123" t="b">
        <v>0</v>
      </c>
      <c r="K546" s="123" t="b">
        <v>0</v>
      </c>
      <c r="L546" s="123" t="b">
        <v>0</v>
      </c>
    </row>
    <row r="547" spans="1:12" ht="15">
      <c r="A547" s="123" t="s">
        <v>809</v>
      </c>
      <c r="B547" s="123" t="s">
        <v>809</v>
      </c>
      <c r="C547" s="123">
        <v>3</v>
      </c>
      <c r="D547" s="125">
        <v>0.006497050266129091</v>
      </c>
      <c r="E547" s="125">
        <v>0.8670923337204247</v>
      </c>
      <c r="F547" s="123" t="s">
        <v>757</v>
      </c>
      <c r="G547" s="123" t="b">
        <v>0</v>
      </c>
      <c r="H547" s="123" t="b">
        <v>1</v>
      </c>
      <c r="I547" s="123" t="b">
        <v>0</v>
      </c>
      <c r="J547" s="123" t="b">
        <v>0</v>
      </c>
      <c r="K547" s="123" t="b">
        <v>1</v>
      </c>
      <c r="L547" s="123" t="b">
        <v>0</v>
      </c>
    </row>
    <row r="548" spans="1:12" ht="15">
      <c r="A548" s="123" t="s">
        <v>809</v>
      </c>
      <c r="B548" s="123" t="s">
        <v>780</v>
      </c>
      <c r="C548" s="123">
        <v>3</v>
      </c>
      <c r="D548" s="125">
        <v>0.009745575399193636</v>
      </c>
      <c r="E548" s="125">
        <v>0.7531489814135879</v>
      </c>
      <c r="F548" s="123" t="s">
        <v>757</v>
      </c>
      <c r="G548" s="123" t="b">
        <v>0</v>
      </c>
      <c r="H548" s="123" t="b">
        <v>1</v>
      </c>
      <c r="I548" s="123" t="b">
        <v>0</v>
      </c>
      <c r="J548" s="123" t="b">
        <v>0</v>
      </c>
      <c r="K548" s="123" t="b">
        <v>0</v>
      </c>
      <c r="L548" s="123" t="b">
        <v>0</v>
      </c>
    </row>
    <row r="549" spans="1:12" ht="15">
      <c r="A549" s="123" t="s">
        <v>779</v>
      </c>
      <c r="B549" s="123" t="s">
        <v>891</v>
      </c>
      <c r="C549" s="123">
        <v>2</v>
      </c>
      <c r="D549" s="125">
        <v>0.006497050266129091</v>
      </c>
      <c r="E549" s="125">
        <v>0.723793588061051</v>
      </c>
      <c r="F549" s="123" t="s">
        <v>757</v>
      </c>
      <c r="G549" s="123" t="b">
        <v>0</v>
      </c>
      <c r="H549" s="123" t="b">
        <v>0</v>
      </c>
      <c r="I549" s="123" t="b">
        <v>0</v>
      </c>
      <c r="J549" s="123" t="b">
        <v>0</v>
      </c>
      <c r="K549" s="123" t="b">
        <v>0</v>
      </c>
      <c r="L549" s="123" t="b">
        <v>0</v>
      </c>
    </row>
    <row r="550" spans="1:12" ht="15">
      <c r="A550" s="123" t="s">
        <v>786</v>
      </c>
      <c r="B550" s="123" t="s">
        <v>779</v>
      </c>
      <c r="C550" s="123">
        <v>2</v>
      </c>
      <c r="D550" s="125">
        <v>0.00433136684408606</v>
      </c>
      <c r="E550" s="125">
        <v>-0.03698356625317002</v>
      </c>
      <c r="F550" s="123" t="s">
        <v>757</v>
      </c>
      <c r="G550" s="123" t="b">
        <v>0</v>
      </c>
      <c r="H550" s="123" t="b">
        <v>0</v>
      </c>
      <c r="I550" s="123" t="b">
        <v>0</v>
      </c>
      <c r="J550" s="123" t="b">
        <v>0</v>
      </c>
      <c r="K550" s="123" t="b">
        <v>0</v>
      </c>
      <c r="L550" s="123" t="b">
        <v>0</v>
      </c>
    </row>
    <row r="551" spans="1:12" ht="15">
      <c r="A551" s="123" t="s">
        <v>818</v>
      </c>
      <c r="B551" s="123" t="s">
        <v>779</v>
      </c>
      <c r="C551" s="123">
        <v>2</v>
      </c>
      <c r="D551" s="125">
        <v>0.00433136684408606</v>
      </c>
      <c r="E551" s="125">
        <v>0.3432276754584361</v>
      </c>
      <c r="F551" s="123" t="s">
        <v>757</v>
      </c>
      <c r="G551" s="123" t="b">
        <v>0</v>
      </c>
      <c r="H551" s="123" t="b">
        <v>0</v>
      </c>
      <c r="I551" s="123" t="b">
        <v>0</v>
      </c>
      <c r="J551" s="123" t="b">
        <v>0</v>
      </c>
      <c r="K551" s="123" t="b">
        <v>0</v>
      </c>
      <c r="L551" s="123" t="b">
        <v>0</v>
      </c>
    </row>
    <row r="552" spans="1:12" ht="15">
      <c r="A552" s="123" t="s">
        <v>779</v>
      </c>
      <c r="B552" s="123" t="s">
        <v>818</v>
      </c>
      <c r="C552" s="123">
        <v>2</v>
      </c>
      <c r="D552" s="125">
        <v>0.00433136684408606</v>
      </c>
      <c r="E552" s="125">
        <v>0.32585357938901344</v>
      </c>
      <c r="F552" s="123" t="s">
        <v>757</v>
      </c>
      <c r="G552" s="123" t="b">
        <v>0</v>
      </c>
      <c r="H552" s="123" t="b">
        <v>0</v>
      </c>
      <c r="I552" s="123" t="b">
        <v>0</v>
      </c>
      <c r="J552" s="123" t="b">
        <v>0</v>
      </c>
      <c r="K552" s="123" t="b">
        <v>0</v>
      </c>
      <c r="L552" s="123" t="b">
        <v>0</v>
      </c>
    </row>
    <row r="553" spans="1:12" ht="15">
      <c r="A553" s="123" t="s">
        <v>780</v>
      </c>
      <c r="B553" s="123" t="s">
        <v>786</v>
      </c>
      <c r="C553" s="123">
        <v>2</v>
      </c>
      <c r="D553" s="125">
        <v>0.00433136684408606</v>
      </c>
      <c r="E553" s="125">
        <v>0.5392691614685069</v>
      </c>
      <c r="F553" s="123" t="s">
        <v>757</v>
      </c>
      <c r="G553" s="123" t="b">
        <v>0</v>
      </c>
      <c r="H553" s="123" t="b">
        <v>0</v>
      </c>
      <c r="I553" s="123" t="b">
        <v>0</v>
      </c>
      <c r="J553" s="123" t="b">
        <v>0</v>
      </c>
      <c r="K553" s="123" t="b">
        <v>0</v>
      </c>
      <c r="L553" s="123" t="b">
        <v>0</v>
      </c>
    </row>
    <row r="554" spans="1:12" ht="15">
      <c r="A554" s="123" t="s">
        <v>786</v>
      </c>
      <c r="B554" s="123" t="s">
        <v>836</v>
      </c>
      <c r="C554" s="123">
        <v>2</v>
      </c>
      <c r="D554" s="125">
        <v>0.00433136684408606</v>
      </c>
      <c r="E554" s="125">
        <v>1.1760912590556813</v>
      </c>
      <c r="F554" s="123" t="s">
        <v>757</v>
      </c>
      <c r="G554" s="123" t="b">
        <v>0</v>
      </c>
      <c r="H554" s="123" t="b">
        <v>0</v>
      </c>
      <c r="I554" s="123" t="b">
        <v>0</v>
      </c>
      <c r="J554" s="123" t="b">
        <v>0</v>
      </c>
      <c r="K554" s="123" t="b">
        <v>0</v>
      </c>
      <c r="L554" s="123" t="b">
        <v>0</v>
      </c>
    </row>
    <row r="555" spans="1:12" ht="15">
      <c r="A555" s="123" t="s">
        <v>1038</v>
      </c>
      <c r="B555" s="123" t="s">
        <v>779</v>
      </c>
      <c r="C555" s="123">
        <v>2</v>
      </c>
      <c r="D555" s="125">
        <v>0.006497050266129091</v>
      </c>
      <c r="E555" s="125">
        <v>0.7411676841304736</v>
      </c>
      <c r="F555" s="123" t="s">
        <v>757</v>
      </c>
      <c r="G555" s="123" t="b">
        <v>0</v>
      </c>
      <c r="H555" s="123" t="b">
        <v>1</v>
      </c>
      <c r="I555" s="123" t="b">
        <v>0</v>
      </c>
      <c r="J555" s="123" t="b">
        <v>0</v>
      </c>
      <c r="K555" s="123" t="b">
        <v>0</v>
      </c>
      <c r="L555" s="123" t="b">
        <v>0</v>
      </c>
    </row>
    <row r="556" spans="1:12" ht="15">
      <c r="A556" s="123" t="s">
        <v>872</v>
      </c>
      <c r="B556" s="123" t="s">
        <v>779</v>
      </c>
      <c r="C556" s="123">
        <v>2</v>
      </c>
      <c r="D556" s="125">
        <v>0.00433136684408606</v>
      </c>
      <c r="E556" s="125">
        <v>0.4401376884664924</v>
      </c>
      <c r="F556" s="123" t="s">
        <v>757</v>
      </c>
      <c r="G556" s="123" t="b">
        <v>0</v>
      </c>
      <c r="H556" s="123" t="b">
        <v>0</v>
      </c>
      <c r="I556" s="123" t="b">
        <v>0</v>
      </c>
      <c r="J556" s="123" t="b">
        <v>0</v>
      </c>
      <c r="K556" s="123" t="b">
        <v>0</v>
      </c>
      <c r="L556" s="123" t="b">
        <v>0</v>
      </c>
    </row>
    <row r="557" spans="1:12" ht="15">
      <c r="A557" s="123" t="s">
        <v>1033</v>
      </c>
      <c r="B557" s="123" t="s">
        <v>838</v>
      </c>
      <c r="C557" s="123">
        <v>2</v>
      </c>
      <c r="D557" s="125">
        <v>0.006497050266129091</v>
      </c>
      <c r="E557" s="125">
        <v>1.5862657241447304</v>
      </c>
      <c r="F557" s="123" t="s">
        <v>757</v>
      </c>
      <c r="G557" s="123" t="b">
        <v>0</v>
      </c>
      <c r="H557" s="123" t="b">
        <v>1</v>
      </c>
      <c r="I557" s="123" t="b">
        <v>0</v>
      </c>
      <c r="J557" s="123" t="b">
        <v>0</v>
      </c>
      <c r="K557" s="123" t="b">
        <v>0</v>
      </c>
      <c r="L557" s="123" t="b">
        <v>0</v>
      </c>
    </row>
    <row r="558" spans="1:12" ht="15">
      <c r="A558" s="123" t="s">
        <v>780</v>
      </c>
      <c r="B558" s="123" t="s">
        <v>809</v>
      </c>
      <c r="C558" s="123">
        <v>2</v>
      </c>
      <c r="D558" s="125">
        <v>0.006497050266129091</v>
      </c>
      <c r="E558" s="125">
        <v>0.6184504075161318</v>
      </c>
      <c r="F558" s="123" t="s">
        <v>757</v>
      </c>
      <c r="G558" s="123" t="b">
        <v>0</v>
      </c>
      <c r="H558" s="123" t="b">
        <v>0</v>
      </c>
      <c r="I558" s="123" t="b">
        <v>0</v>
      </c>
      <c r="J558" s="123" t="b">
        <v>0</v>
      </c>
      <c r="K558" s="123" t="b">
        <v>1</v>
      </c>
      <c r="L558" s="123" t="b">
        <v>0</v>
      </c>
    </row>
    <row r="559" spans="1:12" ht="15">
      <c r="A559" s="123" t="s">
        <v>779</v>
      </c>
      <c r="B559" s="123" t="s">
        <v>932</v>
      </c>
      <c r="C559" s="123">
        <v>2</v>
      </c>
      <c r="D559" s="125">
        <v>0.006497050266129091</v>
      </c>
      <c r="E559" s="125">
        <v>0.723793588061051</v>
      </c>
      <c r="F559" s="123" t="s">
        <v>757</v>
      </c>
      <c r="G559" s="123" t="b">
        <v>0</v>
      </c>
      <c r="H559" s="123" t="b">
        <v>0</v>
      </c>
      <c r="I559" s="123" t="b">
        <v>0</v>
      </c>
      <c r="J559" s="123" t="b">
        <v>0</v>
      </c>
      <c r="K559" s="123" t="b">
        <v>0</v>
      </c>
      <c r="L559" s="123" t="b">
        <v>0</v>
      </c>
    </row>
    <row r="560" spans="1:12" ht="15">
      <c r="A560" s="123" t="s">
        <v>779</v>
      </c>
      <c r="B560" s="123" t="s">
        <v>1021</v>
      </c>
      <c r="C560" s="123">
        <v>2</v>
      </c>
      <c r="D560" s="125">
        <v>0.006497050266129091</v>
      </c>
      <c r="E560" s="125">
        <v>0.723793588061051</v>
      </c>
      <c r="F560" s="123" t="s">
        <v>757</v>
      </c>
      <c r="G560" s="123" t="b">
        <v>0</v>
      </c>
      <c r="H560" s="123" t="b">
        <v>0</v>
      </c>
      <c r="I560" s="123" t="b">
        <v>0</v>
      </c>
      <c r="J560" s="123" t="b">
        <v>1</v>
      </c>
      <c r="K560" s="123" t="b">
        <v>0</v>
      </c>
      <c r="L560" s="123" t="b">
        <v>0</v>
      </c>
    </row>
    <row r="561" spans="1:12" ht="15">
      <c r="A561" s="123" t="s">
        <v>935</v>
      </c>
      <c r="B561" s="123" t="s">
        <v>935</v>
      </c>
      <c r="C561" s="123">
        <v>2</v>
      </c>
      <c r="D561" s="125">
        <v>0.006497050266129091</v>
      </c>
      <c r="E561" s="125">
        <v>1.7781512503836436</v>
      </c>
      <c r="F561" s="123" t="s">
        <v>757</v>
      </c>
      <c r="G561" s="123" t="b">
        <v>0</v>
      </c>
      <c r="H561" s="123" t="b">
        <v>0</v>
      </c>
      <c r="I561" s="123" t="b">
        <v>0</v>
      </c>
      <c r="J561" s="123" t="b">
        <v>0</v>
      </c>
      <c r="K561" s="123" t="b">
        <v>0</v>
      </c>
      <c r="L561" s="12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9BAF28-7BE4-4B4E-9797-C09F1D85D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2020-06-26T09:51:33Z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