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<sst xmlns="http://schemas.openxmlformats.org/spreadsheetml/2006/main" count="4811" uniqueCount="1078">
  <si>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</si>
  <si>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</si>
  <si>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</si>
  <si>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</si>
  <si>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</si>
  <si>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</si>
  <si>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</si>
  <si>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</si>
  <si>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</si>
  <si>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</si>
  <si>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</si>
  <si>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</si>
  <si>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</si>
  <si>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</si>
  <si>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</si>
  <si>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</si>
  <si>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</si>
  <si>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</si>
  <si>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</si>
  <si>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</si>
  <si>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</si>
  <si>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</si>
  <si>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</si>
  <si>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</si>
  <si>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</si>
  <si>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</si>
  <si>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</si>
  <si>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</si>
  <si>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</si>
  <si>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</si>
  <si>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</si>
  <si>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</si>
  <si>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</si>
  <si>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</si>
  <si>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</si>
  <si>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</si>
  <si>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</si>
  <si>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</si>
  <si>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</si>
  <si>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</si>
  <si>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</si>
  <si>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</si>
  <si>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</si>
  <si>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</si>
  <si>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</si>
  <si>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</si>
  <si>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</si>
  <si>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</si>
  <si>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</si>
  <si>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</si>
  <si>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</si>
  <si>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</si>
  <si>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</si>
  <si>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</si>
  <si>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</si>
  <si>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</si>
  <si>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</si>
  <si>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</si>
  <si>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</si>
  <si>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</si>
  <si>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</si>
  <si>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</si>
  <si>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</si>
  <si>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</si>
  <si>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</si>
  <si>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</si>
  <si>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</si>
  <si>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</si>
  <si>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</si>
  <si>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</si>
  <si>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</si>
  <si>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</si>
  <si>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</si>
  <si>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</si>
  <si>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</si>
  <si>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</si>
  <si>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</si>
  <si>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</si>
  <si>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</si>
  <si>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</si>
  <si>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</si>
  <si>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</si>
  <si>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</si>
  <si>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</si>
  <si>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</si>
  <si>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</si>
  <si>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</si>
  <si>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</si>
  <si>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</si>
  <si>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</si>
  <si>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</si>
  <si>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</si>
  <si>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</si>
  <si>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</si>
  <si>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</si>
  <si>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</si>
  <si>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</si>
  <si>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</si>
  <si>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</si>
  <si>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</si>
  <si>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</si>
  <si>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</si>
  <si>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</si>
  <si>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</si>
  <si>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</si>
  <si>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</si>
  <si>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</si>
  <si>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</si>
  <si>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</si>
  <si>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</si>
  <si>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</si>
  <si>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</si>
  <si>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</si>
  <si>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</si>
  <si>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</si>
  <si>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</si>
  <si>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</si>
  <si>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</si>
  <si>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</si>
  <si>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</si>
  <si>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</si>
  <si>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</si>
  <si>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</si>
  <si>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</si>
  <si>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</si>
  <si>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</si>
  <si>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</si>
  <si>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</si>
  <si>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</si>
  <si>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</si>
  <si>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</si>
  <si>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</si>
  <si>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</si>
  <si>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</si>
  <si>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</si>
  <si>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</si>
  <si>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</si>
  <si>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</si>
  <si>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</si>
  <si>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</si>
  <si>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</si>
  <si>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</si>
  <si>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</si>
  <si>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</si>
  <si>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</si>
  <si>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</si>
  <si>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</si>
  <si>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</si>
  <si>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</si>
  <si>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</si>
  <si>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</si>
  <si>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</si>
  <si>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</si>
  <si>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</si>
  <si>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</si>
  <si>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</si>
  <si>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</si>
  <si>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</si>
  <si>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</si>
  <si>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</si>
  <si>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</si>
  <si>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</si>
  <si>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</si>
  <si>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</si>
  <si>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</si>
  <si>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</si>
  <si>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</si>
  <si>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</si>
  <si>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</si>
  <si>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</si>
  <si>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</si>
  <si>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</si>
  <si>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</si>
  <si>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</si>
  <si>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</si>
  <si>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</si>
  <si>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</si>
  <si>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</si>
  <si>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</si>
  <si>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</si>
  <si>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</si>
  <si>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</si>
  <si>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</si>
  <si>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</si>
  <si>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</si>
  <si>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</si>
  <si>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</si>
  <si>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</si>
  <si>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</si>
  <si>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</si>
  <si>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</si>
  <si>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</si>
  <si>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</si>
  <si>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t>
  </si>
  <si>
    <t>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
  </si>
  <si>
    <t>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Youtube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t>
  </si>
  <si>
    <t>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&lt;value&gt;CalculateSentiment░True▓TextColumnIsOnEdgeWorksheet░False▓TextColumnName░Tags▓CountByGroup░True▓SkipSingleTerms░True▓WordsToSkip░0 1 2 3 4 5 6 7 8 9 39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aspx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sensible sent serious seriously seven s</t>
  </si>
  <si>
    <t xml:space="preserve">eventy several sg sh shall shan't shant she she'd she'll she's shed shell shes should should've shouldn shouldn't shouldnt show showed showing shown showns shows si side sides significant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t>
  </si>
  <si>
    <t>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t>
  </si>
  <si>
    <t>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t>
  </si>
  <si>
    <t>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t>
  </si>
  <si>
    <t>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t>
  </si>
  <si>
    <t>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t>
  </si>
  <si>
    <t>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t>
  </si>
  <si>
    <t>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t>
  </si>
  <si>
    <t>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t>
  </si>
  <si>
    <t xml:space="preserve">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t>
  </si>
  <si>
    <t xml:space="preserve">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t>
  </si>
  <si>
    <t>Workbook Settings 19</t>
  </si>
  <si>
    <t>Autofill Workbook Results</t>
  </si>
  <si>
    <t>Graph History</t>
  </si>
  <si>
    <t>Relationship</t>
  </si>
  <si>
    <t>krVOB3wlFE8</t>
  </si>
  <si>
    <t>mhXjDggRHIA</t>
  </si>
  <si>
    <t>grEaluG1a0A</t>
  </si>
  <si>
    <t>mHJ0bRuEz98</t>
  </si>
  <si>
    <t>oq3C4gzQZd0</t>
  </si>
  <si>
    <t>Dh5n9EbTsQg</t>
  </si>
  <si>
    <t>9XsNBuw_VrU</t>
  </si>
  <si>
    <t>jGc08ZwazqM</t>
  </si>
  <si>
    <t>Q3Mp0MbuBrE</t>
  </si>
  <si>
    <t>c4he5vQWZjs</t>
  </si>
  <si>
    <t>rw8ZMfNhjVs</t>
  </si>
  <si>
    <t>U55duP7QG7s</t>
  </si>
  <si>
    <t>TyRb2sN7nxc</t>
  </si>
  <si>
    <t>BeeAFB49xCM</t>
  </si>
  <si>
    <t>Qjf12D3GRQ4</t>
  </si>
  <si>
    <t>r4n5bjMRXaA</t>
  </si>
  <si>
    <t>PEwkgKDX8I0</t>
  </si>
  <si>
    <t>Qg3dpLcMFbQ</t>
  </si>
  <si>
    <t>N_NaepmmSzU</t>
  </si>
  <si>
    <t>YE5cKWjAQZY</t>
  </si>
  <si>
    <t>xhy9m5I7-Mg</t>
  </si>
  <si>
    <t>YXUq-RZVVAw</t>
  </si>
  <si>
    <t>-VSnGanEY3I</t>
  </si>
  <si>
    <t>L4QZ_XJcXjA</t>
  </si>
  <si>
    <t>rob8wmH3uso</t>
  </si>
  <si>
    <t>9zWI_dpgaeU</t>
  </si>
  <si>
    <t>HByLIRy2BPg</t>
  </si>
  <si>
    <t>AOdpug6YYVk</t>
  </si>
  <si>
    <t>AdjKiiN2P8c</t>
  </si>
  <si>
    <t>O4NVMjYdhCU</t>
  </si>
  <si>
    <t>6bqvGXGN4DA</t>
  </si>
  <si>
    <t>IEMot7Yrfrc</t>
  </si>
  <si>
    <t>5KKUmF3Fdo0</t>
  </si>
  <si>
    <t>5EBTorY4KqM</t>
  </si>
  <si>
    <t>wjsHwDFlPKc</t>
  </si>
  <si>
    <t>Z8VCiwCZDyg</t>
  </si>
  <si>
    <t>2SGpHBidKWg</t>
  </si>
  <si>
    <t>YZKW5sbHHlA</t>
  </si>
  <si>
    <t>eXYUUUECzh8</t>
  </si>
  <si>
    <t>0ipNbOr82sg</t>
  </si>
  <si>
    <t>aMvjFWe3eKM</t>
  </si>
  <si>
    <t>aSHhEpgrFfI</t>
  </si>
  <si>
    <t>Cp775-4XSSU</t>
  </si>
  <si>
    <t>0bb-QzC6mvs</t>
  </si>
  <si>
    <t>FYXDXQ6vUiE</t>
  </si>
  <si>
    <t>lcU74YFJCoI</t>
  </si>
  <si>
    <t>Gj5T3lAaKTU</t>
  </si>
  <si>
    <t>FFqnvZj89Fc</t>
  </si>
  <si>
    <t>FC6rFCFHu14</t>
  </si>
  <si>
    <t>aHkSB-1G9NA</t>
  </si>
  <si>
    <t>jmzgw0fEmcc</t>
  </si>
  <si>
    <t>EHYgZWAvIIs</t>
  </si>
  <si>
    <t>If9rlemqGO0</t>
  </si>
  <si>
    <t>L5O-P_jrM1M</t>
  </si>
  <si>
    <t>LBBVkrfaquM</t>
  </si>
  <si>
    <t>wwn5gXA5ih8</t>
  </si>
  <si>
    <t>y9NxNRPFaAg</t>
  </si>
  <si>
    <t>fN2tgtcKGck</t>
  </si>
  <si>
    <t>nPp8_-zCm8U</t>
  </si>
  <si>
    <t>Or1Gc-XUnmw</t>
  </si>
  <si>
    <t>1P6O2hYRvT0</t>
  </si>
  <si>
    <t>e0Huhm9MKhE</t>
  </si>
  <si>
    <t>SShwjUbTgAE</t>
  </si>
  <si>
    <t>qIXt89gLHo0</t>
  </si>
  <si>
    <t>lRGr3-rtrKs</t>
  </si>
  <si>
    <t>_fFE6WaokU8</t>
  </si>
  <si>
    <t>Ibhqs9F6dzo</t>
  </si>
  <si>
    <t>4JgDzkhtivU</t>
  </si>
  <si>
    <t>1Ftu3U5n0ls</t>
  </si>
  <si>
    <t>QrVTvXTeR-g</t>
  </si>
  <si>
    <t>x0Yf4UgkXvk</t>
  </si>
  <si>
    <t>zavQ1XZosEc</t>
  </si>
  <si>
    <t>RBOEvx72o68</t>
  </si>
  <si>
    <t>0dLcxOD4QdI</t>
  </si>
  <si>
    <t>JdiqyKm0UwU</t>
  </si>
  <si>
    <t>wiyHk232MPE</t>
  </si>
  <si>
    <t>9CBReIcgQYw</t>
  </si>
  <si>
    <t>HkSD1JAvWmQ</t>
  </si>
  <si>
    <t>niCxnEyG0SM</t>
  </si>
  <si>
    <t>uABiSzFWzeg</t>
  </si>
  <si>
    <t>UL3K785SIHA</t>
  </si>
  <si>
    <t>Zvnj2SMTydA</t>
  </si>
  <si>
    <t>8AbbWrdl4KI</t>
  </si>
  <si>
    <t>TkYgH3AeqUI</t>
  </si>
  <si>
    <t>gqGIAKrCABQ</t>
  </si>
  <si>
    <t>t3_zztRLVA4</t>
  </si>
  <si>
    <t>wy1i2LXuraU</t>
  </si>
  <si>
    <t>lCJmvnQZK5A</t>
  </si>
  <si>
    <t>UuHZ3xZf7To</t>
  </si>
  <si>
    <t>DBbpJJiBCFs</t>
  </si>
  <si>
    <t>copfNPbpLR8</t>
  </si>
  <si>
    <t>YTLAfZv8nOc</t>
  </si>
  <si>
    <t>Recommended Video</t>
  </si>
  <si>
    <t>Title</t>
  </si>
  <si>
    <t>Description</t>
  </si>
  <si>
    <t>Tags</t>
  </si>
  <si>
    <t>Author</t>
  </si>
  <si>
    <t>Created Date (UTC)</t>
  </si>
  <si>
    <t>Views</t>
  </si>
  <si>
    <t>Comments</t>
  </si>
  <si>
    <t>Likes Count</t>
  </si>
  <si>
    <t>Dislikes Count</t>
  </si>
  <si>
    <t>Custom Menu Item Text</t>
  </si>
  <si>
    <t>Custom Menu Item Action</t>
  </si>
  <si>
    <t>_xD83D__xDD34_ Good Evening</t>
  </si>
  <si>
    <t>Monkey in the Morning: Cuomo Lovefest - More Media Garbage</t>
  </si>
  <si>
    <t>【全30組】声量！滑舌！冒頭の挨拶を一番ちゃんとしてるのは誰だ！YouTuber挨拶王決定戦！</t>
  </si>
  <si>
    <t>ELE ME EMPRESTOU ESSA MOTO POR 30 DIAS</t>
  </si>
  <si>
    <t>Esto PASA si un PRESO ESCAPA de la CÁRCEL en GTA 5... Grand Theft Auto V - GTA V Mods</t>
  </si>
  <si>
    <t>ブタさんが可愛過ぎて飼うべきかどうか迷っている</t>
  </si>
  <si>
    <t>Trump rally a ‘petri dish’ for spreading COVID-19</t>
  </si>
  <si>
    <t>FUI EM UMA LENDA COM MEU PORSCHE *DEU MUITO MEDO*</t>
  </si>
  <si>
    <t>FULL RALLY: President Donald Trump MAGA Rally in Montoursville, PA 5/20/19</t>
  </si>
  <si>
    <t>_xD83D__xDD34_ President Donald Trump Keep America Great Rally LIVE in Charlotte, NC 3/2/20</t>
  </si>
  <si>
    <t>Trump denies firing Manhattan prosecutor Berman</t>
  </si>
  <si>
    <t>Aljazeera Latest News Jawar Mohammed tells Aljazeera Meles foold Westerners and China   August 21, 2012</t>
  </si>
  <si>
    <t>Trump’s Tulsa Rally FAILED Before It Even Began</t>
  </si>
  <si>
    <t>Tulsa Trump Rally  countdown LIVE outside Trump Tulsa Rally</t>
  </si>
  <si>
    <t>NOSSO AMIGO PEDIU AJUDA DA EUROPA! ‹ EduKof ›</t>
  </si>
  <si>
    <t>President Trump Rally LIVE in Grand Rapids, MI 3/28/19</t>
  </si>
  <si>
    <t>Obama-Biden, Scandal Free?</t>
  </si>
  <si>
    <t>LIVE NOW: Trump Supporters Flood Tulsa, Oklahoma for Campaign Rally</t>
  </si>
  <si>
    <t>LIVE: President Trump in Charlotte, NC</t>
  </si>
  <si>
    <t>With Ballot Harvest, The Fix Is In!</t>
  </si>
  <si>
    <t>LIVE: President Trump in Tupelo, MS</t>
  </si>
  <si>
    <t>President Trump’s ‘American Comeback Rally’ in Tulsa, OK</t>
  </si>
  <si>
    <t>Dejected Trump returns to Washington after Kpop &amp; Ticktock stans made Tulsa #Covidchella a epicfail</t>
  </si>
  <si>
    <t>LIVE: President Trump in Rio Rancho, NM</t>
  </si>
  <si>
    <t>LIVE: President Trump in Tulsa, Oklahoma auf Deutsch übersetzt</t>
  </si>
  <si>
    <t>President Trump's Bipartisan Leadership Is Making A Difference!</t>
  </si>
  <si>
    <t>President Trump Full Speech at Keep America Great Rally in Tulsa 6/20/20</t>
  </si>
  <si>
    <t>LIVE: President Trump in Las Vegas, NV</t>
  </si>
  <si>
    <t>QUIZ: Guess Who Nancy Pelosi Is Talking About?!</t>
  </si>
  <si>
    <t>Trump's ramp walk: a "slippery" slope | AFP</t>
  </si>
  <si>
    <t>LIVE: President Trump in Macon, GA</t>
  </si>
  <si>
    <t>LIVE: President Trump in North Charleston, SC</t>
  </si>
  <si>
    <t>Democrats Are Blocking Aid For Small Businesses</t>
  </si>
  <si>
    <t>Watch NBC News NOW Live - June  19</t>
  </si>
  <si>
    <t>Trump fans at Tulsa rally react to Trumps ambling speech</t>
  </si>
  <si>
    <t>Hundreds line up early to get into Trump rally at Tulsa arena I ABC7</t>
  </si>
  <si>
    <t>LIVE: The Great American Comeback Festival in Tulsa, OK</t>
  </si>
  <si>
    <t>Late Night On Trump’s Tulsa Rally Flop</t>
  </si>
  <si>
    <t>WATCH: Trump supporters wait in line for President Trump's Tulsa rally</t>
  </si>
  <si>
    <t>President Trump Holds Rally in Oklahoma | LIVE</t>
  </si>
  <si>
    <t>Six Trump campaign staffers working on Tulsa rally test positive for Covid-19</t>
  </si>
  <si>
    <t>Trump Struggles w/ Ramps &amp; Water at West Point</t>
  </si>
  <si>
    <t>Some Oregon GOP state senators flee state rather than vote on climate bill</t>
  </si>
  <si>
    <t>LIVE: President Trump in Orlando, FL</t>
  </si>
  <si>
    <t>WATCH: Trump explains VIRAL ramp descent, water sipping moments during Tulsa rally</t>
  </si>
  <si>
    <t>Trump Rally Tulsa 100s &amp; 100s of Empty seats - What happened To Trumps Million people going</t>
  </si>
  <si>
    <t>Thousands Gather in Tulsa Ahead of Trump Campaign Rally</t>
  </si>
  <si>
    <t>Trump’s ‘Racist Baby’ Video Tweet Flagged as Altered Media</t>
  </si>
  <si>
    <t>Diamond &amp; Silk EXPLOSIVE Speech at Trump Rally in Tulsa, OK 6/20/20</t>
  </si>
  <si>
    <t>WATCH LIVE: Trump inside Tulsa, Oklahoma's @BOKCenter for his first rally since March</t>
  </si>
  <si>
    <t>WATCH LIVE: Trump holds rally in Tulsa, Oklahoma</t>
  </si>
  <si>
    <t>Trump Supporters Sacrifice Themselves For Trump</t>
  </si>
  <si>
    <t>Smaller Crowd Than Expected At President Trump's Tulsa Rally</t>
  </si>
  <si>
    <t>Questions over strength of Trump campaign after Tulsa crowd falls short</t>
  </si>
  <si>
    <t>President Trump holds rally in Cincinnati, OH , live stream</t>
  </si>
  <si>
    <t>Trump Holds MAGA Rally in Tulsa</t>
  </si>
  <si>
    <t>Trump calls the coronavirus the ‘kung flu’</t>
  </si>
  <si>
    <t>Trump  rally in Tulsa</t>
  </si>
  <si>
    <t>Trump competes in the 2020 West Point Ramp Stakes</t>
  </si>
  <si>
    <t>ESPN host: Black people should vote for GOP</t>
  </si>
  <si>
    <t>Crece la preocupación en Tulsa debido al acto de campaña del presidente Trump | Telemundo</t>
  </si>
  <si>
    <t>Fox’s Chris Wallace HUMILIATES Trump aide over empty seats at Tulsa rally</t>
  </si>
  <si>
    <t>Full Speech: Donald Trump and Sarah Palin stop in Tulsa to speak at the Mabee Center</t>
  </si>
  <si>
    <t>President Trump holds rally in Tulsa, Oklahoma</t>
  </si>
  <si>
    <t>Watch live: President Trump holds first rally in months in Tulsa, Okla.</t>
  </si>
  <si>
    <t>Trump rally in Tulsa, Oklahoma, fails to draw large crowd | DW News</t>
  </si>
  <si>
    <t>President Donald Trump rally in Tulsa | Happening now</t>
  </si>
  <si>
    <t>Trump holds roundtable on 'transition to greatness' at Gateway Church ⁠— 6/11/2020</t>
  </si>
  <si>
    <t>LIVE: President Trump holds campaign rally in Tulsa, Oklahoma</t>
  </si>
  <si>
    <t>Trump defends his slow walk down West Point ramp</t>
  </si>
  <si>
    <t>Trump's Tulsa rally in less than 4 minutes</t>
  </si>
  <si>
    <t>Tulsa Rally Endangering Trump Supporters? | The View</t>
  </si>
  <si>
    <t>Trump departs Tulsa on Air Force 1 following MAGA rally</t>
  </si>
  <si>
    <t>Trump torches media coverage of West Point ramp walk in fiery rant at rally</t>
  </si>
  <si>
    <t>President Trump holds rally in Tulsa, Okla. amid pandemic, anti-Black racism protests | FULL</t>
  </si>
  <si>
    <t>LIVE: President Trump in Tulsa, Oklahoma</t>
  </si>
  <si>
    <t>Stelter: Trump was trolled at his rally</t>
  </si>
  <si>
    <t>President Trump holds rally in Tulsa, Oklahoma, amid coronavirus spread concerns</t>
  </si>
  <si>
    <t>Pres. Trump's Gives Bizarre Ramp Rant At Tulsa Rally | NowThis</t>
  </si>
  <si>
    <t>Veteran GOP Strategist Warns The Trump Campaign Should Be Worried About Florida | Deadline | MSNBC</t>
  </si>
  <si>
    <t>EN VIVO: El presidente Donald Trump lanza su campaña de reelección en Orlando, Florida</t>
  </si>
  <si>
    <t>Trump staffers test positive for Covid-19 after Tulsa rally</t>
  </si>
  <si>
    <t>Official: President Trump 'very upset' with Tulsa rally turnout</t>
  </si>
  <si>
    <t>President Trump holds rally in Orlando, Florida, live stream</t>
  </si>
  <si>
    <t>Trump, White House Coronavirus Task Force Hold Briefing | NBC News</t>
  </si>
  <si>
    <t>Teens Use TikTok to Sabotage President Trump's Tulsa Rally</t>
  </si>
  <si>
    <t>Melania Trump Rates The President's Performance At His Tulsa Rally Debacle</t>
  </si>
  <si>
    <t>Trump holds campaign rally in Minneapolis amid impeachment inquiry</t>
  </si>
  <si>
    <t>Trump holds 'Make America Great Again!' rally in Tulsa</t>
  </si>
  <si>
    <t>Trump’s Tulsa Rally Flop | The Daily Social Distancing Show</t>
  </si>
  <si>
    <t>For all media inquiries please contact via Twitter.
_xD83C__xDF2D_Donate To Support The Stream:
 https://streamlabs.com/portlandandy 
Google Pay: therealportlandandy@gmail.com
Cash App: $PortlandAndy
Get $5.00 free dollars from Cash App , use my invite link:  
https://cash.app/app/CPWQWWN
Join Patreon: 
https://www.patreon.com/portlandandy
Mail
Portland Andy
515 NW Saltzman Rd. #710
Portland OR 97229
Send Food:  
https://treatstream.com/y/treat/portland-andy
Merch: 
 https://teespring.com/stores/portland-andy
https://streamlabs.com/portlandandysdeuce#/merch 
https://streamlabs.com/portlandandy/v2/merch
Subscribe to my gaming channel: https://www.youtube.com/channel/UCJa6fZGcW5Es4Aei3YUJt9w?sub_confirmation=1
Instagram - https://www.instagram.com/portland_andy/
Twitter – https://twitter.com/CxPortl
Reddit - https://www.reddit.com/r/PortlandAndy
Discord https://discord.gg/TgF289m
#IRL
#livestream
#Oregon</t>
  </si>
  <si>
    <t>*** Support Ranting Monkey ***  
Streamlabs:    https://streamlabs.com/rantingmonkey
Merchandise: https://teespring.com/stores/ranting-monkey
Patreon:         https://www.patreon.com/rantingmonkey 
Jack’s Streamlab: https://streamlabs.com/badcomicreviewsstreams
**On Social Media***  
Twitter:
Monkey- https://twitter.com/Ranting_Monkey
Jack - https://twitter.com/TheJackCochran
***Streams 6 Nights A Week 9PM EST*** Mon/Thu - Satsu, Tue/Fri - Scribe, Wed/Sat - Monkey 
Scribe’s Channel: https://www.youtube.com/channel/UCSjdLK4vhH4SWU3jhJs85WQ 
Scribe’s Twitter: https://twitter.com/Scribe_Light 
Satsu’s Channel: https://www.youtube.com/channel/UCMn-k2u3YaiVEGQuEOrfTLg 
Satsu’s Twitter: https://twitter.com/Satsu2Cents 
Gaming
Ranting Monkey Games: https://www.youtube.com/channel/UCN6bhpQRyjA7nPRd6nZrVXQ
2CentsPlus: https://www.youtube.com/channel/UCrKSU7hwr4zEOy_Cp_SYt7Q. 
Bad Comic Reviews: https://www.youtube.com/c/BadComicReviews …
Roll for Sanity: https://www.youtube.com/c/rollforsanity 
The Jack Cochran: https://www.youtube.com/c/thejackcochran …
Fortean: https://www.youtube.com/c/forteanresearch ��
Bad Comic Review Stream: https://www.youtube.com/channel/UCkLraCqx3CdUU_MldkJkang …</t>
  </si>
  <si>
    <t>チャンネル登録お願いします！
⬇︎挨拶を使わせていただいたYouTuberの皆様（五十音順）
・アバンティーズ
　https://www.youtube.com/user/avntisdouga
・ヴァンゆんチャンネル【VAMYUN】　
　https://www.youtube.com/channel/UCftut9Z6S48igRNSQRDpCCg
・エミリンチャンネル
　https://www.youtube.com/channel/UCq3YtFr5JWvID4iK9HyrM3Q
・おるたなChannel 
　https://www.youtube.com/user/torokeroTV
・カジサック KAJISAC
　https://www.youtube.com/channel/UC642pLj4GXSj-0Ybdx3ytmA
・かの/カノックスター
　https://www.youtube.com/channel/UCh6eUVqErIE0B38vbIRzUqQ
・きまぐれクックKimagure Cook
　https://www.youtube.com/user/toruteli
・QuizKnock
　https://www.youtube.com/channel/UCQ_MqAw18jFTlBB-f8BP7dw
・さんこいち
　https://www.youtube.com/channel/UCMOWCrRrcdSRT7dCR_dB7qA
・スカイピース
　https://www.youtube.com/channel/UC8_wmm5DX9mb4jrLiw8ZYzw
・SeikinTV
　https://www.youtube.com/user/SeikinTV
・SekineRisa
　https://www.youtube.com/user/SekineRisa
・積分サークル
　https://www.youtube.com/channel/UC82NEkDVsBe6nAPTgR8yy7w
・瀬戸弘司 / Koji Seto
　https://www.youtube.com/user/eguri89
・東海オンエア
　https://www.youtube.com/user/TokaiOnAir
・nanakoななこ
　https://www.youtube.com/channel/UC3swo6utVXOSYwxazwoKWBQ
・はじめしゃちょー（hajime）
　https://www.youtube.com/user/0214mex
・パパラピーズ
　https://www.youtube.com/channel/UCwN4CR-bDM9ZjvPhb44AfxQ
・Hikakin TV
　https://www.youtube.com/user/HikakinTV
・ヒカル（Hikaru）
　https://www.youtube.com/channel/UCaminwG9MTO4sLYeC3s6udA
・Fischer's-フィッシャーズ-
　https://www.youtube.com/user/MASAIandHamzael
・フワちゃんTV /FUWACHAN TV　　　　
　https://www.youtube.com/channel/UC1B51m7HSWGpm_qDDgoIeqA
・MasuoTV
　https://www.youtube.com/user/MasuoTV
・マックスむらい
　https://www.youtube.com/user/TheMaxMurai
・マホトMAHOTO
　https://www.youtube.com/channel/UCzZ-KUDsYfv2oeAq5AjU6vw
・水溜りボンド
　https://www.youtube.com/channel/UCpOjLndjOqMoffA-fr8cbKA
・MONSTERsJOHN TV【漫画アニメ考察外国人】
　https://www.youtube.com/user/john69110
・夕闇に誘いし漆黒の天使達
　https://www.youtube.com/channel/UC169FIKMFQKr1n65N3UcQag
・ゆきりぬ
　https://www.youtube.com/channel/UCMsuwHzQPFMDtHaoR7_HDxg
・予備校のノリで学ぶ「大学の数学・物理」
　https://www.youtube.com/channel/UCqmWJJolqAgjIdLqK3zD1QQ
編集：ノラ
●はなおのtwitter→　https://twitter.com/hanao87_0
●でんがんのtwitter→ https://twitter.com/dengan875
◆メインチャンネル
https://www.youtube.com/channel/UCPyN...
◆株式会社ほえい（サブチャンネル）
https://www.youtube.com/channel/UCYeE...
◆はなおのすみっこ（はなおのサブチャンネル）
https://www.youtube.com/channel/UCaZS509NGqGc5ue_vfGisFQ
◆日常でんがん（でんがんのサブチャンネル）
https://www.youtube.com/channel/UCxIPzBJ59q3Bv9pNmCYIC_g
★ほえいTシャツ、事案パーカーなどのグッズはこちら。
https://muuu.com/users/c3e0ac0befcd9bc2
★オハエリスメンテンTシャツ・パーカーはこちらから。
◆https://www.ttrinity.jp/shop/hanao/
チャンネルのBGM担当&amp;EDテーマ「これからの歌」作曲：YASUHIRO(康寛)さま
https://www.youtube.com/user/ZARK3235
動画内の画像素材提供 : PIXTA　
その他楽曲提供：Production Music by http://www.epidemicsound.com 
                    フリーBGM DOVA-SYNDROME by http://dova-s.jp/
このチャンネルでは主にはなおでんがんとその他癖のある輩がわちゃわちゃするチャンネルです。
まだまだ小物ですが逆にそれが良さということでもう自ら開き直り、大物の道を目指す、そんなジャイアントキリリンな物語性も感じさせる、そんなチャンネルとなっております。今年は特技とか増やしたいですね。目指せZeppなんば。2020年もどうぞよろしくお願いいたします。</t>
  </si>
  <si>
    <t>Minha Loja: https://www.lojarenatogarcia.com.br/
MercadoLivre: https://eshops.mercadolivre.com.br/LOJARENATOGARCIA
 ●Instagram: https://www.instagram.com/renatogarciayt
●Twitter: https://twitter.com/renatogarciayt
●Facebook: https://www.facebook.com/renatogarciayoutube
ME ENVIE PRESENTES ! 
Caixa Postal: 8748
CEP: 86020980
LONDRINA - PR 
MEU SEGUNDO CANAL: https://www.youtube.com/channel/UClUN2J5hwEsE6_sKW3SPlMg
●Contato para parcerias e eventos: renatogarcia.comercial@gmail.com</t>
  </si>
  <si>
    <t>GRAND THEFT AUTO V (GTA 5, GTA V): Esto PASA si un PRESO / REO ESCAPA de la CÁRCEL / PRISION en Grand Theft Auto 5! Si quieres que suba más vídeos de Misterios y Curiosidades de este juego de Rockstar Games dale un buen like, debo de aclarar que esto no es una Creepypasta. Like para más Creepypastas, retos a las 3:00 AM, Momentos Divertidos, Mods, Trolleos en GTA 5 y más!!
Esto PASA si un PRESO ESCAPA de la CÁRCEL en GTA 5... Grand Theft Auto V - GTA V Mods
_xD83D__xDD34_SUSCRIBETE: 
https://www.youtube.com/channel/UC3osN7-7XJq3NEoKZIUUx0w?sub_confirmation=1
⚫NEGOCIOS:
negociosemastersensei@gmail.com
_xD83D__xDD35_TWITTER: 
https://twitter.com/e_master_sensei
⚫INSTAGRAM: 
https://www.instagram.com/e_mastersensei
_xD83D__xDD35_FACEBOOK
https://www.facebook.com/emastersensei</t>
  </si>
  <si>
    <t>撮影協力：mipig cafe 原宿
https://mipig.cafe/
やっぴ
https://www.youtube.com/channel/UCG937GJ3sH_WLE06qGqwulg
エミリンこと大松絵美です！
_xD83D__xDC47_ツイッター_xD83D__xDC47_
https://mobile.twitter.com/oomatsuemi
_xD83D__xDC47_インスタ_xD83D__xDC47_
 https://www.instagram.com/emirin1004
お仕事のご依頼はこちらまで
よろしくお願いいたします。
info@emirinch.com
ファンレター、プレゼントの宛先はこちらまで！
■宛先
101-0021　東京都千代田区外神田3-16-12 アキバCOビル2F ガジェット通信フロア
ガジェクリファンレター「エミリン」宛
■注意事項
・飲食物のお取り扱いは致しかねます。
・３辺(幅、高さ、奥行き)の合計が130cm以上、重量20㎏を超えるものは、
　お送り頂く前に必ずご相談下さい。
・宛名はお間違えのないよう正確にご記入ください。登録されていない宛名での受け取りはできかねます。
・何らかの損害が発生した場合、責任は負いかねますことをご了承ください。</t>
  </si>
  <si>
    <t>US President Donald Trump’s rally in Tulsa, Oklahoma, is “one of the worst things that can be done” to spread COVID-19 with tens of thousands in close quarters and many more outside, Cypress College’s Professor Peter Mathews says.
“It’s just a petri dish,” he told Sky News.
“People with no masks required to be worn, just handing out masks to be voluntarily worn.
“Not required to wear face masks, not required to social distance, but if you do get sick you can’t sue us.
“It’s just a horrible fiasco right now, and I think that it should’ve been stopped by a judge from taking place.”
His remarks come after six staffers working on Mr Trump’s rally tested positive for COVID-19.
“Many more will be carrying it to other parts of the country because these are not just Oklahoma, these are thousands from around the surrounding states who are coming to attend this rally,” Professor Mathews said.
Image: AP</t>
  </si>
  <si>
    <t>Monday, May 20, 2019: Join RSBN's Max Kleiber, Tom O'Neill, Jordan Parker, Baylor Cook and cameraman Gage Fuller for live coverage as President Donald J. Trump holds a MAGA rally at the Energy Aviation Hangar in Montoursville, PA. President Trump is expected to speak at 7:00pm EDT.
#Trump #Live #MAGA
_xD83D__xDD34_  Subscribe to RSBN for more LIVE streams and Breaking NEWS: http://bit.ly/2gDGbkh
_xD83D__xDD34_  Donate to RSBN and help keep us on the air: http://rsbn.tv/donate
_xD83D__xDD34_  Follow us on Twitter for breaking news updates: http://twitter.com/RSBNetwork
_xD83D__xDD34_  Like us on Facebook for more live streams and updates: http://facebook.com/rightsidebroadcasting
_xD83D__xDD34_ LIVE NOW: President Donald Trump MAGA Rally in Montoursville, PA 5/20/19</t>
  </si>
  <si>
    <t>Donate to help us get to future rallies: https://rsbnetwork.com/donate
Monday, March 2, 2020: Join RSBN for LIVE coverage from Charlotte, NC as President Donald Trump holds a Keep America Great rally at The Bojangles Coliseum. President Trump is expected to speak at 7:00pm EST.
_xD83D__xDD34_ President Donald Trump Keep America Great Rally LIVE in Charlotte, NC 3/2/20
_xD83D__xDD34_  Subscribe to RSBN for more LIVE streams and Breaking NEWS: http://bit.ly/2gDGbkh
_xD83D__xDD34_  Donate to RSBN and help keep us on the air: http://rsbn.tv/donate
_xD83D__xDD34_  Follow us on Twitter for breaking news updates: http://twitter.com/RSBNetwork
_xD83D__xDD34_  Like us on Facebook for more live streams and updates: http://facebook.com/rightsidebroadcasting</t>
  </si>
  <si>
    <t>‘I’m not involved,’ President Trump said on Saturday as he denied involvement in firing Geoffrey Berman, Manhattan’s top federal prosecutor. 
Subscribe: http://smarturl.it/reuterssubscribe
Reuters brings you the latest business, finance and breaking news video from around the globe.  Our reputation for accuracy and impartiality is unparalleled.
Get the latest news on: http://reuters.com/
Follow Reuters on Facebook: https://www.facebook.com/Reuters
Follow Reuters on Twitter: https://twitter.com/Reuters
Follow Reuters on Instagram: https://www.instagram.com/reuters/?hl=en</t>
  </si>
  <si>
    <t>Donald Trump’s people were forced to cancel the second half of Trump’s Tulsa speech - the outdoor portion - because there weren’t any people there to hear it. This is a major blow to Trump and his ego, as Ring of Fire’s Farron Cousins explains.</t>
  </si>
  <si>
    <t>Tulsa Trump Rally  countdown LIVE outside Trump Tulsa Rally
https://youtu.be/BeeAFB49xCM
LIVE: outside Trump Tulsa Rally President Donald Trump Rally in Tulsa, OK 6/20/20
LIVE: outside Trump Tulsa Rally President Donald Trump Rally in Tulsa, OK 6/20/20
LIVE: outside Trump Tulsa Rally President Donald Trump Rally in Tulsa, OK 6/20/20</t>
  </si>
  <si>
    <t>Canal de Games: https://goo.gl/BHD7sB
♦ Redes Sociais:
Snapchat: dudukof
Instagram: http://goo.gl/hYNGE6 @EduKof
Twitter: https://goo.gl/feFHSj @EduKof
♦ Contato Comercial: contato-edukof@hotmail.com
♦ ChipArt Sociais:
MEU COMPUTADOR: https://goo.gl/XUe9UV
Canal: https://www.youtube.com/user/CanalChipart
Facebook: https://www.facebook.com/chipart.informatica
#EduKof #Breakmen</t>
  </si>
  <si>
    <t>Watch live as President Donald J. Trump holds a MASSIVE rally in Grand Rapids, MI. Video feed courtesy of Right Side Broadcasting Network (RSBN).
President Trump Rally LIVE in Grand Rapids, MI 3/28/19</t>
  </si>
  <si>
    <t>Click below to subscribe now!
http://www.youtube.com/c/GOP?sub_confirmation=1
http://www.GOP.com</t>
  </si>
  <si>
    <t>Watch live from Tulsa, Oklahoma, as Republican supporters arrive for President Donald Trump's campaign rally at the BOK Arena. 
TO SUBSCRIBE TO OUR Channel kindly click here- https://www.youtube.com/channel/UCtbIXV1_D-5n0YzLrrgQjrA?sub_confirmation=1 
At ABC News Global Channel, we focus on people and events that affect people's lives. We bring topics to light that often go under-reported, listening to all sides of the story and giving a 'voice to the voiceless.'
Reaching more than 320 million households in over 120 countries across the globe, our viewers trust ABC News Global to keep them informed, inspired, and entertained.
Our impartial, fact-based reporting wins worldwide praise and respect. It is our unique brand of #journalism that the world has come to rely on.
We are reshaping global media and constantly working to strengthen our reputation as one of the world's most respected #news and #Current Affairs channels.
For any Business enquiries please contact us on +27813345509 or reach us via WhatsApp on +66808182557 available 24/7.
---------------------------------------------
Reuse Allowed!
---------------------------------------------
Our concepts of making videos are to combine (merge) multiple compilations video that has taken shot by famous Photographer who has to allow their footage reuse, which also helps them to promote their channel. The combine or compilation ingredient and make a new enjoyable video is also my favorites part of this channel. 
All Credits appropriately mentioned on Description based on Creative Common License; however, If you need a photo, video, or song removed on my channel, please E-mail me. I will Appreciate your concerned with regards. 
Disclaimer:
This video is for promotional use only. We do not own the rights.
Copyright Disclaimer under Section 107 of the Copyright Act 1976, allowance is made for "fair use" for purposes such as criticism, comment, news reporting, teaching, scholarship, and research. Fair use is a use permitted by copyright statute that might otherwise be infringing. Non-profit, educational or personal use tips the balance in favor of fair use. ALL RIGHTS BELONG TO THEIR RESPECTIVE OWNERS
Our understanding is that these videos are in correlation to Fair Right Use, however given that it is open to interpretation, if you identify a video on this channel that infringes your copyright, privately send us an email on khozajm86@gmail.com and we will remove it immediately. We take seriously all copyright infringement claims.
We can also give Credit to your Channels to promote, in order to get more viewers and subscribers visiting your channel by adding your Channel link on your video Description.
Please don't forget to subscribe to ABC News Global Official YouTube Channel and turn on NOTIFICATION:
https://www.youtube.com/channel/UCtbIXV1_D-5n0YzLrrgQjrA
God Bless all our Viewers. Enjoy!</t>
  </si>
  <si>
    <t>Click to subscribe now to see every #MAGA rally!.
http://www.youtube.com/c/GOP?sub_confirmation=1</t>
  </si>
  <si>
    <t>Imagine a ballot being sent to a person regardless of eligibility, signed by someone else, picked up and delivered by a campaign operative, and still counted.
Democrats are trying to legalize ballot harvesting nationwide, and it’s why we are fighting to http://ProtectTheVote.com!
Click below to subscribe now!
http://www.youtube.com/c/GOP?sub_confirmation=1
http://www.GOP.com</t>
  </si>
  <si>
    <t>Dejected Trump returns to Washington after Kpop &amp; Ticktock stans made Tulsa #Covidchella a epicfail https://youtu.be/L4QZ_XJcXjA</t>
  </si>
  <si>
    <t>Make America Great Again! Rally - Tulsa,  Live Übersetzung auf Deutsch
Die Übersetzung wird durchgeführt von TranslatedPress
Bei Translated Presse übersetzen wir weltweit die wichtigsten Pressemeldungen aus Wirtschaft und Politik, direkt und neutral.
Quellen
https://www.whitehouse.gov/
https://www.youtube.com/channel/UCYxRlFDqcWM4y7FfpiAN3KQ
Übersetzt von: Markus Gern 
TranslatedPress Channels
Facebook: https://www.facebook.com/TranslatedPress-Deutsch-100203795049291/
YouTube: https://www.youtube.com/channel/UClU7WlDqiDZLgMAT4HxrK-A
Kontakt TranslatedPress
info@translatedpress.com
Impressum
TranslatedPress Schweiz
Saleway GmbH
Schulhausgässli 4
3098 Köniz
#TranslatedPresDeutsch #DonaldTrump #TrumpRally2020</t>
  </si>
  <si>
    <t>President Trump Full Speech at Keep America Great Rally in Tulsa 6/20/20
_xD83D__xDD34_  Subscribe to RSBN for more LIVE streams and Breaking NEWS: http://bit.ly/2gDGbkh
_xD83D__xDD34_  Donate to RSBN and help keep us on the air: http://rsbn.tv/donate
_xD83D__xDD34_  Follow us on Twitter for breaking news updates: http://twitter.com/RSBNetwork
_xD83D__xDD34_  Like us on Facebook for more live streams and updates: http://facebook.com/rightsidebroadcasting</t>
  </si>
  <si>
    <t>Scrutiny of a US president's health is always intense, and Donald Trump has generally appeared vigorous for his age. On Saturday the president walked down a long ramp after delivering a speech at West Point. He later called the descent "very slippery" adding that "the last thing I was going to do is 'fall' for the Fake News to have fun with".
Subscribe to AFP and activate your notifications to get the latest news _xD83D__xDD14_
http://www.youtube.com/channel/UC86dbj-lbDks_hZ5gRKL49Q/?sub_confirmation=1</t>
  </si>
  <si>
    <t>NBC News NOW is live, reporting breaking news and developing stories in real time. We are on the scene, covering the most important stories of the day and taking deep dives on issues you care about.  
» Subscribe to NBC News: http://nbcnews.to/SubscribeToNBC
» Watch more NBC video: http://bit.ly/MoreNBCNews
NBC News Digital is a collection of innovative and powerful news brands that deliver compelling, diverse and engaging news stories. NBC News Digital features NBCNews.com, MSNBC.com, TODAY.com, Nightly News, Meet the Press, Dateline, and the existing apps and digital extensions of these respective properties.  We deliver the best in breaking news, live video coverage, original journalism and segments from your favorite NBC News Shows.
Connect with NBC News Online!
NBC News App: https://apps.nbcnews.com/mobile
Breaking News Alerts: https://link.nbcnews.com/join/5cj/breaking-news-signup?cid=sm_npd_nn_yt_bn-clip_190621
Visit NBCNews.Com: http://nbcnews.to/ReadNBC
Find NBC News on Facebook: http://nbcnews.to/LikeNBC
Follow NBC News on Twitter: http://nbcnews.to/FollowNBC
Follow NBC News on Instagram: http://nbcnews.to/InstaNBC
#Coronavirus #COVID19 #StayHome
Full NBC News NOW Coverage - June 19 | NBC News Now</t>
  </si>
  <si>
    <t>Trump fans at Tulsa rally react to Trumps ambling speech
https://youtu.be/Z8VCiwCZDyg</t>
  </si>
  <si>
    <t>President Trump's rally in Tulsa is shaping up to be one of the biggest indoor events in the U.S. since the coronavirus pandemic -- and officials expect a crowd of 100,000 people or more downtown, with clashes already sparking between protesters and supporters. https://abc7.com/6257531</t>
  </si>
  <si>
    <t>Text TRUMP to 88022</t>
  </si>
  <si>
    <t>“He’s the president of the United States, and they’re treating him like the least popular band at Coachella.” Late night hosts had a field day after President Donald Trump’s Tulsa rally fell short of expectations.
Subscribe to HuffPost today: http://goo.gl/xW6HG
Support our work: https://www.huffpost.com/subscribe
Read: https://www.huffpost.com/
Like: https://www.facebook.com/HuffPost
Follow: https://twitter.com/huffpost</t>
  </si>
  <si>
    <t>Crowds in Tulsa, OK on Saturday waited in line to enter the venue of President Trump's Saturday rally.</t>
  </si>
  <si>
    <t>TRUMP RALLIES IN OKLAHOMA: Pres. Trump is in Tulsa, OK where he is holding his first rally since the coronavirus pandemic swept the U.S. Oklahoma recently reported its highest single-day increase in new coronavirus cases, as it has seen an 110% increase in the average number of new cases per day from just last week. Tulsa County has the most cases of any county in the state with over 1,800 infections. NBC News reports that both Dr. Anthony Fauci and Dr. Deborah Birx of the White House Coronavirus Task Force voiced their opposition to the rally, while Tulsa Health Dept. Executive Director Dr. Bruce Dart told CNN that the rally is a ‘perfect storm of disease transmission.’ Earlier today the Trump campaign confirmed that six staffers working in Tulsa had tested positive for COVID-19, and officials said these staffers will not attend tonight’s rally. Social distancing will not be enforced at the indoor gathering of 19,000 people, and though masks will be handed out, officials say wearing them will be optional, claiming that attendees ‘assume a personal risk’ and ‘that is part of life.’</t>
  </si>
  <si>
    <t>The Trump campaign confirmed six staffers working on the Tulsa rally tested positive for coronavirus, per Campaign Communications Director Tim Murtaugh. #CNN #News</t>
  </si>
  <si>
    <t>James Corden kicks off his show with 3 Things, starting with an examination of President Donald Trump's weekend at West Point's commencement, where he struggled to drink water and descend a ramp, the latter which he poorly explained on Twitter after.
More Late Late Show:
Subscribe: http://bit.ly/CordenYouTube
Watch Full Episodes: http://bit.ly/1ENyPw4
Facebook: http://on.fb.me/19PIHLC
Twitter: http://bit.ly/1Iv0q6k
Instagram: http://bit.ly/latelategram
Watch The Late Late Show with James Corden weeknights at 12:35 AM ET/11:35 PM CT. Only on CBS.
Get new episodes of shows you love across devices the next day, stream live TV, and watch full seasons of CBS fan favorites anytime, anywhere with CBS All Access. Try it free! http://bit.ly/1OQA29B
---
Each week night, THE LATE LATE SHOW with JAMES CORDEN throws the ultimate late night after party with a mix of celebrity guests, edgy musical acts, games and sketches. Corden differentiates his show by offering viewers a peek behind-the-scenes into the green room, bringing all of his guests out at once and lending his musical and acting talents to various sketches. Additionally, bandleader Reggie Watts and the house band provide original, improvised music throughout the show. Since Corden took the reigns as host in March 2015, he has quickly become known for generating buzzworthy viral videos, such as Carpool Karaoke."</t>
  </si>
  <si>
    <t>All Oregon Republican state senators have walked out of the Capitol to avoid voting on a climate bill that would put a hard cap on greenhouse gas emissions. Brooke Baldwin discusses with CNN's Chris Cillizza and Democratic presidential candidate Gov. Jay Inslee.
#CNN #News</t>
  </si>
  <si>
    <t>During a rally in Tulsa, OK, President Trump explained his viral moments during his speech at West Point involving descending a ramp and sipping water from a glass.</t>
  </si>
  <si>
    <t>Trump Rally Tulsa 100s &amp; 100s of Empty seats - What happened To Trumps Million people going https://youtu.be/Gj5T3lAaKTU</t>
  </si>
  <si>
    <t>In these aerial shots, thousands of people are seen gathered in front of Tulsa, Oklahoma's BOK Center, hours before President Donald Trump's first campaign rally since March.
The Tulsa, Oklahoma, rally on Saturday was supposed to signal that America is well on its way back to normal after weathering both the coronavirus outbreak and nationwide protests against police brutality. 
And the event was just as much about lifting the president’s own morale, following broad criticism of his response to the virus crisis and the unrest, according to officials familiar with the campaign.
Subscribe to our YouTube channel: https://bit.ly/2TwO8Gm
QUICKTAKE ON SOCIAL:
Follow QuickTake on Twitter: twitter.com/quicktake
Like QuickTake on Facebook: facebook.com/quicktake
Follow QuickTake on Instagram: instagram.com/quicktake
Subscribe to our newsletter: https://bit.ly/2FJ0oQZ
Email us at quicktakenews@gmail.com
QuickTake by Bloomberg is a global news network delivering up-to-the-minute analysis on the biggest news, trends and ideas for a new generation of leaders.</t>
  </si>
  <si>
    <t>Twitter labeled a "racist baby" tweet posted by President Trump as manipulated media that contained images designed to mislead. It was the third time the social media platform has acted against Trump in recent weeks over posts that were not factual. The altered video was posted late Thursday by the president. It showed a black toddler running from a white toddler and was manipulated to look like a CNN broadcast, along with a fake caption that claimed, “Racist baby probably a Trump voter.”</t>
  </si>
  <si>
    <t>WATCH: Diamond &amp; Silk's EXPLOSIVE Speech at Trump Rally in Tulsa, OK 6/20/20
_xD83D__xDD34_  Subscribe to RSBN for more LIVE streams and Breaking NEWS: http://bit.ly/2gDGbkh
_xD83D__xDD34_  Donate to RSBN and help keep us on the air: http://rsbn.tv/donate
_xD83D__xDD34_  Follow us on Twitter for breaking news updates: http://twitter.com/RSBNetwork
_xD83D__xDD34_  Like us on Facebook for more live streams and updates: http://facebook.com/rightsidebroadcasting</t>
  </si>
  <si>
    <t>President Donald Trump will look to draw on the energy of his biggest fans Saturday night in Tulsa, even while shadowed by the coronavirus pandemic, rocky race relations, the release of a damaging new book, and other tumult.
The president was due to speak twice in Oklahoma’s second-largest city, once at an outdoor “Great American Comeback” celebration and later at his signature campaign rally inside the 19,199-capacity BOK Center. His outdoor remarks, where Trump was scheduled to address the overflow crowd, were canceled shortly before they were scheduled to start.
Vice President Mike Pence will be on hand after flying to Tulsa separately from the president.
Rallies were the centerpiece of Trump’s 2016 presidential campaign and have continued through his presidency. The Tulsa rally is Trump’s first since March 3 in Charlotte, when the coronavirus pandemic precipitated shelter in place guidelines.
The virus, and the Trump administration’s response, continues to shadow events. The huge, indoor gathering has been tagged by health experts as a potential Covid-19 superspreader event given the thousands of attendees sitting or standing shoulder-to-shoulder for hours with no social distancing. Face masks and hand sanitizer are on offer, but many in the arena are going mask-free.
On a day where U.S. coronavirus cases had the biggest reported jump in three weeks, six members of Trump’s advance team tested positive for Covid-19 and were sent to quarantine. Oklahoma has among the fewest incidences of coronavirus in the U.S. but its caseload now tops 10,000.
Trump, mostly confined to the White House for three months with a few side trips, including to the West Point graduation ceremony last weekend, has been drawing energy from the event.
In a tweet Friday, he expressed excitement, saying that there are “big crowds and lines already forming” and that his campaign “starts” on Saturday night.
Even at the height of the pandemic the president longed for a resumption of the raucous events, which are designed to tap into the enthusiasm of his most hard-core voters.
“For me, it’s a tremendous way of getting the word out,” Trump said in response to a question at an April 17 White House press briefing on the coronavirus pandemic. “I hope we’re going to have rallies. I think they’re going to be bigger than ever.”
The president warned Friday that authorities would treat protesters more harshly than in other major U.S. cities where anti-brutality demonstrations have taken place.
Police in Tulsa were braced for unrest, and protesters jostled with Trump supporters near the stadium.
“Protestors interfered with supporters, even blocking access to the metal detectors, which prevented people from entering the rally,” said Tim Murtaugh, a campaign spokesman.
Trump moved the rally back a day after initially scheduling it for Juneteenth, a commemoration of the end of slavery, drawing criticism that he was insensitive to the plight of African Americans. Tulsa is the site of one of the worst incidents of racial violence in American history, the 1921 sacking of a prosperous Black neighborhood named Greenwood by a White mob.
His campaign is sending more than 50 of its surrogates to the rally, including a large contingent representing the campaign’s outreach initiative called “Black Voices for Trump.”
In the hours before his arrival, Trump courted new controversy as Geoffrey S. Berman, the chief federal prosecutor in New York, resigned after a remarkable stand-off with Attorney General William Barr and contradictory comments from the president.
Subscribe to our YouTube channel: https://bit.ly/2TwO8Gm
QUICKTAKE ON SOCIAL:
Follow QuickTake on Twitter: twitter.com/quicktake
Like QuickTake on Facebook: facebook.com/quicktake
Follow QuickTake on Instagram: instagram.com/quicktake
Subscribe to our newsletter: https://bit.ly/2FJ0oQZ
Email us at quicktakenews@gmail.com
QuickTake by Bloomberg is a global news network delivering up-to-the-minute analysis on the biggest news, trends and ideas for a new generation of leaders.</t>
  </si>
  <si>
    <t>Stream your PBS favorites with the PBS app: https://to.pbs.org/2Jb8twG
Find more from PBS NewsHour at https://www.pbs.org/newshour
Subscribe to our YouTube channel: https://bit.ly/2HfsCD6
Follow us:
Facebook: http://www.pbs.org/newshour
Twitter: http://www.twitter.com/newshour
Instagram: http://www.instagram.com/newshour
Snapchat: @pbsnews
Subscribe:
PBS NewsHour podcasts: https://www.pbs.org/newshour/podcasts
Newsletters: https://www.pbs.org/newshour/subscribe</t>
  </si>
  <si>
    <t>Trump supporters sacrifice their lives for Donald Trump. John Iadarola and Jayar Jackson break it down on The Damage Report. Follow The Damage Report on Facebook: https://www.facebook.com/TheDamageReportTYT/
Help build the Home of the Progressives http://tyt.com/JOIN
Subscribe to The Damage Report YouTube channel: https://www.youtube.com/thedamagereport?sub_confirmation=1
Follow The Damage Report on Twitter: https://twitter.com/TheDamageReport
Read more here: https://www.tulsaworld.com/news/local/covid-19-spike-in-new-cases-continues-tuesday-as-oklahoma-reports-another-new-high/article_bea47715-0b9c-59e3-bbfa-76e17b905e78.html 
"Tuesday marked the highest single-day total yet in new COVID-19 cases in Oklahoma.
That count came on the heels of successive days in which the deadly disease has far exceeded peaks in April and on the lead up-to significant political activity in downtown Tulsa.
Tulsa County has the highest number (1,729) of confirmed cases of any county in the state, despite having a population more than 20% smaller than Oklahoma County, the state’s most populous county, which has reported 1,673 cases.
Tulsa County also reported its highest seven-day rolling average, 66.9 new cases, since the pandemic began, according to the Tulsa County Health Department’s website.
State health officials reported 228 new COVID-19 cases on Tuesday in Oklahoma, according to data from the Oklahoma State Department of Health. Four more people died, including two in Tulsa County. There have been a total of 363 deaths and 8,645 infections since March in Oklahoma."
#TheDamageReport #JohnIadarola #TheYoungTurks</t>
  </si>
  <si>
    <t>President Donald Trump held his first campaign rally in months in Tulsa, Oklahoma. As CBS News’ Omar Villafranca reports, the crowd was much smaller than the campaign expected.</t>
  </si>
  <si>
    <t>There could be a shake-up in the Trump campaign after the president's Tulsa rally failed to fill arena seats. In his speech, the president suggested a slowdown of coronavirus testing. This comes as former national security adviser John Bolton slams President Trump in his new book. CBS News White House correspondent Weijia Jiang joins CBSN with the latest developments. (Disclosure: Bolton's book is published by Simon &amp; Schuster, a division of ViacomCBS).</t>
  </si>
  <si>
    <t>President Trump is rallying his supporters in Cincinnati, Ohio, as he looks to rev up his base. The Buckeye State is key to Mr. Trump's reelection, and the president's campaign knows it. The rally is scheduled to begin at 7 p.m. ET..
For live updates: https://www.cbsnews.com/news/trump-rally-cincinnati-today-2020-campaign-us-bank-arena-live-stream-updates-2019-08-01/
--
Subscribe to the CBS News Channel HERE: http://youtube.com/cbsnews
Watch CBSN live HERE: http://cbsn.ws/1PlLpZ7
Follow CBS News on Instagram HERE: https://www.instagram.com/cbsnews/
Like CBS News on Facebook HERE: http://facebook.com/cbsnews
Follow CBS News on Twitter HERE: http://twitter.com/cbsnews
Get the latest news and best in original reporting from CBS News delivered to your inbox. Subscribe to newsletters HERE: http://cbsn.ws/1RqHw7T
Get your news on the go! Download CBS News mobile apps HERE: http://cbsn.ws/1Xb1WC8
Get new episodes of shows you love across devices the next day, stream CBSN and local news live, and watch full seasons of CBS fan favorites like Star Trek Discovery anytime, anywhere with CBS All Access. Try it free! http://bit.ly/1OQA29B
---
CBSN is the first digital streaming news network that will allow Internet-connected consumers to watch live, anchored news coverage on their connected TV and other devices. At launch, the network is available 24/7 and makes all of the resources of CBS News available directly on digital platforms with live, anchored coverage 15 hours each weekday. CBSN. Always On.</t>
  </si>
  <si>
    <t>This is the first massive gathering of Americans since the lockdown. All eyes on Tulsa, Oklahoma tonight.
#trump #tusla
_xD83D__xDD25_ Get 2 Free Stocks on WeBull when you deposit $100 (Valued up to $1,400): ➜ http://bit.ly/2xlc0q9
-----------------
DISCLAIMER: I am not a financial adviser. I only express my opinion based on my experience. Your experience may be different. These videos are for educational and inspirational purposes only. Investing of any kind involves risk. While it is possible to minimize risk, your investments are solely your responsibility. It is imperative that you conduct your own research. There is no guarantee of gains or losses on investments.
AFFILIATE DISCLOSURE: Some of the links on this channel are affiliate links, meaning, at NO additional cost to you, I may earn a commission if you click through and make a purchase and/or subscribe. However, this does not impact my opinion. We recommend them because they are helpful and useful, not because of the small commissions we make if you decide to use their services. Please do not spend any money on these products unless you feel you need them or that they will help you achieve your goals.</t>
  </si>
  <si>
    <t>At his rally in Tulsa, Okla., President Trump used racist language and claimed he wanted to slow testing for COVID-19.</t>
  </si>
  <si>
    <t>President Trump holding his first rally sence the onset of the COVID19 pandemic</t>
  </si>
  <si>
    <t>President Trump and Lt. General Darryl A. Williams are the heavy betting favorites at this year's West Point Ramp Stakes. Watch the full segment on CBS All Access. #TOTN #TooningOut
Tooning Out The News is Now Streaming, only on CBS All Access.
Subscribe To "CBS All Access" Channel HERE: https://bit.ly/39BLBSh
For more content from "Tooning Out The News", click HERE: https://bit.ly/3bE6AFv
Watch full episodes of "Tooning Out The News" HERE: https://bit.ly/2UxQqrz
Follow "Tooning Out The News" on Twitter HERE: https://twitter.com/tooningout
Follow "Tooning Out The News" on Instagram HERE: https://www.instagram.com/tooning.out/
Like "Tooning Out The News" on Facebook HERE: https://www.facebook.com/tooningout/
Clip air date 6/16/2020
© 2020 CBS Interactive. All rights reserved.
CBS All Access. IT'S ON.
Sign Up: https://bit.ly/2D3jkGr
Visit: https://www.cbs.com/
#CBSAllAccess #CBS</t>
  </si>
  <si>
    <t>Stephen A. Smith says that black voters in the U.S. should vote for the GOP in the next election.</t>
  </si>
  <si>
    <t>Video oficial de Noticias Telemundo. La ciudad del estado de Oklahoma será el escenario de una presentación pública del mandatario a realizarse el sábado en un estadio con capacidad para 19,000 personas. El Departamento de Salud de la ciudad pidió a los asistentes tomar precauciones.
Descarga nuestra App:
https://telemundo.app.link/8005Db9UP6
SUSCRÍBETE: https://bit.ly/TLMDNoticiasYT
Noticias
Este es el canal en Youtube de la división de noticias de la cadena Telemundo en los Estados Unidos. El "Noticiero Telemundo”, presentado entre semana por José Díaz-Balart -y fines de semana por Julio Vaqueiro- es el programa insignia de la división y la fuente de información más confiable de la comunidad hispana en los Estados Unidos. El programa “Enfoque con José Díaz-Balart” y los eventos especiales de la cadena, forman parte del compromiso de Telemundo para llevar a los hispanos información política y social que pueda guiarlos en los Estados Unidos. El galardonado equipo de corresponsales y colaboradores de Noticias, ofrece las últimas noticias, entrevistas con personajes claves, análisis y comentarios sobre el acontecer nacional e internacional.
Telemundo App
Telemundo - Capítulos Completos es tu destino digital para disfrutar la programación que te gusta! Mira episodios completos de tus shows favoritos de Telemundo, televisión en vivo y contenido exclusivo al descargar el app Telemundo - Capítulos Completos y entrar con tu cuenta de proveedor de TV.
Telemundo
Es una empresa de medios de primera categoría, líder en la industria en la producción y distribución de contenido en español de alta calidad a través de múltiples plataformas para hispanos en los Estados Unidos y alrededor del mundo. La cadena ofrece producciones dramáticas originales de Telemundo Studios – el productor #1 de contenido en español de horario estelar – así como contenido alternativo, películas de cine, especiales, noticias y eventos deportivos de primer nivel, alcanzando el 94% de los televidentes hispanos en los Estados Unidos en 210 mercados a través de 17 estaciones propias y 57 afiliadas de TV abierta. Telemundo también es propietaria de WKAQ, una estación de televisión local que sirve Puerto Rico. Telemundo es parte de NBCUniversal Telemundo Enterprises, una división de NBCUniversal, una de las compañías líderes en el mundo de los medios y entretenimiento. NBCUniversal es una subsidiaria de Comcast Corporation.
SÍGUENOS EN TWITTER: http://bit.ly/1OLjUGl
DANOS LIKE EN FACEBOOK: http://on.fb.me/1VXiWwo
Crece la preocupación en Tulsa debido al acto de campaña del presidente Trump | Telemundo
https://www.youtube.com/noticias</t>
  </si>
  <si>
    <t>BREAKING: Fox News’ Chris Wallace just HUMILIATED a Trump aide on air over empty seats at the Tulsa rally.
To demand TV networks stop booking Trump’s lying mouthpieces, sign here _xD83D__xDC49_ https://odaction.com/btc-stopnetworks/
Subscribe for more and follow me here:
PODCAST: https://apple.co/36UvEHs
(or search for "No Lie with Brian Tyler Cohen" on your preferred podcast platform)
TWITTER: https://twitter.com/briantylercohen
INSTAGRAM: https://www.instagram.com/briantylercohen
FACEBOOK: https://www.facebook.com/briantylercohen
PATREON: https://www.patreon.com/briantylercohen
Please sign up for updates on my new projects below:
https://www.briantylercohen.com/sign-up/
Sources:
https://www.forbes.com/sites/andrewsolender/2020/06/21/turnout-at-trumps-tulsa-rally-was-just-under-6200a-fraction-of-the-venues-19200-capacity/#8d6f7191fed5
https://www.nytimes.com/2020/06/17/us/politics/joe-biden-campaign-event.html</t>
  </si>
  <si>
    <t>Full Speech: Donald Trump and Sarah Palin stop in Tulsa to speak at the Mabee Center
◂
KJRH - 2 News Works for You - brings you the latest trusted news and information for Tulsa, Green Country and Northeast Oklahoma.
Tulsa’s 2 News Works for You is your on-air, online, and mobile source for the latest breaking news, weather, investigative, in-depth and consumer reporting.
For more download the 2 News mobile app:
iPhone:  http://bit.ly/iOS-kjrh
Android:  http://bit.ly/kjrh-android</t>
  </si>
  <si>
    <t>Supporters of President Donald Trump filled streets around the Tulsa stadium Saturday, where the president is holding his first rally in months. Many in the crowd were hoping to be among the first inside the 19,000+ seat BOK Center for what is expected to be the biggest indoor event the country has seen since restrictions to prevent the COVID-19 virus began in March.
MORE: https://www.wcnc.com/article/news/nation-world/trump-tulsa-rally/507-186ef61b-57b3-4884-993f-8a062445a7b9</t>
  </si>
  <si>
    <t>Watch Live: President Trump addresses supporters at Tulsa, Okla. rally. This is his first rally in months despite warnings from health officials about the coronavirus and the possibility of conflicts with protesters.
More: https://www.khou.com/article/news/nation-world/trump-tulsa-rally/507-186ef61b-57b3-4884-993f-8a062445a7b9</t>
  </si>
  <si>
    <t>US President Donald Trump has held his first campaign rally in more than three months, addressing a smaller than predicted crowd of supporters at an arena in Tulsa, Oklahoma. Trump took aim at the media, blaming them for the low turnout with talk of violent protests and the dangers of coronavirus. Infections are on the rise in Tulsa, including six staffers on Trump's advance team who tested positive. While there were some confrontations between Trump supporters and Black Lives Matters protesters, demonstrations outside the venue were peaceful. Both Trump and Vice President Mike Pence were scheduled to speak to supporters at an outdoor overflow area. But that part of the rally was abruptly canceled due to low attendance. DW's Stefan Simons is on the ground in Tulsa.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#Trump #Tulsa #UsElections2020</t>
  </si>
  <si>
    <t>Officials said they expected some 100,000 people in the Oklahoma city's downtown as the president holds his first rally in months.
Read on: https://www.11alive.com/article/news/nation-world/trump-tulsa-rally/507-186ef61b-57b3-4884-993f-8a062445a7b9
Follow 11Alive on Social: 
Facebook: https://www.facebook.com/11Alive/
Twitter: https://twitter.com/11AliveNews 
Instagram: https://www.instagram.com/11Alive/  
Subscribe to 11Alive for exclusive content: http://bit.ly/11AliveSubscribe 
Visit Site: https://www.11Alive.com/</t>
  </si>
  <si>
    <t>President Donald Trump participates in a roundtable on "Transition to Greatness: Restoring, Rebuilding, and Renewing" at Gateway Church Dallas Campus.
» Subscribe to CNBC TV: https://cnb.cx/SubscribeCNBCtelevision
» Subscribe to CNBC: https://cnb.cx/SubscribeCNBC
» Subscribe to CNBC Classic: https://cnb.cx/SubscribeCNBCclassic
Turn to CNBC TV for the latest stock market news and analysis. From market futures to live price updates CNBC is the leader in business news worldwide.
Connect with CNBC News Online
Get the latest news: http://www.cnbc.com/
Follow CNBC on LinkedIn: https://cnb.cx/LinkedInCNBC
Follow CNBC News on Facebook: https://cnb.cx/LikeCNBC
Follow CNBC News on Twitter: https://cnb.cx/FollowCNBC
Follow CNBC News on Instagram: https://cnb.cx/InstagramCNBC
#CNBC
#CNBCTV
Trump holds roundtable on 'transition to greatness' at Gateway Church in Dallas ⁠— 6/11/2020</t>
  </si>
  <si>
    <t>During his first campaign rally in months, President Trump told the Tulsa crowd on June 20 that there was more to the story of his experience at a West Point commencement. Read more: https://wapo.st/3hNyRxq. SPECIAL OFFER: To thank you for your support, here’s a deal on a Washington Post digital subscription: $29 for one year http://washingtonpost.com/youtubeoffer.
Subscribe to The Washington Post on YouTube: https://wapo.st/2QOdcqK
Follow us:
Twitter: https://twitter.com/washingtonpost
Instagram: https://www.instagram.com/washingtonpost/
Facebook: https://www.facebook.com/washingtonpost/</t>
  </si>
  <si>
    <t>President Trump held his first campaign rally since March on June 20 in Tulsa, covering a wide range of topics from covid-19, to civil unrest, to his Democratic opponent, former vice president Joe Biden. Read more: https://wapo.st/3emIMaX. SPECIAL OFFER: To thank you for your support, here’s a deal on a Washington Post digital subscription: $29 for one year http://washingtonpost.com/youtubeoffer.
Subscribe to The Washington Post on YouTube: https://wapo.st/2QOdcqK
Follow us:
Twitter: https://twitter.com/washingtonpost
Instagram: https://www.instagram.com/washingtonpost/
Facebook: https://www.facebook.com/washingtonpost/</t>
  </si>
  <si>
    <t>The co-hosts discuss Pres. Trump restarting his campaign rallies in a city seeing a rise in COVID-19 cases as the nation still faces a pandemic amid protests in many cities.
Subscribe to our YouTube channel: http://bit.ly/2Ybi4tM 
MORE FROM 'THE VIEW':
Full episodes: http://abcn.ws/2tl10qh
Twitter: http://twitter.com/theview
Facebook: http://facebook.com/TheView
Instagram: http://instagram.com/theviewabc</t>
  </si>
  <si>
    <t>Watch Live: President Trump departs Tulsa following first rally since March. #FoxNews
(Courtesy: KOKI)
Subscribe to Fox News! https://bit.ly/2vBUvAS
Watch more Fox News Video: http://video.foxnews.com
Watch Fox News Channel Live: http://www.foxnewsgo.com/
FOX News Channel (FNC) is a 24-hour all-encompassing news service delivering breaking news as well as political and business news. The number one network in cable, FNC has been the most-watched television news channel for 18 consecutive years. According to a 2020 Brand Keys Consumer Loyalty Engagement Index report, FOX News is the top brand in the country for morning and evening news coverage. A 2019 Suffolk University poll named FOX News as the most trusted source for television news or commentary, while a 2019 Brand Keys Emotion Engagement Analysis survey found that FOX News was the most trusted cable news brand. A 2017 Gallup/Knight Foundation survey also found that among Americans who could name an objective news source, FOX News was the top-cited outlet. Owned by FOX Corporation, FNC is available in nearly 90 million homes and dominates the cable news landscape, routinely notching the top ten programs in the genre.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https://www.instagram.com/foxnews/om/</t>
  </si>
  <si>
    <t>President Trump addresses his walk down the ramp at West Point after addressing graduates at his campaign rally in Tulsa, Oklahoma. #FoxNews
Subscribe to Fox News! https://bit.ly/2vBUvAS
Watch more Fox News Video: http://video.foxnews.com
Watch Fox News Channel Live: http://www.foxnewsgo.com/
FOX News Channel (FNC) is a 24-hour all-encompassing news service delivering breaking news as well as political and business news. The number one network in cable, FNC has been the most-watched television news channel for 18 consecutive years. According to a 2020 Brand Keys Consumer Loyalty Engagement Index report, FOX News is the top brand in the country for morning and evening news coverage. A 2019 Suffolk University poll named FOX News as the most trusted source for television news or commentary, while a 2019 Brand Keys Emotion Engagement Analysis survey found that FOX News was the most trusted cable news brand. A 2017 Gallup/Knight Foundation survey also found that among Americans who could name an objective news source, FOX News was the top-cited outlet. Owned by FOX Corporation, FNC is available in nearly 90 million homes and dominates the cable news landscape, routinely notching the top ten programs in the genre.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https://www.instagram.com/foxnews/om/</t>
  </si>
  <si>
    <t>U.S. President Donald Trump held a campaign rally in Tulsa, Okla. on Saturday, which was the president's first since the coronavirus pandemic began in the country.
Trump's rally was originally set for Friday, which was met with controversy amid observation of Juneteenth — a holiday celebrating the day in 1865 that all enslaved Black people in the U.S. learned they had been freed.
During the rally, Trump said he had asked U.S. officials to slow down testing for the novel coronavirus, calling it a "double-edged sword" that led to more cases being discovered. He said the United States had now tested 25 million people.
Trump also criticized anti-racism protests that have occurred across the U.S. in recent weeks, saying that demonstrators are "trying to vandalize our history" and "desecrate our monuments."
Joe Biden is the presumed Democratic candidate who will go up against Trump in the presidential election, which will be held on Nov. 3.
For more info, please go to https://globalnews.ca/news/7064243/coronavirus-trump-rally/
Subscribe to Global News Channel HERE: http://bit.ly/20fcXDc
Like Global News on Facebook HERE: http://bit.ly/255GMJQ
Follow Global News on Twitter HERE: http://bit.ly/1Toz8mt
Follow Global News on Instagram HERE: https://bit.ly/2QZaZIB
#DonaldTrump #Rally #USpolitics #GlobalNews</t>
  </si>
  <si>
    <t>CNN's Brian Stelter calls out President Trump and his staff for overestimating the number of people expected to attend his rally in Tulsa, Oklahoma. #CNN #News</t>
  </si>
  <si>
    <t>President Trump holds rally in Tulsa, Oklahoma, amid coronavirus spread concerns
#PresidentTrumprally #PresidentTrumpTulsa #PresidentTrump
Subscribe to Yahoo Finance: https://yhoo.it/2fGu5Bb
About Yahoo Finance: 
At Yahoo Finance, you get free stock quotes, up-to-date news, portfolio management resources, international market data, social interaction and mortgage rates that help you manage your financial life.
Connect with Yahoo Finance:
Get the latest news: https://yhoo.it/2fGu5Bb
Find Yahoo Finance on Facebook: http://bit.ly/2A9u5Zq
Follow Yahoo Finance on Twitter: http://bit.ly/2LMgloP
Follow Yahoo Finance on Instagram: http://bit.ly/2LOpNYz</t>
  </si>
  <si>
    <t>The President of the United States just spent 9 minutes explaining why he couldn’t walk down a ramp or drink a cup of water.
» Subscribe to NowThis: http://go.nowth.is/News_Subscribe
» Sign up for our newsletter KnowThis to get the biggest stories of the day delivered straight to your inbox: https://go.nowth.is/KnowThis
In US news and current events today, watch President Trump's 9 minute rant about his ability to walk down a ramp and drink water from his Tulsa, Oklahoma rally. 
For more Trump news, U.S. politics, and 2020 election coverage, subscribe to NowThis News.
#Trump #Tulsa #Politics #News #NowThis #NowThisNews
Connect with NowThis
» Like us on Facebook: http://go.nowth.is/News_Facebook
» Tweet us on Twitter: http://go.nowth.is/News_Twitter
» Follow us on Instagram: http://go.nowth.is/News_Instagram
» Find us on Snapchat Discover: http://go.nowth.is/News_Snapchat
NowThis is your premier news outlet providing you with all the videos you need to stay up to date on all the latest in trending news. From entertainment to politics, to viral videos and breaking news stories, we’re delivering all you need to know straight to your social feeds. We live where you live.
http://www.youtube.com/nowthisnews
@nowthisnews</t>
  </si>
  <si>
    <t>Republican Voters Against Trump co-founder Mike Murphy discusses polling out of Duval county in Florida that shows Trump trailing Biden by 8 points and Jacksonville residents are worried the RNC convention will cause a new coronavirus outbreak. Aired on 06/23/2020.
» Subscribe to MSNBC: http://on.msnbc.com/SubscribeTomsnbc
MSNBC delivers breaking news, in-depth analysis of politics headlines, as well as commentary and informed perspectives. Find video clips and segments from The Rachel Maddow Show, Morning Joe, Meet the Press Daily, The Beat with Ari Melber, Deadline: White House with Nicolle Wallace, Hardball, All In, Last Word, 11th Hour, and more.
Connect with MSNBC Online
Visit msnbc.com: http://on.msnbc.com/Readmsnbc
Subscribe to MSNBC Newsletter: http://MSNBC.com/NewslettersYouTube
Find MSNBC on Facebook: http://on.msnbc.com/Likemsnbc
Follow MSNBC on Twitter: http://on.msnbc.com/Followmsnbc
Follow MSNBC on Instagram: http://on.msnbc.com/Instamsnbc
Veteran GOP Strategist Warns The Trump Campaign Should Be Worried About Florida | Deadline | MSNBC</t>
  </si>
  <si>
    <t>Video oficial de Noticias Telemundo. El presidente Donald Trump lanza su campaña de reelección en Orlando, Florida.
SUSCRÍBETE: http://bit.ly/1JI1uXV
Noticias
Este es el canal en Youtube de la división de noticias de la cadena Telemundo en los Estados Unidos. El ""Noticiero Telemundo”, presentado entre semana por José Díaz-Balart -y fines de semana por Julio Vaqueiro- es el programa insignia de la división y la fuente de información más confiable de la comunidad hispana en los Estados Unidos. El programa “Enfoque con José Díaz-Balart” y los eventos especiales de la cadena, forman parte del compromiso de Telemundo para llevar a los hispanos información política y social que pueda guiarlos en los Estados Unidos. El galardonado equipo de corresponsales y colaboradores de Noticias, ofrece las últimas noticias, entrevistas con personajes claves, análisis y comentarios sobre el acontecer nacional e internacional.
SUSCRÍBETE: http://bit.ly/1JI1uXV
Telemundo
Es una división de Empresas y Contenido Hispano de NBCUniversal, liderando la industria en la producción y distribución de contenido en español de alta calidad a través de múltiples plataformas para los hispanos en los EEUU y a audiencias alrededor del mundo. Ofrece producciones originales, películas de cine, noticias y eventos deportivos de primera categoría y es el proveedor de contenido en español número dos mundialmente sindicando contenido a más de 100 países en más de 35 idiomas.
SIGUENOS EN TWITTER: http://bit.ly/1OLjUGl
DANOS LIKE EN FACEBOOK: http://on.fb.me/1VXiWwo
GOOGLE+: http://bit.ly/1P0PaSC</t>
  </si>
  <si>
    <t>Two staffers who attended President Donald Trump's rally in Tulsa, Oklahoma, on Saturday tested positive for coronavirus, Trump's campaign said.
"After another round of testing for campaign staff in Tulsa, two additional members of the advance team tested positive for the coronavirus. These staff members attended the rally but were wearing masks during the entire event. Upon the positive tests, the campaign immediately activated established quarantine and contact tracing protocols," Trump campaign communications director Tim Murtaugh told CNN in a statement.
The two positive tests, first reported by CNBC, bring the total number of Trump advance team staffers in Tulsa who tested positive for coronavirus to eight.
Hours before Trump's Saturday rally, the campaign said that six staffers working on the rally tested positive for coronavirus.
Murtaugh said in a statement then that "per safety protocols, campaign staff are tested for COVID-19 before events. Six members of the advance team tested positive out of hundreds of tests performed, and quarantine procedures were immediately implemented."
"No COVID-positive staffers or anyone in immediate contact will be at today's rally or near attendees and elected officials," he said.
#Covid #CNN #News</t>
  </si>
  <si>
    <t>Just fewer than 6,200 people attended President Donald Trump's rally in Tulsa, Oklahoma, the Tulsa Fire Department said Sunday -- a figure Trump's reelection campaign is disputing as it also seeks to blame "radical" protesters and the media for it's smaller-than-expected crowd size.
#CNN #News</t>
  </si>
  <si>
    <t>President Trump is officially launching his 2020 reelection campaign on Tuesday night in Orlando, Florida -- one of the swing states that fueled his poll-defying victory in 2016. Follow live updates here: https://www.cbsnews.com/live-news/trump-rally-orlando-florida-today-2020-campaign-amway-center-live-stream-updates-2019-06-17/
--
Subscribe to the CBS News Channel HERE: http://youtube.com/cbsnews
Watch CBSN live HERE: http://cbsn.ws/1PlLpZ7
Follow CBS News on Instagram HERE: https://www.instagram.com/cbsnews/
Like CBS News on Facebook HERE: http://facebook.com/cbsnews
Follow CBS News on Twitter HERE: http://twitter.com/cbsnews
Get the latest news and best in original reporting from CBS News delivered to your inbox. Subscribe to newsletters HERE: http://cbsn.ws/1RqHw7T
Get your news on the go! Download CBS News mobile apps HERE: http://cbsn.ws/1Xb1WC8
Get new episodes of shows you love across devices the next day, stream CBSN and local news live, and watch full seasons of CBS fan favorites like Star Trek Discovery anytime, anywhere with CBS All Access. Try it free! http://bit.ly/1OQA29B
---
CBSN is the first digital streaming news network that will allow Internet-connected consumers to watch live, anchored news coverage on their connected TV and other devices. At launch, the network is available 24/7 and makes all of the resources of CBS News available directly on digital platforms with live, anchored coverage 15 hours each weekday. CBSN. Always On.</t>
  </si>
  <si>
    <t>Watch coronavirus livestream coverage of the outbreak as COVID-19 spreads, impacting markets and daily life across the U.S. and abroad.
» Subscribe to NBC News: http://nbcnews.to/SubscribeToNBC
» Watch more NBC video: http://bit.ly/MoreNBCNews
NBC News Digital is a collection of innovative and powerful news brands that deliver compelling, diverse and engaging news stories. NBC News Digital features NBCNews.com, MSNBC.com, TODAY.com, Nightly News, Meet the Press, Dateline, and the existing apps and digital extensions of these respective properties.  We deliver the best in breaking news, live video coverage, original journalism and segments from your favorite NBC News Shows.
Connect with NBC News Online!
NBC News App: https://apps.nbcnews.com/mobile
Breaking News Alerts: https://link.nbcnews.com/join/5cj/breaking-news-signup?cid=sm_npd_nn_yt_bn-clip_190621
Visit NBCNews.Com: http://nbcnews.to/ReadNBC
Find NBC News on Facebook: http://nbcnews.to/LikeNBC
Follow NBC News on Twitter: http://nbcnews.to/FollowNBC
Follow NBC News on Instagram: http://nbcnews.to/InstaNBC
Trump, White House Coronavirus Task Force Hold Briefing | NBC News</t>
  </si>
  <si>
    <t>Was President Donald Trump's Saturday rally in Tulsa, Oklahoma sabotaged by an army of internet-savvy teenagers? That's who's taking credit for the rally's paltry turnout of 6,200 in an arena that holds 19,000. Trump’s campaign had boasted that over 1 million people had signed up to attend the rally, only adding to the embarrassment of a mostly-empty stadium. Teenagers across the country are now taking credit for the disaster. They did it by reserving large amounts of free tickets.</t>
  </si>
  <si>
    <t>Stephen asks the First Lady, brilliantly portrayed by our friend Laura Benanti, what she thought of the President's campaign rally in Tulsa and whether or not we should believe the stories about her in the book "The Art of Her Deal." #StephenAtHome #LauraBenanti #MelaniaTrump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</si>
  <si>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President Trump is rallying supporters in freshman Democrat Rep. Ilhan Omar's district in his first campaign rally since the House began its impeachment inquiry. #FoxNewsLive #FoxNews
FOX News operates the FOX News Channel (FNC), FOX Business Network (FBN), FOX News Radio, FOX News Headlines 24/7, FOXNews.com and the direct-to-consumer streaming service, FOX Nation. FOX News also produces FOX News Sunday on FOX Broadcasting Company and FOX News Edge. A top five-cable network, FNC has been the most watched news channel in the country for 17 consecutive years. According to a 2018 Research Intelligencer study by Brand Keys, FOX News ranks as the second most trusted television brand in the country. Additionally, a Suffolk University/USA Today survey states Fox News is the most trusted source for television news or commentary in the country, while a 2017 Gallup/Knight Foundation survey found that among Americans who could name an objective news source, FOX News is the top-cited outlet. FNC is available in nearly 90 million homes and dominates the cable news landscape while routinely notching the top ten programs in the genre.
Subscribe to Fox News!  https://bit.ly/2vBUvAS
Watch more Fox News Video: http://video.foxnews.com
Watch Fox News Channel Live: http://www.foxnewsgo.com/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https://www.instagram.com/foxnews/om/</t>
  </si>
  <si>
    <t>President Trump will hold a campaign rally at the BOK Center in Tulsa, Oklahoma. This is the president's first rally since March when he halted the events due to the coronavirus pandemic. The event is expected to begin at 8 p.m. ET. on Saturday, June 20. #FoxBusiness
Subscribe to Fox Business! https://bit.ly/2D9Cdse
Watch more Fox Business Video: https://video.foxbusiness.com
Watch Fox Business Network Live: http://www.foxnewsgo.com/
FOX Business Network (FBN) is a financial news channel delivering real-time information across all platforms that impact both Main Street and Wall Street. Headquartered in New York — the business capital of the world — FBN launched in October 2007 and is one of the leading business networks on television, having topped CNBC in Business Day viewers for the second consecutive year in 2018. The network is available in nearly 80 million homes in all markets across the United States. Owned by FOX Corporation, FBN is a unit of FOX News Media and has bureaus in Chicago, Los Angeles, and Washington, D.C.
Watch full episodes of FBN Primetime shows
Lou Dobbs Tonight: https://video.foxbusiness.com/playlist/longform-lou-dobbs-tonight
Kennedy: https://video.foxbusiness.com/playlist/longform-kennedy
Follow Fox Business on Facebook: https://www.facebook.com/FoxBusiness
Follow Fox Business on Twitter: https://twitter.com/foxbusiness
Follow Fox Business on Instagram: https://www.instagram.com/foxbusiness</t>
  </si>
  <si>
    <t>President Trump’s Tulsa rally had a lower turnout than expected after TikTok teens and K-Pop fans flooded Trump’s campaign with false registrations, and Trump seems noticeably disheartened by the low attendance. #DailyShow #TrevorNoah #Trump
Donate to support the National Black Justice Coalition: https://dailyshow.com/NBJC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Daily Show correspondents tackle the biggest stories in news, politics and pop culture.
The Daily Show with Trevor Noah airs weeknights at 11/10c on Comedy Central.</t>
  </si>
  <si>
    <t>chris cuomo andrew cuomo washington post</t>
  </si>
  <si>
    <t>RENATO GARCIA RENATO DA XJ6 RENATO CAMARO DAILY VLOG</t>
  </si>
  <si>
    <t>gta v gta 5 Grand Theft Auto V grand theft auto 5 gta Grand Theft Auto gta 5 mods gta v mods gta v online gta 6 prision carcel alcatraz escapo que pasa mods mod misterio misterios humor funny moments gameplay curiosidades curiosidad gta5 gtav gta vi prison jail e-mastersensei e-master sensei emastersensei emaster sensei e mastersensei e master sensei fernanfloo gta 5 pepito el crack pepito el crack 11 noob pro trolleo que pasa si michael franklin trevor</t>
  </si>
  <si>
    <t>world msn yt fb 6166053150001</t>
  </si>
  <si>
    <t>Trump Rally Live Trump rally live Live now Montoursville Pennsylvania Trump live now #MAGA #Trump #Live RSBN</t>
  </si>
  <si>
    <t>Donald Trump President Trump Rally Trump rally Live Trump rally live RSBN Right SIde Broadcasting Keep America Great Charlotte North Carolina</t>
  </si>
  <si>
    <t>reuters news politics top news headlines breaking news news today donald trump william barr geoffrey berman</t>
  </si>
  <si>
    <t>Aljazeera Latest News Jawar Mohammed tells Aljazeera Meles foold Westerners and China August 21 2012</t>
  </si>
  <si>
    <t>LIVE: outside Trump Tulsa Rally President Donald Trump Rally in Tulsa OK 6/20/20
LIVE: outside Trump Tulsa Rally President Donald Trump Rally in Tulsa OK 6/20/20 tulsa rbn right side broadcasting rightside broadcasting network rbn tulsa trump rally 2020 trump rally tulsa full live trump rally watch trump rally</t>
  </si>
  <si>
    <t>VLOG Estados Unidos EUA Brasil Brazil Breakmen Casa House</t>
  </si>
  <si>
    <t>Trump rally Grand Rapids Michigan Live Donald Trump #Trump #Rally #Live MAGA RSBN</t>
  </si>
  <si>
    <t>Google President America USA Attack Ad GOP Video Politics Election White House Search Elections DNC Democrat Republican National Committee Washington DC D.C. Breaking News Web Commercial RNC Bing Recap Update Film Senate Senator Congress Congressman Capitol Hill Report Reporter Twitter Facebook yt:quality=high</t>
  </si>
  <si>
    <t>LIVE NOW: Trump Supporters Flood Tulsa Oklahoma for Campaign Rally donald trump president trump trump tulsa rally tulsa rally trump rally train italy brock lesnar wrestling network oklahoma city coronavirus pandemic coronavirus update coronavirus cases campaign rally bok center bilbo baggins actor tulsa oklahoma trump juneteenth tulsa massacre tulsa rally date abc news global</t>
  </si>
  <si>
    <t>maga make america great again trump donald trump Donald trump potus president of the united states gop RNC republican national committee gop youtube gop live rnc livestream trump live trump rally trump rally tonight donald trump live live video trump today rally trump live speech trump north carolina trump charlotte trump nc trump charlotte north carolina trump live tonight</t>
  </si>
  <si>
    <t>maga make america great again trump donald trump Donald trump potus president of the united states gop RNC republican national committee gop youtube gop live rnc livestream trump live trump rally trump rally tonight donald trump live live video trump today rally trump live speech trump live tonight indiana trump indiana trump fort wayne trump in trump fort wayne indiana</t>
  </si>
  <si>
    <t>maga make america great again trump donald trump Donald trump potus president of the united states gop RNC republican national committee gop youtube gop live rnc livestream trump live trump rally trump rally tonight donald trump live live video trump today rally trump live speech trump live tonight trump fort wayne trump in 45 fest trump orlando trump orlando rally trump campaign rally orlando rally 45 fest orlando</t>
  </si>
  <si>
    <t>translatedpress translatedpress live stream translatedpress news translatedpress live translatedpress show nachrichten &amp; politik trump deutsch trump tulsa oklahoma oklahoma trump trump rally tulsa rally donald trump trump tulsa rally campaign rally trump rally tulsa trump rally 2020 trump rally interview</t>
  </si>
  <si>
    <t>Donald Trump President Trump Rally Tulsa Oklahoma Speech RSBN</t>
  </si>
  <si>
    <t>joe biden joe biden sexual assault nancy pelosi sexual assault joe biden tara reade biden sexual assault joe biden accusation biden joe biden sex assualt joe biden interview tara reade sexual assault us military sexual assault pelosi nancy pelosi endorsement nancy pelosi interview sexual misconduct nancy pelosi speech amy lappos joe biden bernie sanders joe biden debate assault</t>
  </si>
  <si>
    <t>US POLITICS TRUMP HEALTH AFP NEWS ACTU INFO</t>
  </si>
  <si>
    <t>maga make america great again trump donald trump Donald trump potus president of the united states gop RNC republican national committee gop youtube gop live rnc livestream trump live trump rally trump rally tonight donald trump live live video trump today rally trump live speech trump live tonight illinois Trump illinois trump murphysboro trump il trump murhysboro illinois</t>
  </si>
  <si>
    <t>Google President America USA Attack Ad GOP Video Politics Election White House Search Elections DNC Democrat Republican National Committee Washington DC D.C. Breaking News Web Commercial RNC Bing Recap Update Film Senate Senator Congress Congressman Capitol Hill Report Reporter Twitter Facebook yt:quality=high PPP Paycheck Protection Program Paycheck Protection Program Small Businesses Loan SBA Pelosi COVID-19</t>
  </si>
  <si>
    <t>COVID-19 Breaking News Trump White House nbc news coronavirus update donald trump live stream Live updates live video Live news NBC News Live NBC News NBC News live Stream Live Streams NBC News NOW NBC News NOW live Nbc NOW george floyd police killing us police george floyd murder african americans justice system police officers police violence george floyd protests black lives matter justice for floyd police corruption excessive force</t>
  </si>
  <si>
    <t>trump rally campaign covid coronavirus masks social distancing fauci physical distancing tulsa oklahoma BOK BOK center arena stadium event</t>
  </si>
  <si>
    <t>huffpost Late Night Donald Trump Tulsa Oklahoma Trevor Noah Stephen Colbert Seth Meyers comedy entertainment James Corden Jimmy Fallon 2020 election rally Tulsa Rally Trump Tulsa Rally Trump Rally</t>
  </si>
  <si>
    <t>Trump trumpsupporters trumpvoters trump2020 biden berniesanders thehill rising krystal saager maga kag oklahoma tulsa</t>
  </si>
  <si>
    <t>Viet Di Tru</t>
  </si>
  <si>
    <t>latest News Happening Now CNN Newsroom Politics Tulsa Abby Phillip</t>
  </si>
  <si>
    <t>The Late Late Show Late Late Show James Corden Corden late night late night show comedy comedian celebrity celeb celebrities CBS joke jokes funny funny videos funny video humor hollywood famous</t>
  </si>
  <si>
    <t>latest News Happening Now CNN Politics US News</t>
  </si>
  <si>
    <t>tulsa oklahoma protests trump trump2020 ramp water trump drinking thehill rising krystal saager</t>
  </si>
  <si>
    <t>quicktake trump trump rally tulsa tulsa oklahoma trump tulsa trump oklahoma BOK Center oklahoma oklahoma trump rally oklahoma rally what time does trump rally start tonight what time is trump rally tomorrow is trump rally televised what time is the trump rally tonight hurricane chris what time trump rally tonight trump rally tulsa televised bilbo baggins what time is trump rally tonight what time does trump rally start trump rally televised katie hopkins</t>
  </si>
  <si>
    <t>trump politics Inside Edition Inside_Edition IE Politics IE Trump trump racist baby trump racist baby video cnn racist baby trump twitter trump violates twitter rules trump fake news trump manipulated media trump altered video of kids hugging</t>
  </si>
  <si>
    <t>Donald Trump President Trump Live Stream Diamond and Silk Tulsa rally</t>
  </si>
  <si>
    <t>trump rally tulsa tulsa massacre trump rally tickets tulsa ok tulsa rally trump rally date tulsa news tulsa massacre 1921 tulsa oklahoma trump rally tulsa tulsa rally date bilbo baggins actor trump rally time oklahoma trump tulsa rally trump rally tulsa ok trump rally live trump tulsa bok center tulsa trump rally what time is the trump rally tonight what time is trump speaking today tulsa weather what time is trump rally tulsa newspaper</t>
  </si>
  <si>
    <t>trump live live trump trump donald trump trump reporters charlotte lice trump rally make america great again trump in oklahoma trump in tulsa oklahoma rally tulsa oklahoma oklahoma tulsa trump heads to oklahoma trump live in tulsa trump live in oklahoma trump rally tulsa tulsa rally pbs pbs newshour watch newshour newshour trump in ok trump in ko</t>
  </si>
  <si>
    <t>200617__DR03RallyUpdate News Politics breaking news The Damage Report TDR John Iadarola Jayar Jackson The Young Turks tyt progressive news progressive media progressives trump news trump news today trump supporters trump fans donald trump trump trump cult trump tulsa rally trump tulsa tulsa rally tulsa massacre trump voter coronavirus news covid news cult mass suicide suicide maga heads maga coronavirus cases covid cases death cult</t>
  </si>
  <si>
    <t>CBS 2 News Evening President Donald Trump Rally Tulsa Oklahoma Omar Villafranca</t>
  </si>
  <si>
    <t>president trump tulsa trump campaign trump 2020 2020 presidential election brad parscale Coronavirus COVID-19 coronavirus testing pandemic John Bolton national security adviser geoffrey berman William Barr attorney general william barr New York Justice Department</t>
  </si>
  <si>
    <t>Make America Great Again MAGA Rally Cincinnati OH President Trump</t>
  </si>
  <si>
    <t>Trump rally oklahoma tulsa</t>
  </si>
  <si>
    <t>Trump Covid-19 Tulsa rally L. A. Times LA Times Los Angeles Times 2020 election 2020 campaign</t>
  </si>
  <si>
    <t>animated variety series Stephen Colbert Chris Licht RJ Fried Tim Luecke animated characters mocking news breaking news TOTN #TOTN</t>
  </si>
  <si>
    <t>CNN News CNN TV CNN Newsroom Smerconish Stephen A. Smith black vote african-american election Republican Party Democratic Party vote stephen a. smith black vote stephen a. smith politics stephen a. smith republican black vote default</t>
  </si>
  <si>
    <t>Telemundo Noticias Noticiero Telemundo Noticas Telemundo Edición Especial Elecciones 2020 Tulsa Oklahoma presidente Donald Trump acto público estadio normas de distanciamiento Crece la preocupación en Tulsa debido al acto de campaña del presidente Trump | Telemundo las noticias de hoy lo ultimo en noticias noticias en español notisias telemundo noticias escenario de una presentación pública del mandatario a realizarse el sábado</t>
  </si>
  <si>
    <t>Brian Tyler Cohen Trump Republicans Democrats brian cohen chris wallace mercedes schlapp trump tulsa rally chris wallace trump tulsa rally fox news chris wallace chris wallace trump mercedes schlapp rally</t>
  </si>
  <si>
    <t>news local news video tulsa kjrh distributable</t>
  </si>
  <si>
    <t>Tulsa rally President Trump Trump rally MAGA rally MAGA 2020 Tulsa Oklahoma Oklahoma rally Trump in Tulsa President Trump rally</t>
  </si>
  <si>
    <t>live houston harris county texas</t>
  </si>
  <si>
    <t>DW News trump tulsa trump tulsa tulsa rally trump rally tulsa us elections us elections 2020 election 2020 juneteenth trump juneteenth black lives matter tulsa juneteenth tulsa protest us protests stefan simons mike pence trump rally turnout trump rally coronavirus trump coronavirus coronavirus oklahoma covid 19 oklahoma covid oklahoma</t>
  </si>
  <si>
    <t>CNBC business news finance stock stock market news channel news station breaking news us news world news cable cable news finance news money money tips trump president trump donald trump jobs report trump administration roundtable gateway church dallas campus trump roundtable transition to greatness restoring rebuilding and renewing reopening coronavirus covid-19 pandemic police brutality racism</t>
  </si>
  <si>
    <t>military make america great again maga republican democrat joe biden biden silk tie trump tie tie water parkinsons presidential campaign trump campaign campaign rally tulsa rally donald trump media west point tulsa trump Washington Post Video News WaPo Video Washington Post YouTube The Washington Post a:oodef t:Original s:Politics</t>
  </si>
  <si>
    <t>tulsa campaign trump trump rally tulsa tulsa trump rally trump coronavirus donald trump trump campaign tulsa campaign rally tulsa rally tulsa trump rally Washington Post Video News WaPo Video Washington Post YouTube The Washington Post a:oodef t:Original s:Politics</t>
  </si>
  <si>
    <t>The View Whoopi Goldberg Joy Behar Meghan McCain Sunny Hostin donald trump rally michael pence Oklahoma coronavirus covid-19 pandemic testing flatten the curve protests spread</t>
  </si>
  <si>
    <t>Trump rally trump rally tulsa trump tulsa tulsa oklahoma trump tulsa rally trump make america great again rally trump air force one trump air force 1 Fox news trump air force 1 fox news trump fox news trump MAGA fox news trump rally trump rally donald trump president trump tulsa rally trump rally tickets tulsa ok fnc fox news fox news channel fox news media fox news network</t>
  </si>
  <si>
    <t>donald trump west point fnc fox news fox news channel fox news media fox news network fox news rally live fox news trump fox news trump rally live fox news trump west point speech president trump president trump tulsa rally rally trump trump drinking water trump ramp trump tulsa rally trump tulsa west point trump water trump west point ramp trump west point rant trump west point tulsa rally tulsa rally west point ramp president west point speech</t>
  </si>
  <si>
    <t>latest News Happening Now CNN Reliable Sources Tulsa Brian Stelter Politics Business</t>
  </si>
  <si>
    <t>DC protests Juneteenth racial equality</t>
  </si>
  <si>
    <t>NowThis Now This News NowThis News Now This Media NowThis Media Current Events news US news current events today donald trump president trump trump rally tulsa rally maga rally tulsa oklahoma trump campaign make america great again president trump speech today trump tulsa rally president trump today president trump west point ramp 2020 election coverage u.s. politics trump trump rant tulsa trump ramp rant trump drinking water trump news rally</t>
  </si>
  <si>
    <t>Deadline Florida Donald Trump Decision 2020 Deadline White House MSNBC NBC News news breaking news us news world news politics business health liberal progressive deadline msnbc white house deadline white house msnbc Veteran GOP Strategist Trump Campaign Veteran GOP Strategist Strategist Warns Trump Republican Voters Against Trump Mike Murphy polling out Duval county Trump trailing Biden Jacksonville RNC convention covid-19 Jacksonville residents</t>
  </si>
  <si>
    <t>UNITED STATES IRMA HURACAN HURRICANE las noticias de hoy lo ultimo en noticias noticias en español noticias internacional noticias telemundo telemundo noticias donald trump noticias de donald trump donald trump habla noticias de estados unidos estados unidos noticias donald trmp en vivo transmision en vivo donald trump en vivo donald trump discurso en vivo noticias de donald trump y estados unidos</t>
  </si>
  <si>
    <t>latest News Happening Now CNN coronavirus covid-19 health politics trump tulsa rally us news</t>
  </si>
  <si>
    <t>latest News Happening Now CNN trump rally covid pandemic coronavirus tulsa</t>
  </si>
  <si>
    <t>cbsn cbs news live video live stream donald trump 2020 United States presidential election florida president of the united states orlando make america great again MAGA kickoff rallying political campaign opinion poll candidate republican party amway center</t>
  </si>
  <si>
    <t>Task force trump briefing trump coronavirus briefing coronavirus white house white house news white house today covid 19 pandemic virus latest politics news NBC news NBC news now President Trump coronavirus task force the White House COVID-19 outbreak coronavirus pandemic coronavirus outbreak coronavirus prevention coronavirus explained covid-19 news covid-19 updates covid-19 outbreak corona coronavirus us coronavirus news coronavirus latest news</t>
  </si>
  <si>
    <t>Inside Edition Inside_Edition IE Politics IE Trump IE TikTok tik tok sabotage trump rally trump tulsa rally flop trump tulsa rally tik tok kids got tickets to trump rally k pop stans trump rally tiktok grandma trump rally k pop stans flood trump brad pascale resume how many people at trump rally 6200 people at trump rally how big is BOK arena trump rally outdoor stage trump rally mostly empty trump rally tulsa turnout</t>
  </si>
  <si>
    <t>The Late Show Late Show Stephen Colbert Steven Colbert Colbert celebrity celeb celebrities late night talk show comedian comedy CBS joke jokes funny funny video funny videos humor hollywood famous</t>
  </si>
  <si>
    <t>Fox News Channel FNC Fox News News Latest News Top stories trump president trump politics trump rally campaign rally maga rally trump rally live trump live stream trump rally live stream trump rally fox news 2020 election trump maga rally fox news live fox news live stream fox live now fox news live streaming fox news live today trump kag rally trump minnesota rally 2019 trump minneapolis ilhan omar impeachment</t>
  </si>
  <si>
    <t>Fox Business Fox Business live Fox Business livestreams livestreams Fox Business news President Trump President Donald Trump Donald Trump donald trump president trump president donald trump Make America Great Again rally Tulsa Oklahoma Oklahoma news politics 2020 presidential election politics news Trump holds campaign rally in Tulsa Trump holds Make America Great Again rally in Tulsa 2020 presidential campaign Trump news latest Trump news US news</t>
  </si>
  <si>
    <t>the daily show trevor noah daily show with trevor noah the daily show episodes comedy central comedians comedian funny video comedy videos funny clips noah trevor daily show trevor news politics daily show trump trevor noah trump trump coronavirus corona virus COVID COVID-19 Trump rally tulsa trump tulsa rally social distancing masks water trump drinking water trump walking down ramp coronavirus testing trump news rally turnout k-pop kpop tiktok</t>
  </si>
  <si>
    <t>Portland Andy</t>
  </si>
  <si>
    <t>Ranting Monkey</t>
  </si>
  <si>
    <t>はなおでんがん</t>
  </si>
  <si>
    <t>Renato Garcia</t>
  </si>
  <si>
    <t>E-MasterSensei</t>
  </si>
  <si>
    <t>エミリンチャンネル</t>
  </si>
  <si>
    <t>Sky News Australia</t>
  </si>
  <si>
    <t>Right Side Broadcasting Network</t>
  </si>
  <si>
    <t>Reuters</t>
  </si>
  <si>
    <t>Bilal Nation</t>
  </si>
  <si>
    <t>The Ring of Fire</t>
  </si>
  <si>
    <t>Tony Dortie - 24/7 Eyes</t>
  </si>
  <si>
    <t>AM3NlC</t>
  </si>
  <si>
    <t>Diamond and Silk - The Viewers View</t>
  </si>
  <si>
    <t>GOP</t>
  </si>
  <si>
    <t>ABC News Global</t>
  </si>
  <si>
    <t>Breitbart News</t>
  </si>
  <si>
    <t>TranslatedPress DE</t>
  </si>
  <si>
    <t>AFP News Agency</t>
  </si>
  <si>
    <t>NBC News</t>
  </si>
  <si>
    <t>ABC7</t>
  </si>
  <si>
    <t>Donald J Trump</t>
  </si>
  <si>
    <t>HuffPost</t>
  </si>
  <si>
    <t>The Hill</t>
  </si>
  <si>
    <t>Việt Di Trú TV</t>
  </si>
  <si>
    <t>CNN</t>
  </si>
  <si>
    <t>The Late Late Show with James Corden</t>
  </si>
  <si>
    <t>Bloomberg QuickTake News</t>
  </si>
  <si>
    <t>Inside Edition</t>
  </si>
  <si>
    <t>PBS NewsHour</t>
  </si>
  <si>
    <t>The Damage Report</t>
  </si>
  <si>
    <t>CBS Chicago</t>
  </si>
  <si>
    <t>CBS News</t>
  </si>
  <si>
    <t>Morris Invest</t>
  </si>
  <si>
    <t>Los Angeles Times</t>
  </si>
  <si>
    <t>FOX10 News</t>
  </si>
  <si>
    <t>The Late Show with Stephen Colbert</t>
  </si>
  <si>
    <t>Noticias Telemundo</t>
  </si>
  <si>
    <t>Brian Tyler Cohen</t>
  </si>
  <si>
    <t>KJRH -TV | Tulsa | Channel 2</t>
  </si>
  <si>
    <t>WCNC</t>
  </si>
  <si>
    <t>KHOU 11</t>
  </si>
  <si>
    <t>DW News</t>
  </si>
  <si>
    <t>11Alive</t>
  </si>
  <si>
    <t>CNBC Television</t>
  </si>
  <si>
    <t>diyatvusa</t>
  </si>
  <si>
    <t>Washington Post</t>
  </si>
  <si>
    <t>The View</t>
  </si>
  <si>
    <t>Fox News</t>
  </si>
  <si>
    <t>Global News</t>
  </si>
  <si>
    <t>Yahoo Finance</t>
  </si>
  <si>
    <t>NowThis News</t>
  </si>
  <si>
    <t>MSNBC</t>
  </si>
  <si>
    <t>Fox Business</t>
  </si>
  <si>
    <t>The Daily Show with Trevor Noah</t>
  </si>
  <si>
    <t>2020-06-25T03:07:40Z</t>
  </si>
  <si>
    <t>2020-06-25T04:48:47Z</t>
  </si>
  <si>
    <t>2020-06-24T14:58:44Z</t>
  </si>
  <si>
    <t>2020-06-24T14:00:13Z</t>
  </si>
  <si>
    <t>2020-06-24T16:00:09Z</t>
  </si>
  <si>
    <t>2020-06-24T12:00:07Z</t>
  </si>
  <si>
    <t>2020-06-21T02:08:37Z</t>
  </si>
  <si>
    <t>2020-06-24T22:00:10Z</t>
  </si>
  <si>
    <t>2019-05-21T01:37:34Z</t>
  </si>
  <si>
    <t>2020-03-03T02:49:02Z</t>
  </si>
  <si>
    <t>2020-06-21T01:30:39Z</t>
  </si>
  <si>
    <t>2012-08-22T00:57:06Z</t>
  </si>
  <si>
    <t>2020-06-20T23:37:57Z</t>
  </si>
  <si>
    <t>2020-06-20T20:05:34Z</t>
  </si>
  <si>
    <t>2020-06-24T17:30:03Z</t>
  </si>
  <si>
    <t>2019-03-29T01:43:58Z</t>
  </si>
  <si>
    <t>2020-05-27T01:40:12Z</t>
  </si>
  <si>
    <t>2020-06-21T14:40:55Z</t>
  </si>
  <si>
    <t>2018-10-27T01:11:13Z</t>
  </si>
  <si>
    <t>2020-06-23T13:08:38Z</t>
  </si>
  <si>
    <t>2018-11-26T23:56:47Z</t>
  </si>
  <si>
    <t>2020-03-03T01:57:32Z</t>
  </si>
  <si>
    <t>2020-06-21T02:36:56Z</t>
  </si>
  <si>
    <t>2020-06-21T08:54:45Z</t>
  </si>
  <si>
    <t>2019-09-17T03:47:24Z</t>
  </si>
  <si>
    <t>2020-06-21T02:12:01Z</t>
  </si>
  <si>
    <t>2020-04-09T22:32:17Z</t>
  </si>
  <si>
    <t>2020-06-21T02:53:29Z</t>
  </si>
  <si>
    <t>2020-02-21T22:48:23Z</t>
  </si>
  <si>
    <t>2020-05-01T20:41:55Z</t>
  </si>
  <si>
    <t>2020-06-16T04:26:55Z</t>
  </si>
  <si>
    <t>2018-11-04T22:55:32Z</t>
  </si>
  <si>
    <t>2020-02-29T02:06:10Z</t>
  </si>
  <si>
    <t>2020-04-17T21:03:53Z</t>
  </si>
  <si>
    <t>2020-06-20T06:42:57Z</t>
  </si>
  <si>
    <t>2020-06-21T01:59:56Z</t>
  </si>
  <si>
    <t>2020-06-20T18:18:30Z</t>
  </si>
  <si>
    <t>2020-06-20T22:11:24Z</t>
  </si>
  <si>
    <t>2020-06-23T21:17:09Z</t>
  </si>
  <si>
    <t>2020-06-20T21:18:16Z</t>
  </si>
  <si>
    <t>2020-06-21T14:39:07Z</t>
  </si>
  <si>
    <t>2020-06-20T18:56:17Z</t>
  </si>
  <si>
    <t>2020-06-16T05:19:07Z</t>
  </si>
  <si>
    <t>2019-06-25T19:19:10Z</t>
  </si>
  <si>
    <t>2019-06-19T02:27:56Z</t>
  </si>
  <si>
    <t>2020-06-21T02:01:36Z</t>
  </si>
  <si>
    <t>2020-06-20T23:26:06Z</t>
  </si>
  <si>
    <t>2020-06-20T19:25:17Z</t>
  </si>
  <si>
    <t>2020-06-19T22:42:14Z</t>
  </si>
  <si>
    <t>2020-06-20T23:11:17Z</t>
  </si>
  <si>
    <t>2020-06-21T02:30:33Z</t>
  </si>
  <si>
    <t>2020-06-21T02:47:23Z</t>
  </si>
  <si>
    <t>2020-06-17T19:07:17Z</t>
  </si>
  <si>
    <t>2020-06-21T03:21:01Z</t>
  </si>
  <si>
    <t>2020-06-22T16:18:14Z</t>
  </si>
  <si>
    <t>2019-08-02T01:10:45Z</t>
  </si>
  <si>
    <t>2020-06-20T21:28:29Z</t>
  </si>
  <si>
    <t>2020-06-21T03:36:12Z</t>
  </si>
  <si>
    <t>2020-06-21T08:57:51Z</t>
  </si>
  <si>
    <t>2020-06-16T06:15:01Z</t>
  </si>
  <si>
    <t>2015-03-21T18:20:43Z</t>
  </si>
  <si>
    <t>2020-06-16T17:09:53Z</t>
  </si>
  <si>
    <t>2020-06-21T21:00:37Z</t>
  </si>
  <si>
    <t>2016-01-20T22:46:14Z</t>
  </si>
  <si>
    <t>2020-06-21T02:09:11Z</t>
  </si>
  <si>
    <t>2020-06-21T02:12:49Z</t>
  </si>
  <si>
    <t>2020-06-21T09:01:30Z</t>
  </si>
  <si>
    <t>2020-06-21T02:10:32Z</t>
  </si>
  <si>
    <t>2020-06-11T22:25:07Z</t>
  </si>
  <si>
    <t>2020-06-21T02:17:01Z</t>
  </si>
  <si>
    <t>2020-06-21T03:43:51Z</t>
  </si>
  <si>
    <t>2020-06-21T03:39:05Z</t>
  </si>
  <si>
    <t>2020-06-16T18:12:29Z</t>
  </si>
  <si>
    <t>2020-06-21T02:34:35Z</t>
  </si>
  <si>
    <t>2020-06-21T01:46:21Z</t>
  </si>
  <si>
    <t>2020-06-21T02:10:26Z</t>
  </si>
  <si>
    <t>2020-06-21T02:24:14Z</t>
  </si>
  <si>
    <t>2020-06-21T16:30:04Z</t>
  </si>
  <si>
    <t>2020-06-21T04:07:10Z</t>
  </si>
  <si>
    <t>2020-06-22T16:00:34Z</t>
  </si>
  <si>
    <t>2020-06-23T22:24:28Z</t>
  </si>
  <si>
    <t>2019-06-19T02:58:21Z</t>
  </si>
  <si>
    <t>2020-06-23T01:05:57Z</t>
  </si>
  <si>
    <t>2020-06-22T13:14:19Z</t>
  </si>
  <si>
    <t>2019-06-19T02:03:45Z</t>
  </si>
  <si>
    <t>2020-04-13T23:43:40Z</t>
  </si>
  <si>
    <t>2020-06-22T22:44:10Z</t>
  </si>
  <si>
    <t>2020-06-23T07:35:00Z</t>
  </si>
  <si>
    <t>2019-10-11T03:03:46Z</t>
  </si>
  <si>
    <t>2020-06-21T02:16:17Z</t>
  </si>
  <si>
    <t>2020-06-23T02:21:10Z</t>
  </si>
  <si>
    <t>2020-06-21T02:11:51Z</t>
  </si>
  <si>
    <t>Play Video in Browser</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</si>
  <si>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</si>
  <si>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</si>
  <si>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</si>
  <si>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</si>
  <si>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</si>
  <si>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</si>
  <si>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</si>
  <si>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</si>
  <si>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</si>
  <si>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</si>
  <si>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</si>
  <si>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</si>
  <si>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</si>
  <si>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</si>
  <si>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</si>
  <si>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trump</t>
  </si>
  <si>
    <t>rally</t>
  </si>
  <si>
    <t>tulsa</t>
  </si>
  <si>
    <t>news</t>
  </si>
  <si>
    <t>live</t>
  </si>
  <si>
    <t>donald</t>
  </si>
  <si>
    <t>president</t>
  </si>
  <si>
    <t>oklahoma</t>
  </si>
  <si>
    <t>coronavirus</t>
  </si>
  <si>
    <t>fox</t>
  </si>
  <si>
    <t>politics</t>
  </si>
  <si>
    <t>gop</t>
  </si>
  <si>
    <t>covid</t>
  </si>
  <si>
    <t>campaign</t>
  </si>
  <si>
    <t>america</t>
  </si>
  <si>
    <t>maga</t>
  </si>
  <si>
    <t>2020</t>
  </si>
  <si>
    <t>rnc</t>
  </si>
  <si>
    <t>tonight</t>
  </si>
  <si>
    <t>19</t>
  </si>
  <si>
    <t>noticias</t>
  </si>
  <si>
    <t>republican</t>
  </si>
  <si>
    <t>biden</t>
  </si>
  <si>
    <t>house</t>
  </si>
  <si>
    <t>election</t>
  </si>
  <si>
    <t>white</t>
  </si>
  <si>
    <t>washington</t>
  </si>
  <si>
    <t>breaking</t>
  </si>
  <si>
    <t>national</t>
  </si>
  <si>
    <t>speech</t>
  </si>
  <si>
    <t>nbc</t>
  </si>
  <si>
    <t>late</t>
  </si>
  <si>
    <t>time</t>
  </si>
  <si>
    <t>west</t>
  </si>
  <si>
    <t>gta</t>
  </si>
  <si>
    <t>funny</t>
  </si>
  <si>
    <t>committee</t>
  </si>
  <si>
    <t>orlando</t>
  </si>
  <si>
    <t>joe</t>
  </si>
  <si>
    <t>cnn</t>
  </si>
  <si>
    <t>en</t>
  </si>
  <si>
    <t>united</t>
  </si>
  <si>
    <t>stream</t>
  </si>
  <si>
    <t>chris</t>
  </si>
  <si>
    <t>daily</t>
  </si>
  <si>
    <t>trevor</t>
  </si>
  <si>
    <t>pandemic</t>
  </si>
  <si>
    <t>stephen</t>
  </si>
  <si>
    <t>ramp</t>
  </si>
  <si>
    <t>water</t>
  </si>
  <si>
    <t>media</t>
  </si>
  <si>
    <t>telemundo</t>
  </si>
  <si>
    <t>business</t>
  </si>
  <si>
    <t>renato</t>
  </si>
  <si>
    <t>elections</t>
  </si>
  <si>
    <t>update</t>
  </si>
  <si>
    <t>report</t>
  </si>
  <si>
    <t>twitter</t>
  </si>
  <si>
    <t>bok</t>
  </si>
  <si>
    <t>sexual</t>
  </si>
  <si>
    <t>assault</t>
  </si>
  <si>
    <t>pelosi</t>
  </si>
  <si>
    <t>police</t>
  </si>
  <si>
    <t>force</t>
  </si>
  <si>
    <t>democrat</t>
  </si>
  <si>
    <t>dc</t>
  </si>
  <si>
    <t>center</t>
  </si>
  <si>
    <t>juneteenth</t>
  </si>
  <si>
    <t>potus</t>
  </si>
  <si>
    <t>livestream</t>
  </si>
  <si>
    <t>translatedpress</t>
  </si>
  <si>
    <t>protests</t>
  </si>
  <si>
    <t>black</t>
  </si>
  <si>
    <t>noah</t>
  </si>
  <si>
    <t>colbert</t>
  </si>
  <si>
    <t>comedy</t>
  </si>
  <si>
    <t>happening</t>
  </si>
  <si>
    <t>presidential</t>
  </si>
  <si>
    <t>grand</t>
  </si>
  <si>
    <t>rsbn</t>
  </si>
  <si>
    <t>charlotte</t>
  </si>
  <si>
    <t>20</t>
  </si>
  <si>
    <t>network</t>
  </si>
  <si>
    <t>estados</t>
  </si>
  <si>
    <t>unidos</t>
  </si>
  <si>
    <t>google</t>
  </si>
  <si>
    <t>usa</t>
  </si>
  <si>
    <t>attack</t>
  </si>
  <si>
    <t>search</t>
  </si>
  <si>
    <t>dnc</t>
  </si>
  <si>
    <t>commercial</t>
  </si>
  <si>
    <t>bing</t>
  </si>
  <si>
    <t>recap</t>
  </si>
  <si>
    <t>film</t>
  </si>
  <si>
    <t>senate</t>
  </si>
  <si>
    <t>senator</t>
  </si>
  <si>
    <t>congress</t>
  </si>
  <si>
    <t>congressman</t>
  </si>
  <si>
    <t>capitol</t>
  </si>
  <si>
    <t>hill</t>
  </si>
  <si>
    <t>reporter</t>
  </si>
  <si>
    <t>facebook</t>
  </si>
  <si>
    <t>quality</t>
  </si>
  <si>
    <t>massacre</t>
  </si>
  <si>
    <t>fort</t>
  </si>
  <si>
    <t>wayne</t>
  </si>
  <si>
    <t>45</t>
  </si>
  <si>
    <t>fest</t>
  </si>
  <si>
    <t>nancy</t>
  </si>
  <si>
    <t>floyd</t>
  </si>
  <si>
    <t>night</t>
  </si>
  <si>
    <t>cbs</t>
  </si>
  <si>
    <t>drinking</t>
  </si>
  <si>
    <t>smith</t>
  </si>
  <si>
    <t>vote</t>
  </si>
  <si>
    <t>wallace</t>
  </si>
  <si>
    <t>deadline</t>
  </si>
  <si>
    <t>vivo</t>
  </si>
  <si>
    <t>vlog</t>
  </si>
  <si>
    <t>theft</t>
  </si>
  <si>
    <t>auto</t>
  </si>
  <si>
    <t>mods</t>
  </si>
  <si>
    <t>humor</t>
  </si>
  <si>
    <t>sensei</t>
  </si>
  <si>
    <t>el</t>
  </si>
  <si>
    <t>broadcasting</t>
  </si>
  <si>
    <t>north</t>
  </si>
  <si>
    <t>carolina</t>
  </si>
  <si>
    <t>william</t>
  </si>
  <si>
    <t>barr</t>
  </si>
  <si>
    <t>bilbo</t>
  </si>
  <si>
    <t>baggins</t>
  </si>
  <si>
    <t>indiana</t>
  </si>
  <si>
    <t>interview</t>
  </si>
  <si>
    <t>health</t>
  </si>
  <si>
    <t>illinois</t>
  </si>
  <si>
    <t>george</t>
  </si>
  <si>
    <t>justice</t>
  </si>
  <si>
    <t>distancing</t>
  </si>
  <si>
    <t>corden</t>
  </si>
  <si>
    <t>comedian</t>
  </si>
  <si>
    <t>videos</t>
  </si>
  <si>
    <t>televised</t>
  </si>
  <si>
    <t>racist</t>
  </si>
  <si>
    <t>baby</t>
  </si>
  <si>
    <t>tickets</t>
  </si>
  <si>
    <t>newshour</t>
  </si>
  <si>
    <t>progressive</t>
  </si>
  <si>
    <t>cult</t>
  </si>
  <si>
    <t>testing</t>
  </si>
  <si>
    <t>times</t>
  </si>
  <si>
    <t>party</t>
  </si>
  <si>
    <t>brian</t>
  </si>
  <si>
    <t>turnout</t>
  </si>
  <si>
    <t>tie</t>
  </si>
  <si>
    <t>air</t>
  </si>
  <si>
    <t>fnc</t>
  </si>
  <si>
    <t>rant</t>
  </si>
  <si>
    <t>nowthis</t>
  </si>
  <si>
    <t>msnbc</t>
  </si>
  <si>
    <t>strategist</t>
  </si>
  <si>
    <t>outbreak</t>
  </si>
  <si>
    <t>tiktok</t>
  </si>
  <si>
    <t>pop</t>
  </si>
  <si>
    <t>cuomo</t>
  </si>
  <si>
    <t>garcia</t>
  </si>
  <si>
    <t>da</t>
  </si>
  <si>
    <t>xj6</t>
  </si>
  <si>
    <t>camaro</t>
  </si>
  <si>
    <t>pasa</t>
  </si>
  <si>
    <t>mastersensei</t>
  </si>
  <si>
    <t>master</t>
  </si>
  <si>
    <t>pepito</t>
  </si>
  <si>
    <t>crack</t>
  </si>
  <si>
    <t>michael</t>
  </si>
  <si>
    <t>#trump</t>
  </si>
  <si>
    <t>#live</t>
  </si>
  <si>
    <t>geoffrey</t>
  </si>
  <si>
    <t>berman</t>
  </si>
  <si>
    <t>aljazeera</t>
  </si>
  <si>
    <t>rbn</t>
  </si>
  <si>
    <t>supporters</t>
  </si>
  <si>
    <t>flood</t>
  </si>
  <si>
    <t>actor</t>
  </si>
  <si>
    <t>tara</t>
  </si>
  <si>
    <t>reade</t>
  </si>
  <si>
    <t>military</t>
  </si>
  <si>
    <t>paycheck</t>
  </si>
  <si>
    <t>protection</t>
  </si>
  <si>
    <t>program</t>
  </si>
  <si>
    <t>updates</t>
  </si>
  <si>
    <t>african</t>
  </si>
  <si>
    <t>lives</t>
  </si>
  <si>
    <t>matter</t>
  </si>
  <si>
    <t>masks</t>
  </si>
  <si>
    <t>social</t>
  </si>
  <si>
    <t>arena</t>
  </si>
  <si>
    <t>james</t>
  </si>
  <si>
    <t>trump2020</t>
  </si>
  <si>
    <t>thehill</t>
  </si>
  <si>
    <t>rising</t>
  </si>
  <si>
    <t>krystal</t>
  </si>
  <si>
    <t>saager</t>
  </si>
  <si>
    <t>kag</t>
  </si>
  <si>
    <t>newsroom</t>
  </si>
  <si>
    <t>celebrity</t>
  </si>
  <si>
    <t>celeb</t>
  </si>
  <si>
    <t>celebrities</t>
  </si>
  <si>
    <t>joke</t>
  </si>
  <si>
    <t>jokes</t>
  </si>
  <si>
    <t>hollywood</t>
  </si>
  <si>
    <t>famous</t>
  </si>
  <si>
    <t>start</t>
  </si>
  <si>
    <t>hurricane</t>
  </si>
  <si>
    <t>edition</t>
  </si>
  <si>
    <t>inside_edition</t>
  </si>
  <si>
    <t>kids</t>
  </si>
  <si>
    <t>silk</t>
  </si>
  <si>
    <t>heads</t>
  </si>
  <si>
    <t>pbs</t>
  </si>
  <si>
    <t>john</t>
  </si>
  <si>
    <t>suicide</t>
  </si>
  <si>
    <t>omar</t>
  </si>
  <si>
    <t>brad</t>
  </si>
  <si>
    <t>animated</t>
  </si>
  <si>
    <t>presidente</t>
  </si>
  <si>
    <t>acto</t>
  </si>
  <si>
    <t>del</t>
  </si>
  <si>
    <t>las</t>
  </si>
  <si>
    <t>hoy</t>
  </si>
  <si>
    <t>lo</t>
  </si>
  <si>
    <t>ultimo</t>
  </si>
  <si>
    <t>español</t>
  </si>
  <si>
    <t>cohen</t>
  </si>
  <si>
    <t>mercedes</t>
  </si>
  <si>
    <t>schlapp</t>
  </si>
  <si>
    <t>county</t>
  </si>
  <si>
    <t>mike</t>
  </si>
  <si>
    <t>pence</t>
  </si>
  <si>
    <t>finance</t>
  </si>
  <si>
    <t>stock</t>
  </si>
  <si>
    <t>cable</t>
  </si>
  <si>
    <t>money</t>
  </si>
  <si>
    <t>roundtable</t>
  </si>
  <si>
    <t>wapo</t>
  </si>
  <si>
    <t>oodef</t>
  </si>
  <si>
    <t>original</t>
  </si>
  <si>
    <t>current</t>
  </si>
  <si>
    <t>events</t>
  </si>
  <si>
    <t>florida</t>
  </si>
  <si>
    <t>veteran</t>
  </si>
  <si>
    <t>jacksonville</t>
  </si>
  <si>
    <t>task</t>
  </si>
  <si>
    <t>briefing</t>
  </si>
  <si>
    <t>virus</t>
  </si>
  <si>
    <t>corona</t>
  </si>
  <si>
    <t>tik</t>
  </si>
  <si>
    <t>tok</t>
  </si>
  <si>
    <t>stans</t>
  </si>
  <si>
    <t>people</t>
  </si>
  <si>
    <t>livestreams</t>
  </si>
  <si>
    <t>holds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</si>
  <si>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</si>
  <si>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</si>
  <si>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</si>
  <si>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</si>
  <si>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</si>
  <si>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</si>
  <si>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</si>
  <si>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</si>
  <si>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</si>
  <si>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</si>
  <si>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</si>
  <si>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</si>
  <si>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</si>
  <si>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</si>
  <si>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</si>
  <si>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</si>
  <si>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</si>
  <si>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</si>
  <si>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</si>
  <si>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</si>
  <si>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</si>
  <si>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</si>
  <si>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</si>
  <si>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</si>
  <si>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</si>
  <si>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</si>
  <si>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</si>
  <si>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</si>
  <si>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</si>
  <si>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</si>
  <si>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</si>
  <si>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</si>
  <si>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</si>
  <si>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</si>
  <si>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</si>
  <si>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</si>
  <si>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</si>
  <si>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</si>
  <si>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</si>
  <si>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</si>
  <si>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</si>
  <si>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</si>
  <si>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</si>
  <si>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</si>
  <si>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</si>
  <si>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</si>
  <si>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</si>
  <si>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</si>
  <si>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1.0.1.435</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</si>
  <si>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</si>
  <si>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</si>
  <si>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</si>
  <si>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</si>
  <si>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</si>
  <si>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</si>
  <si>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</si>
  <si>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</si>
  <si>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</si>
  <si>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</si>
  <si>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</si>
  <si>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</si>
  <si>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</si>
  <si>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Words in Tags in Entire Graph</t>
  </si>
  <si>
    <t>Entire Graph Count</t>
  </si>
  <si>
    <t>Top Words in Tags in G1</t>
  </si>
  <si>
    <t>G1 Count</t>
  </si>
  <si>
    <t>Top Words in Tags</t>
  </si>
  <si>
    <t>trump rally tulsa news live donald president oklahoma coronavirus fox</t>
  </si>
  <si>
    <t>Top Word Pairs in Tags in Entire Graph</t>
  </si>
  <si>
    <t>trump,rally</t>
  </si>
  <si>
    <t>donald,trump</t>
  </si>
  <si>
    <t>rally,trump</t>
  </si>
  <si>
    <t>tulsa,rally</t>
  </si>
  <si>
    <t>rally,tulsa</t>
  </si>
  <si>
    <t>trump,tulsa</t>
  </si>
  <si>
    <t>trump,live</t>
  </si>
  <si>
    <t>fox,news</t>
  </si>
  <si>
    <t>live,trump</t>
  </si>
  <si>
    <t>president,trump</t>
  </si>
  <si>
    <t>Top Word Pairs in Tags in G1</t>
  </si>
  <si>
    <t>trump,trump</t>
  </si>
  <si>
    <t>Top Word Pairs in Tags</t>
  </si>
  <si>
    <t>trump,rally  donald,trump  tulsa,rally  rally,trump  rally,tulsa  trump,tulsa  trump,live  fox,news  trump,trump  president,trump</t>
  </si>
  <si>
    <t>Top Words in Tags by Count</t>
  </si>
  <si>
    <t/>
  </si>
  <si>
    <t>Top Words in Tags by Salience</t>
  </si>
  <si>
    <t>Top Word Pairs in Tags by Count</t>
  </si>
  <si>
    <t>Top Word Pairs in Tags by Salience</t>
  </si>
  <si>
    <t>128, 128, 128</t>
  </si>
  <si>
    <t>G1: trump rally tulsa news live donald president oklahoma coronavirus fox</t>
  </si>
  <si>
    <t>Edge Weight▓1▓1▓0▓True▓Gray▓Red▓▓Edge Weight▓1▓1▓0▓3▓10▓False▓Edge Weight▓1▓1▓0▓50▓20▓False▓▓0▓0▓0▓True▓Black▓Black▓▓Views▓120▓847786▓0▓80▓1000▓False▓▓0▓0▓0▓0▓0▓False▓▓0▓0▓0▓0▓0▓False▓▓0▓0▓0▓0▓0▓False</t>
  </si>
  <si>
    <t>GraphSource░YouTubeVideo▓GraphTerm░Video IDs▓ImportDescription░The graph represents the network of YouTube videos whose title, keywords, description, categories, or author's username contain "NodeXL".  The network was obtained from YouTube on Thursday, 25 June 2020 at 09:21 UTC.
The network was limited to 500 videos.
There is an edge for each pair of videos that have the same category.▓ImportSuggestedTitle░YouTube Video IDs ▓ImportSuggestedFileNameNoExtension░2020-06-25 09-21-09 NodeXL YouTube Video IDs ▓GroupingDescription░The graph's vertices were grouped by cluster using the Clauset-Newman-Moore cluster algorithm.▓LayoutAlgorithm░The graph was laid out using the Grid layout algorithm.▓GraphDirectedness░The graph is directed.</t>
  </si>
  <si>
    <t xml:space="preserve">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80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&lt;value&gt;Grid&lt;/value&gt;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20.25pt White BottomCenter 40 2147483647 Black True 236 Black 86 TopLeft Microsoft Sans Serif, 48pt Microsoft Sans Serif, 12pt&lt;/value&gt;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t>
  </si>
  <si>
    <t xml:space="preserve">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9999 1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t>
  </si>
  <si>
    <t>YouTubeVideo</t>
  </si>
  <si>
    <t>Video IDs</t>
  </si>
  <si>
    <t>The graph represents the network of YouTube videos whose title, keywords, description, categories, or author's username contain "NodeXL".  The network was obtained from YouTube on Thursday, 25 June 2020 at 09:21 UTC.
The network was limited to 500 videos.
There is an edge for each pair of videos that have the same category.</t>
  </si>
  <si>
    <t>The graph was laid out using the Grid layout algorithm.</t>
  </si>
  <si>
    <t>The graph's vertices were grouped by cluster using the Clauset-Newman-Moore cluster algorithm.</t>
  </si>
  <si>
    <t>https://nodexlgraphgallery.org/Pages/Graph.aspx?graphID=229876</t>
  </si>
  <si>
    <t>="String"&gt;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</si>
</sst>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6" fillId="5" borderId="1" xfId="25" applyNumberFormat="1" applyAlignment="1">
      <alignment/>
    </xf>
    <xf numFmtId="49" fontId="6" fillId="5" borderId="11" xfId="25" applyNumberForma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49" fontId="6" fillId="5" borderId="1" xfId="25" applyNumberFormat="1" applyBorder="1" applyAlignment="1">
      <alignment/>
    </xf>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0" fontId="0" fillId="2" borderId="1" xfId="20" applyNumberFormat="1" applyFont="1" applyBorder="1"/>
    <xf numFmtId="49" fontId="0" fillId="0" borderId="0" xfId="0" applyNumberFormat="1" applyAlignment="1">
      <alignment/>
    </xf>
    <xf numFmtId="0" fontId="0" fillId="3" borderId="1" xfId="23" applyNumberFormat="1" applyFont="1" applyAlignment="1">
      <alignment/>
    </xf>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9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94"/>
      <tableStyleElement type="headerRow" dxfId="193"/>
    </tableStyle>
    <tableStyle name="NodeXL Table" pivot="0" count="1">
      <tableStyleElement type="headerRow" dxfId="1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3480897"/>
        <c:axId val="32010198"/>
      </c:barChart>
      <c:catAx>
        <c:axId val="334808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010198"/>
        <c:crosses val="autoZero"/>
        <c:auto val="1"/>
        <c:lblOffset val="100"/>
        <c:noMultiLvlLbl val="0"/>
      </c:catAx>
      <c:valAx>
        <c:axId val="32010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80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25519"/>
        <c:axId val="23635900"/>
      </c:barChart>
      <c:catAx>
        <c:axId val="11255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635900"/>
        <c:crosses val="autoZero"/>
        <c:auto val="1"/>
        <c:lblOffset val="100"/>
        <c:noMultiLvlLbl val="0"/>
      </c:catAx>
      <c:valAx>
        <c:axId val="23635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5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591853"/>
        <c:axId val="21558002"/>
      </c:barChart>
      <c:catAx>
        <c:axId val="265918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558002"/>
        <c:crosses val="autoZero"/>
        <c:auto val="1"/>
        <c:lblOffset val="100"/>
        <c:noMultiLvlLbl val="0"/>
      </c:catAx>
      <c:valAx>
        <c:axId val="21558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91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064859"/>
        <c:axId val="44729080"/>
      </c:barChart>
      <c:catAx>
        <c:axId val="500648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729080"/>
        <c:crosses val="autoZero"/>
        <c:auto val="1"/>
        <c:lblOffset val="100"/>
        <c:noMultiLvlLbl val="0"/>
      </c:catAx>
      <c:valAx>
        <c:axId val="44729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64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6895449"/>
        <c:axId val="62627150"/>
      </c:barChart>
      <c:catAx>
        <c:axId val="668954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627150"/>
        <c:crosses val="autoZero"/>
        <c:auto val="1"/>
        <c:lblOffset val="100"/>
        <c:noMultiLvlLbl val="0"/>
      </c:catAx>
      <c:valAx>
        <c:axId val="62627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95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101735"/>
        <c:axId val="36830068"/>
      </c:barChart>
      <c:catAx>
        <c:axId val="401017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30068"/>
        <c:crosses val="autoZero"/>
        <c:auto val="1"/>
        <c:lblOffset val="100"/>
        <c:noMultiLvlLbl val="0"/>
      </c:catAx>
      <c:valAx>
        <c:axId val="36830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01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233925"/>
        <c:axId val="1714922"/>
      </c:barChart>
      <c:catAx>
        <c:axId val="352339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14922"/>
        <c:crosses val="autoZero"/>
        <c:auto val="1"/>
        <c:lblOffset val="100"/>
        <c:noMultiLvlLbl val="0"/>
      </c:catAx>
      <c:valAx>
        <c:axId val="171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33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6013363"/>
        <c:axId val="18083120"/>
      </c:barChart>
      <c:catAx>
        <c:axId val="360133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83120"/>
        <c:crosses val="autoZero"/>
        <c:auto val="1"/>
        <c:lblOffset val="100"/>
        <c:noMultiLvlLbl val="0"/>
      </c:catAx>
      <c:valAx>
        <c:axId val="18083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13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4201201"/>
        <c:axId val="55809990"/>
      </c:barChart>
      <c:catAx>
        <c:axId val="44201201"/>
        <c:scaling>
          <c:orientation val="minMax"/>
        </c:scaling>
        <c:axPos val="b"/>
        <c:delete val="1"/>
        <c:majorTickMark val="out"/>
        <c:minorTickMark val="none"/>
        <c:tickLblPos val="none"/>
        <c:crossAx val="55809990"/>
        <c:crosses val="autoZero"/>
        <c:auto val="1"/>
        <c:lblOffset val="100"/>
        <c:noMultiLvlLbl val="0"/>
      </c:catAx>
      <c:valAx>
        <c:axId val="55809990"/>
        <c:scaling>
          <c:orientation val="minMax"/>
        </c:scaling>
        <c:axPos val="l"/>
        <c:delete val="1"/>
        <c:majorTickMark val="out"/>
        <c:minorTickMark val="none"/>
        <c:tickLblPos val="none"/>
        <c:crossAx val="442012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A93" totalsRowShown="0" headerRowDxfId="191" dataDxfId="190">
  <autoFilter ref="A2:AA93"/>
  <tableColumns count="27">
    <tableColumn id="1" name="Vertex 1" dataDxfId="140"/>
    <tableColumn id="2" name="Vertex 2" dataDxfId="138"/>
    <tableColumn id="3" name="Color" dataDxfId="139"/>
    <tableColumn id="4" name="Width" dataDxfId="189"/>
    <tableColumn id="11" name="Style" dataDxfId="188"/>
    <tableColumn id="5" name="Opacity" dataDxfId="187"/>
    <tableColumn id="6" name="Visibility" dataDxfId="186"/>
    <tableColumn id="10" name="Label" dataDxfId="185"/>
    <tableColumn id="12" name="Label Text Color" dataDxfId="184"/>
    <tableColumn id="13" name="Label Font Size" dataDxfId="183"/>
    <tableColumn id="14" name="Reciprocated?" dataDxfId="95"/>
    <tableColumn id="7" name="ID" dataDxfId="182"/>
    <tableColumn id="9" name="Dynamic Filter" dataDxfId="181"/>
    <tableColumn id="8" name="Add Your Own Columns Here" dataDxfId="137"/>
    <tableColumn id="15" name="Relationship" dataDxfId="136"/>
    <tableColumn id="16" name="Edge Weight"/>
    <tableColumn id="17" name="Vertex 1 Group" dataDxfId="110">
      <calculatedColumnFormula>REPLACE(INDEX(GroupVertices[Group], MATCH(Edges[[#This Row],[Vertex 1]],GroupVertices[Vertex],0)),1,1,"")</calculatedColumnFormula>
    </tableColumn>
    <tableColumn id="18" name="Vertex 2 Group" dataDxfId="71">
      <calculatedColumnFormula>REPLACE(INDEX(GroupVertices[Group], MATCH(Edges[[#This Row],[Vertex 2]],GroupVertices[Vertex],0)),1,1,"")</calculatedColumnFormula>
    </tableColumn>
    <tableColumn id="19" name="Sentiment List #1: List1 Word Count" dataDxfId="70"/>
    <tableColumn id="20" name="Sentiment List #1: List1 Word Percentage (%)" dataDxfId="69"/>
    <tableColumn id="21" name="Sentiment List #2: List2 Word Count" dataDxfId="68"/>
    <tableColumn id="22" name="Sentiment List #2: List2 Word Percentage (%)" dataDxfId="67"/>
    <tableColumn id="23" name="Sentiment List #3: List3 Word Count" dataDxfId="66"/>
    <tableColumn id="24" name="Sentiment List #3: List3 Word Percentage (%)" dataDxfId="65"/>
    <tableColumn id="25" name="Non-categorized Word Count" dataDxfId="64"/>
    <tableColumn id="26" name="Non-categorized Word Percentage (%)" dataDxfId="63"/>
    <tableColumn id="27" name="Edge Content Word Count" dataDxfId="6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3" totalsRowShown="0" headerRowDxfId="94" dataDxfId="93">
  <autoFilter ref="A1:G533"/>
  <tableColumns count="7">
    <tableColumn id="1" name="Word" dataDxfId="92"/>
    <tableColumn id="2" name="Count" dataDxfId="91"/>
    <tableColumn id="3" name="Salience" dataDxfId="90"/>
    <tableColumn id="4" name="Group" dataDxfId="89"/>
    <tableColumn id="5" name="Word on Sentiment List #1: List1" dataDxfId="88"/>
    <tableColumn id="6" name="Word on Sentiment List #2: List2" dataDxfId="87"/>
    <tableColumn id="7" name="Word on Sentiment List #3: List3" dataDxfId="8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7" totalsRowShown="0" headerRowDxfId="85" dataDxfId="84">
  <autoFilter ref="A1:L617"/>
  <tableColumns count="12">
    <tableColumn id="1" name="Word 1" dataDxfId="83"/>
    <tableColumn id="2" name="Word 2" dataDxfId="82"/>
    <tableColumn id="3" name="Count" dataDxfId="81"/>
    <tableColumn id="4" name="Salience" dataDxfId="80"/>
    <tableColumn id="5" name="Mutual Information" dataDxfId="79"/>
    <tableColumn id="6" name="Group" dataDxfId="78"/>
    <tableColumn id="7" name="Word1 on Sentiment List #1: List1" dataDxfId="77"/>
    <tableColumn id="8" name="Word1 on Sentiment List #2: List2" dataDxfId="76"/>
    <tableColumn id="9" name="Word1 on Sentiment List #3: List3" dataDxfId="75"/>
    <tableColumn id="10" name="Word2 on Sentiment List #1: List1" dataDxfId="74"/>
    <tableColumn id="11" name="Word2 on Sentiment List #2: List2" dataDxfId="73"/>
    <tableColumn id="12" name="Word2 on Sentiment List #3: List3" dataDxfId="72"/>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 totalsRowShown="0" headerRowDxfId="43" dataDxfId="42">
  <autoFilter ref="A2:C3"/>
  <tableColumns count="3">
    <tableColumn id="1" name="Group 1" dataDxfId="41"/>
    <tableColumn id="2" name="Group 2" dataDxfId="40"/>
    <tableColumn id="3" name="Edges" dataDxfId="39"/>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36" dataDxfId="35">
  <autoFilter ref="A1:B7"/>
  <tableColumns count="2">
    <tableColumn id="1" name="Key" dataDxfId="21"/>
    <tableColumn id="2" name="Value" dataDxfId="20"/>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5" dataDxfId="24">
  <autoFilter ref="A1:B11"/>
  <tableColumns count="2">
    <tableColumn id="1" name="Top 10 Vertices, Ranked by Betweenness Centrality" dataDxfId="23"/>
    <tableColumn id="2" name="Betweenness Centrality" dataDxfId="22"/>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D11" totalsRowShown="0" headerRowDxfId="19" dataDxfId="18">
  <autoFilter ref="A1:D11"/>
  <tableColumns count="4">
    <tableColumn id="1" name="Top Words in Tags in Entire Graph" dataDxfId="17"/>
    <tableColumn id="2" name="Entire Graph Count" dataDxfId="16"/>
    <tableColumn id="3" name="Top Words in Tags in G1" dataDxfId="15"/>
    <tableColumn id="4" name="G1 Count" dataDxfId="14"/>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D24" totalsRowShown="0" headerRowDxfId="12" dataDxfId="11">
  <autoFilter ref="A14:D24"/>
  <tableColumns count="4">
    <tableColumn id="1" name="Top Word Pairs in Tags in Entire Graph" dataDxfId="10"/>
    <tableColumn id="2" name="Entire Graph Count" dataDxfId="9"/>
    <tableColumn id="3" name="Top Word Pairs in Tags in G1" dataDxfId="8"/>
    <tableColumn id="4" name="G1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94" totalsRowShown="0" headerRowDxfId="180" dataDxfId="179">
  <autoFilter ref="A2:BB94"/>
  <sortState ref="A3:BB94">
    <sortCondition sortBy="value" ref="AG3:AG94"/>
  </sortState>
  <tableColumns count="54">
    <tableColumn id="1" name="Vertex" dataDxfId="178"/>
    <tableColumn id="2" name="Color" dataDxfId="177"/>
    <tableColumn id="5" name="Shape" dataDxfId="176"/>
    <tableColumn id="6" name="Size" dataDxfId="175"/>
    <tableColumn id="4" name="Opacity" dataDxfId="123"/>
    <tableColumn id="7" name="Image File" dataDxfId="121"/>
    <tableColumn id="3" name="Visibility" dataDxfId="122"/>
    <tableColumn id="10" name="Label" dataDxfId="174"/>
    <tableColumn id="16" name="Label Fill Color" dataDxfId="173"/>
    <tableColumn id="9" name="Label Position" dataDxfId="135"/>
    <tableColumn id="8" name="Tooltip" dataDxfId="133"/>
    <tableColumn id="18" name="Layout Order" dataDxfId="134"/>
    <tableColumn id="13" name="X" dataDxfId="172"/>
    <tableColumn id="14" name="Y" dataDxfId="171"/>
    <tableColumn id="12" name="Locked?" dataDxfId="170"/>
    <tableColumn id="19" name="Polar R" dataDxfId="169"/>
    <tableColumn id="20" name="Polar Angle" dataDxfId="168"/>
    <tableColumn id="21" name="Degree" dataDxfId="32"/>
    <tableColumn id="22" name="In-Degree" dataDxfId="31"/>
    <tableColumn id="23" name="Out-Degree" dataDxfId="29"/>
    <tableColumn id="24" name="Betweenness Centrality" dataDxfId="30"/>
    <tableColumn id="25" name="Closeness Centrality" dataDxfId="34"/>
    <tableColumn id="26" name="Eigenvector Centrality" dataDxfId="33"/>
    <tableColumn id="15" name="PageRank" dataDxfId="28"/>
    <tableColumn id="27" name="Clustering Coefficient" dataDxfId="26"/>
    <tableColumn id="29" name="Reciprocated Vertex Pair Ratio" dataDxfId="27"/>
    <tableColumn id="11" name="ID" dataDxfId="167"/>
    <tableColumn id="28" name="Dynamic Filter" dataDxfId="166"/>
    <tableColumn id="17" name="Add Your Own Columns Here" dataDxfId="132"/>
    <tableColumn id="30" name="Title" dataDxfId="131"/>
    <tableColumn id="31" name="Description" dataDxfId="130"/>
    <tableColumn id="32" name="Tags" dataDxfId="129"/>
    <tableColumn id="33" name="Author" dataDxfId="128"/>
    <tableColumn id="34" name="Created Date (UTC)" dataDxfId="127"/>
    <tableColumn id="35" name="Views" dataDxfId="126"/>
    <tableColumn id="36" name="Comments" dataDxfId="125"/>
    <tableColumn id="37" name="Likes Count" dataDxfId="124"/>
    <tableColumn id="38" name="Dislikes Count" dataDxfId="120"/>
    <tableColumn id="39" name="Custom Menu Item Text" dataDxfId="119"/>
    <tableColumn id="40" name="Custom Menu Item Action" dataDxfId="111"/>
    <tableColumn id="41" name="Vertex Group" dataDxfId="61">
      <calculatedColumnFormula>REPLACE(INDEX(GroupVertices[Group], MATCH(Vertices[[#This Row],[Vertex]],GroupVertices[Vertex],0)),1,1,"")</calculatedColumnFormula>
    </tableColumn>
    <tableColumn id="42" name="Sentiment List #1: List1 Word Count" dataDxfId="60"/>
    <tableColumn id="43" name="Sentiment List #1: List1 Word Percentage (%)" dataDxfId="59"/>
    <tableColumn id="44" name="Sentiment List #2: List2 Word Count" dataDxfId="58"/>
    <tableColumn id="45" name="Sentiment List #2: List2 Word Percentage (%)" dataDxfId="57"/>
    <tableColumn id="46" name="Sentiment List #3: List3 Word Count" dataDxfId="56"/>
    <tableColumn id="47" name="Sentiment List #3: List3 Word Percentage (%)" dataDxfId="55"/>
    <tableColumn id="48" name="Non-categorized Word Count" dataDxfId="54"/>
    <tableColumn id="49" name="Non-categorized Word Percentage (%)" dataDxfId="53"/>
    <tableColumn id="50" name="Vertex Content Word Count" dataDxfId="4"/>
    <tableColumn id="51" name="Top Words in Tags by Count" dataDxfId="3"/>
    <tableColumn id="52" name="Top Words in Tags by Salience" dataDxfId="2"/>
    <tableColumn id="53" name="Top Word Pairs in Tags by Count" dataDxfId="1"/>
    <tableColumn id="54"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3" totalsRowShown="0" headerRowDxfId="165">
  <autoFilter ref="A2:AI3"/>
  <tableColumns count="35">
    <tableColumn id="1" name="Group" dataDxfId="118"/>
    <tableColumn id="2" name="Vertex Color" dataDxfId="117"/>
    <tableColumn id="3" name="Vertex Shape" dataDxfId="115"/>
    <tableColumn id="22" name="Visibility" dataDxfId="116"/>
    <tableColumn id="4" name="Collapsed?"/>
    <tableColumn id="18" name="Label" dataDxfId="164"/>
    <tableColumn id="20" name="Collapsed X"/>
    <tableColumn id="21" name="Collapsed Y"/>
    <tableColumn id="6" name="ID" dataDxfId="163"/>
    <tableColumn id="19" name="Collapsed Properties" dataDxfId="109"/>
    <tableColumn id="5" name="Vertices" dataDxfId="108"/>
    <tableColumn id="7" name="Unique Edges" dataDxfId="107"/>
    <tableColumn id="8" name="Edges With Duplicates" dataDxfId="106"/>
    <tableColumn id="9" name="Total Edges" dataDxfId="105"/>
    <tableColumn id="10" name="Self-Loops" dataDxfId="104"/>
    <tableColumn id="24" name="Reciprocated Vertex Pair Ratio" dataDxfId="103"/>
    <tableColumn id="25" name="Reciprocated Edge Ratio" dataDxfId="102"/>
    <tableColumn id="11" name="Connected Components" dataDxfId="101"/>
    <tableColumn id="12" name="Single-Vertex Connected Components" dataDxfId="100"/>
    <tableColumn id="13" name="Maximum Vertices in a Connected Component" dataDxfId="99"/>
    <tableColumn id="14" name="Maximum Edges in a Connected Component" dataDxfId="98"/>
    <tableColumn id="15" name="Maximum Geodesic Distance (Diameter)" dataDxfId="97"/>
    <tableColumn id="16" name="Average Geodesic Distance" dataDxfId="96"/>
    <tableColumn id="17" name="Graph Density" dataDxfId="52"/>
    <tableColumn id="23" name="Sentiment List #1: List1 Word Count" dataDxfId="51"/>
    <tableColumn id="26" name="Sentiment List #1: List1 Word Percentage (%)" dataDxfId="50"/>
    <tableColumn id="27" name="Sentiment List #2: List2 Word Count" dataDxfId="49"/>
    <tableColumn id="28" name="Sentiment List #2: List2 Word Percentage (%)" dataDxfId="48"/>
    <tableColumn id="29" name="Sentiment List #3: List3 Word Count" dataDxfId="47"/>
    <tableColumn id="30" name="Sentiment List #3: List3 Word Percentage (%)" dataDxfId="46"/>
    <tableColumn id="31" name="Non-categorized Word Count" dataDxfId="45"/>
    <tableColumn id="32" name="Non-categorized Word Percentage (%)" dataDxfId="44"/>
    <tableColumn id="33" name="Group Content Word Count" dataDxfId="13"/>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162" dataDxfId="161">
  <autoFilter ref="A1:C93"/>
  <tableColumns count="3">
    <tableColumn id="1" name="Group" dataDxfId="114"/>
    <tableColumn id="2" name="Vertex" dataDxfId="113"/>
    <tableColumn id="3" name="Vertex ID" dataDxfId="11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38"/>
    <tableColumn id="2" name="Value" dataDxfId="3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60"/>
    <tableColumn id="2" name="Degree Frequency" dataDxfId="159">
      <calculatedColumnFormula>COUNTIF(Vertices[Degree], "&gt;= " &amp; D2) - COUNTIF(Vertices[Degree], "&gt;=" &amp; D3)</calculatedColumnFormula>
    </tableColumn>
    <tableColumn id="3" name="In-Degree Bin" dataDxfId="158"/>
    <tableColumn id="4" name="In-Degree Frequency" dataDxfId="157">
      <calculatedColumnFormula>COUNTIF(Vertices[In-Degree], "&gt;= " &amp; F2) - COUNTIF(Vertices[In-Degree], "&gt;=" &amp; F3)</calculatedColumnFormula>
    </tableColumn>
    <tableColumn id="5" name="Out-Degree Bin" dataDxfId="156"/>
    <tableColumn id="6" name="Out-Degree Frequency" dataDxfId="155">
      <calculatedColumnFormula>COUNTIF(Vertices[Out-Degree], "&gt;= " &amp; H2) - COUNTIF(Vertices[Out-Degree], "&gt;=" &amp; H3)</calculatedColumnFormula>
    </tableColumn>
    <tableColumn id="7" name="Betweenness Centrality Bin" dataDxfId="154"/>
    <tableColumn id="8" name="Betweenness Centrality Frequency" dataDxfId="153">
      <calculatedColumnFormula>COUNTIF(Vertices[Betweenness Centrality], "&gt;= " &amp; J2) - COUNTIF(Vertices[Betweenness Centrality], "&gt;=" &amp; J3)</calculatedColumnFormula>
    </tableColumn>
    <tableColumn id="9" name="Closeness Centrality Bin" dataDxfId="152"/>
    <tableColumn id="10" name="Closeness Centrality Frequency" dataDxfId="151">
      <calculatedColumnFormula>COUNTIF(Vertices[Closeness Centrality], "&gt;= " &amp; L2) - COUNTIF(Vertices[Closeness Centrality], "&gt;=" &amp; L3)</calculatedColumnFormula>
    </tableColumn>
    <tableColumn id="11" name="Eigenvector Centrality Bin" dataDxfId="150"/>
    <tableColumn id="12" name="Eigenvector Centrality Frequency" dataDxfId="149">
      <calculatedColumnFormula>COUNTIF(Vertices[Eigenvector Centrality], "&gt;= " &amp; N2) - COUNTIF(Vertices[Eigenvector Centrality], "&gt;=" &amp; N3)</calculatedColumnFormula>
    </tableColumn>
    <tableColumn id="18" name="PageRank Bin" dataDxfId="148"/>
    <tableColumn id="17" name="PageRank Frequency" dataDxfId="147">
      <calculatedColumnFormula>COUNTIF(Vertices[Eigenvector Centrality], "&gt;= " &amp; P2) - COUNTIF(Vertices[Eigenvector Centrality], "&gt;=" &amp; P3)</calculatedColumnFormula>
    </tableColumn>
    <tableColumn id="13" name="Clustering Coefficient Bin" dataDxfId="146"/>
    <tableColumn id="14" name="Clustering Coefficient Frequency" dataDxfId="145">
      <calculatedColumnFormula>COUNTIF(Vertices[Clustering Coefficient], "&gt;= " &amp; R2) - COUNTIF(Vertices[Clustering Coefficient], "&gt;=" &amp; R3)</calculatedColumnFormula>
    </tableColumn>
    <tableColumn id="15" name="Dynamic Filter Bin" dataDxfId="144"/>
    <tableColumn id="16" name="Dynamic Filter Frequency" dataDxfId="1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4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3"/>
  <sheetViews>
    <sheetView workbookViewId="0" topLeftCell="A1">
      <pane xSplit="2" ySplit="2" topLeftCell="C3" activePane="bottomRight" state="frozen"/>
      <selection pane="topRight" activeCell="C1" sqref="C1"/>
      <selection pane="bottomLeft" activeCell="A3" sqref="A3"/>
      <selection pane="bottomRight" activeCell="A2" sqref="A2:O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customWidth="1"/>
    <col min="17" max="18" width="11.140625" style="0" bestFit="1" customWidth="1"/>
    <col min="19" max="19" width="19.7109375" style="0" bestFit="1" customWidth="1"/>
    <col min="20" max="20" width="24.28125" style="0" bestFit="1" customWidth="1"/>
    <col min="21" max="21" width="19.7109375" style="0" bestFit="1" customWidth="1"/>
    <col min="22" max="22" width="24.28125" style="0" bestFit="1" customWidth="1"/>
    <col min="23" max="23" width="19.7109375" style="0" bestFit="1" customWidth="1"/>
    <col min="24" max="24" width="24.28125" style="0" bestFit="1" customWidth="1"/>
    <col min="25" max="25" width="18.57421875" style="0" bestFit="1" customWidth="1"/>
    <col min="26" max="26" width="22.28125" style="0" bestFit="1" customWidth="1"/>
    <col min="27" max="27" width="15.7109375" style="0" bestFit="1" customWidth="1"/>
  </cols>
  <sheetData>
    <row r="1" spans="3:14" ht="15">
      <c r="C1" s="18" t="s">
        <v>39</v>
      </c>
      <c r="D1" s="19"/>
      <c r="E1" s="19"/>
      <c r="F1" s="19"/>
      <c r="G1" s="18"/>
      <c r="H1" s="16" t="s">
        <v>43</v>
      </c>
      <c r="I1" s="65"/>
      <c r="J1" s="65"/>
      <c r="K1" s="35" t="s">
        <v>42</v>
      </c>
      <c r="L1" s="20" t="s">
        <v>40</v>
      </c>
      <c r="M1" s="20"/>
      <c r="N1" s="17" t="s">
        <v>41</v>
      </c>
    </row>
    <row r="2" spans="1:2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t="s">
        <v>700</v>
      </c>
      <c r="Q2" s="13" t="s">
        <v>704</v>
      </c>
      <c r="R2" s="13" t="s">
        <v>705</v>
      </c>
      <c r="S2" s="68" t="s">
        <v>995</v>
      </c>
      <c r="T2" s="68" t="s">
        <v>996</v>
      </c>
      <c r="U2" s="68" t="s">
        <v>997</v>
      </c>
      <c r="V2" s="68" t="s">
        <v>998</v>
      </c>
      <c r="W2" s="68" t="s">
        <v>999</v>
      </c>
      <c r="X2" s="68" t="s">
        <v>1000</v>
      </c>
      <c r="Y2" s="68" t="s">
        <v>1001</v>
      </c>
      <c r="Z2" s="68" t="s">
        <v>1002</v>
      </c>
      <c r="AA2" s="68" t="s">
        <v>1003</v>
      </c>
    </row>
    <row r="3" spans="1:27" ht="15" customHeight="1">
      <c r="A3" s="85" t="s">
        <v>212</v>
      </c>
      <c r="B3" s="85" t="s">
        <v>303</v>
      </c>
      <c r="C3" s="53" t="s">
        <v>1065</v>
      </c>
      <c r="D3" s="54">
        <v>3</v>
      </c>
      <c r="E3" s="66"/>
      <c r="F3" s="55">
        <v>50</v>
      </c>
      <c r="G3" s="53"/>
      <c r="H3" s="57"/>
      <c r="I3" s="56"/>
      <c r="J3" s="56"/>
      <c r="K3" s="36" t="s">
        <v>65</v>
      </c>
      <c r="L3" s="62">
        <v>3</v>
      </c>
      <c r="M3" s="62"/>
      <c r="N3" s="63"/>
      <c r="O3" s="86" t="s">
        <v>304</v>
      </c>
      <c r="P3">
        <v>1</v>
      </c>
      <c r="Q3" s="86" t="str">
        <f>REPLACE(INDEX(GroupVertices[Group],MATCH(Edges[[#This Row],[Vertex 1]],GroupVertices[Vertex],0)),1,1,"")</f>
        <v>1</v>
      </c>
      <c r="R3" s="86" t="str">
        <f>REPLACE(INDEX(GroupVertices[Group],MATCH(Edges[[#This Row],[Vertex 2]],GroupVertices[Vertex],0)),1,1,"")</f>
        <v>1</v>
      </c>
      <c r="S3" s="36"/>
      <c r="T3" s="36"/>
      <c r="U3" s="36"/>
      <c r="V3" s="36"/>
      <c r="W3" s="36"/>
      <c r="X3" s="36"/>
      <c r="Y3" s="36"/>
      <c r="Z3" s="36"/>
      <c r="AA3" s="36"/>
    </row>
    <row r="4" spans="1:27" ht="15" customHeight="1">
      <c r="A4" s="85" t="s">
        <v>212</v>
      </c>
      <c r="B4" s="85" t="s">
        <v>213</v>
      </c>
      <c r="C4" s="53" t="s">
        <v>1065</v>
      </c>
      <c r="D4" s="54">
        <v>3</v>
      </c>
      <c r="E4" s="66"/>
      <c r="F4" s="55">
        <v>50</v>
      </c>
      <c r="G4" s="53"/>
      <c r="H4" s="57"/>
      <c r="I4" s="56"/>
      <c r="J4" s="56"/>
      <c r="K4" s="36" t="s">
        <v>65</v>
      </c>
      <c r="L4" s="84">
        <v>4</v>
      </c>
      <c r="M4" s="84"/>
      <c r="N4" s="63"/>
      <c r="O4" s="87" t="s">
        <v>304</v>
      </c>
      <c r="P4">
        <v>1</v>
      </c>
      <c r="Q4" s="86" t="str">
        <f>REPLACE(INDEX(GroupVertices[Group],MATCH(Edges[[#This Row],[Vertex 1]],GroupVertices[Vertex],0)),1,1,"")</f>
        <v>1</v>
      </c>
      <c r="R4" s="86" t="str">
        <f>REPLACE(INDEX(GroupVertices[Group],MATCH(Edges[[#This Row],[Vertex 2]],GroupVertices[Vertex],0)),1,1,"")</f>
        <v>1</v>
      </c>
      <c r="S4" s="36"/>
      <c r="T4" s="36"/>
      <c r="U4" s="36"/>
      <c r="V4" s="36"/>
      <c r="W4" s="36"/>
      <c r="X4" s="36"/>
      <c r="Y4" s="36"/>
      <c r="Z4" s="36"/>
      <c r="AA4" s="36"/>
    </row>
    <row r="5" spans="1:27" ht="45">
      <c r="A5" s="85" t="s">
        <v>212</v>
      </c>
      <c r="B5" s="85" t="s">
        <v>214</v>
      </c>
      <c r="C5" s="53" t="s">
        <v>1065</v>
      </c>
      <c r="D5" s="54">
        <v>3</v>
      </c>
      <c r="E5" s="66"/>
      <c r="F5" s="55">
        <v>50</v>
      </c>
      <c r="G5" s="53"/>
      <c r="H5" s="57"/>
      <c r="I5" s="56"/>
      <c r="J5" s="56"/>
      <c r="K5" s="36" t="s">
        <v>65</v>
      </c>
      <c r="L5" s="84">
        <v>5</v>
      </c>
      <c r="M5" s="84"/>
      <c r="N5" s="63"/>
      <c r="O5" s="87" t="s">
        <v>304</v>
      </c>
      <c r="P5">
        <v>1</v>
      </c>
      <c r="Q5" s="86" t="str">
        <f>REPLACE(INDEX(GroupVertices[Group],MATCH(Edges[[#This Row],[Vertex 1]],GroupVertices[Vertex],0)),1,1,"")</f>
        <v>1</v>
      </c>
      <c r="R5" s="86" t="str">
        <f>REPLACE(INDEX(GroupVertices[Group],MATCH(Edges[[#This Row],[Vertex 2]],GroupVertices[Vertex],0)),1,1,"")</f>
        <v>1</v>
      </c>
      <c r="S5" s="36"/>
      <c r="T5" s="36"/>
      <c r="U5" s="36"/>
      <c r="V5" s="36"/>
      <c r="W5" s="36"/>
      <c r="X5" s="36"/>
      <c r="Y5" s="36"/>
      <c r="Z5" s="36"/>
      <c r="AA5" s="36"/>
    </row>
    <row r="6" spans="1:27" ht="45">
      <c r="A6" s="85" t="s">
        <v>212</v>
      </c>
      <c r="B6" s="85" t="s">
        <v>215</v>
      </c>
      <c r="C6" s="53" t="s">
        <v>1065</v>
      </c>
      <c r="D6" s="54">
        <v>3</v>
      </c>
      <c r="E6" s="66"/>
      <c r="F6" s="55">
        <v>50</v>
      </c>
      <c r="G6" s="53"/>
      <c r="H6" s="57"/>
      <c r="I6" s="56"/>
      <c r="J6" s="56"/>
      <c r="K6" s="36" t="s">
        <v>65</v>
      </c>
      <c r="L6" s="84">
        <v>6</v>
      </c>
      <c r="M6" s="84"/>
      <c r="N6" s="63"/>
      <c r="O6" s="87" t="s">
        <v>304</v>
      </c>
      <c r="P6">
        <v>1</v>
      </c>
      <c r="Q6" s="86" t="str">
        <f>REPLACE(INDEX(GroupVertices[Group],MATCH(Edges[[#This Row],[Vertex 1]],GroupVertices[Vertex],0)),1,1,"")</f>
        <v>1</v>
      </c>
      <c r="R6" s="86" t="str">
        <f>REPLACE(INDEX(GroupVertices[Group],MATCH(Edges[[#This Row],[Vertex 2]],GroupVertices[Vertex],0)),1,1,"")</f>
        <v>1</v>
      </c>
      <c r="S6" s="36"/>
      <c r="T6" s="36"/>
      <c r="U6" s="36"/>
      <c r="V6" s="36"/>
      <c r="W6" s="36"/>
      <c r="X6" s="36"/>
      <c r="Y6" s="36"/>
      <c r="Z6" s="36"/>
      <c r="AA6" s="36"/>
    </row>
    <row r="7" spans="1:27" ht="45">
      <c r="A7" s="85" t="s">
        <v>212</v>
      </c>
      <c r="B7" s="85" t="s">
        <v>216</v>
      </c>
      <c r="C7" s="53" t="s">
        <v>1065</v>
      </c>
      <c r="D7" s="54">
        <v>3</v>
      </c>
      <c r="E7" s="66"/>
      <c r="F7" s="55">
        <v>50</v>
      </c>
      <c r="G7" s="53"/>
      <c r="H7" s="57"/>
      <c r="I7" s="56"/>
      <c r="J7" s="56"/>
      <c r="K7" s="36" t="s">
        <v>65</v>
      </c>
      <c r="L7" s="84">
        <v>7</v>
      </c>
      <c r="M7" s="84"/>
      <c r="N7" s="63"/>
      <c r="O7" s="87" t="s">
        <v>304</v>
      </c>
      <c r="P7">
        <v>1</v>
      </c>
      <c r="Q7" s="86" t="str">
        <f>REPLACE(INDEX(GroupVertices[Group],MATCH(Edges[[#This Row],[Vertex 1]],GroupVertices[Vertex],0)),1,1,"")</f>
        <v>1</v>
      </c>
      <c r="R7" s="86" t="str">
        <f>REPLACE(INDEX(GroupVertices[Group],MATCH(Edges[[#This Row],[Vertex 2]],GroupVertices[Vertex],0)),1,1,"")</f>
        <v>1</v>
      </c>
      <c r="S7" s="36"/>
      <c r="T7" s="36"/>
      <c r="U7" s="36"/>
      <c r="V7" s="36"/>
      <c r="W7" s="36"/>
      <c r="X7" s="36"/>
      <c r="Y7" s="36"/>
      <c r="Z7" s="36"/>
      <c r="AA7" s="36"/>
    </row>
    <row r="8" spans="1:27" ht="45">
      <c r="A8" s="85" t="s">
        <v>212</v>
      </c>
      <c r="B8" s="85" t="s">
        <v>217</v>
      </c>
      <c r="C8" s="53" t="s">
        <v>1065</v>
      </c>
      <c r="D8" s="54">
        <v>3</v>
      </c>
      <c r="E8" s="66"/>
      <c r="F8" s="55">
        <v>50</v>
      </c>
      <c r="G8" s="53"/>
      <c r="H8" s="57"/>
      <c r="I8" s="56"/>
      <c r="J8" s="56"/>
      <c r="K8" s="36" t="s">
        <v>65</v>
      </c>
      <c r="L8" s="84">
        <v>8</v>
      </c>
      <c r="M8" s="84"/>
      <c r="N8" s="63"/>
      <c r="O8" s="87" t="s">
        <v>304</v>
      </c>
      <c r="P8">
        <v>1</v>
      </c>
      <c r="Q8" s="86" t="str">
        <f>REPLACE(INDEX(GroupVertices[Group],MATCH(Edges[[#This Row],[Vertex 1]],GroupVertices[Vertex],0)),1,1,"")</f>
        <v>1</v>
      </c>
      <c r="R8" s="86" t="str">
        <f>REPLACE(INDEX(GroupVertices[Group],MATCH(Edges[[#This Row],[Vertex 2]],GroupVertices[Vertex],0)),1,1,"")</f>
        <v>1</v>
      </c>
      <c r="S8" s="36"/>
      <c r="T8" s="36"/>
      <c r="U8" s="36"/>
      <c r="V8" s="36"/>
      <c r="W8" s="36"/>
      <c r="X8" s="36"/>
      <c r="Y8" s="36"/>
      <c r="Z8" s="36"/>
      <c r="AA8" s="36"/>
    </row>
    <row r="9" spans="1:27" ht="45">
      <c r="A9" s="85" t="s">
        <v>212</v>
      </c>
      <c r="B9" s="85" t="s">
        <v>218</v>
      </c>
      <c r="C9" s="53" t="s">
        <v>1065</v>
      </c>
      <c r="D9" s="54">
        <v>3</v>
      </c>
      <c r="E9" s="66"/>
      <c r="F9" s="55">
        <v>50</v>
      </c>
      <c r="G9" s="53"/>
      <c r="H9" s="57"/>
      <c r="I9" s="56"/>
      <c r="J9" s="56"/>
      <c r="K9" s="36" t="s">
        <v>65</v>
      </c>
      <c r="L9" s="84">
        <v>9</v>
      </c>
      <c r="M9" s="84"/>
      <c r="N9" s="63"/>
      <c r="O9" s="87" t="s">
        <v>304</v>
      </c>
      <c r="P9">
        <v>1</v>
      </c>
      <c r="Q9" s="86" t="str">
        <f>REPLACE(INDEX(GroupVertices[Group],MATCH(Edges[[#This Row],[Vertex 1]],GroupVertices[Vertex],0)),1,1,"")</f>
        <v>1</v>
      </c>
      <c r="R9" s="86" t="str">
        <f>REPLACE(INDEX(GroupVertices[Group],MATCH(Edges[[#This Row],[Vertex 2]],GroupVertices[Vertex],0)),1,1,"")</f>
        <v>1</v>
      </c>
      <c r="S9" s="36"/>
      <c r="T9" s="36"/>
      <c r="U9" s="36"/>
      <c r="V9" s="36"/>
      <c r="W9" s="36"/>
      <c r="X9" s="36"/>
      <c r="Y9" s="36"/>
      <c r="Z9" s="36"/>
      <c r="AA9" s="36"/>
    </row>
    <row r="10" spans="1:27" ht="45">
      <c r="A10" s="85" t="s">
        <v>212</v>
      </c>
      <c r="B10" s="85" t="s">
        <v>219</v>
      </c>
      <c r="C10" s="53" t="s">
        <v>1065</v>
      </c>
      <c r="D10" s="54">
        <v>3</v>
      </c>
      <c r="E10" s="66"/>
      <c r="F10" s="55">
        <v>50</v>
      </c>
      <c r="G10" s="53"/>
      <c r="H10" s="57"/>
      <c r="I10" s="56"/>
      <c r="J10" s="56"/>
      <c r="K10" s="36" t="s">
        <v>65</v>
      </c>
      <c r="L10" s="84">
        <v>10</v>
      </c>
      <c r="M10" s="84"/>
      <c r="N10" s="63"/>
      <c r="O10" s="87" t="s">
        <v>304</v>
      </c>
      <c r="P10">
        <v>1</v>
      </c>
      <c r="Q10" s="86" t="str">
        <f>REPLACE(INDEX(GroupVertices[Group],MATCH(Edges[[#This Row],[Vertex 1]],GroupVertices[Vertex],0)),1,1,"")</f>
        <v>1</v>
      </c>
      <c r="R10" s="86" t="str">
        <f>REPLACE(INDEX(GroupVertices[Group],MATCH(Edges[[#This Row],[Vertex 2]],GroupVertices[Vertex],0)),1,1,"")</f>
        <v>1</v>
      </c>
      <c r="S10" s="36"/>
      <c r="T10" s="36"/>
      <c r="U10" s="36"/>
      <c r="V10" s="36"/>
      <c r="W10" s="36"/>
      <c r="X10" s="36"/>
      <c r="Y10" s="36"/>
      <c r="Z10" s="36"/>
      <c r="AA10" s="36"/>
    </row>
    <row r="11" spans="1:27" ht="45">
      <c r="A11" s="85" t="s">
        <v>212</v>
      </c>
      <c r="B11" s="85" t="s">
        <v>220</v>
      </c>
      <c r="C11" s="53" t="s">
        <v>1065</v>
      </c>
      <c r="D11" s="54">
        <v>3</v>
      </c>
      <c r="E11" s="66"/>
      <c r="F11" s="55">
        <v>50</v>
      </c>
      <c r="G11" s="53"/>
      <c r="H11" s="57"/>
      <c r="I11" s="56"/>
      <c r="J11" s="56"/>
      <c r="K11" s="36" t="s">
        <v>65</v>
      </c>
      <c r="L11" s="84">
        <v>11</v>
      </c>
      <c r="M11" s="84"/>
      <c r="N11" s="63"/>
      <c r="O11" s="87" t="s">
        <v>304</v>
      </c>
      <c r="P11">
        <v>1</v>
      </c>
      <c r="Q11" s="86" t="str">
        <f>REPLACE(INDEX(GroupVertices[Group],MATCH(Edges[[#This Row],[Vertex 1]],GroupVertices[Vertex],0)),1,1,"")</f>
        <v>1</v>
      </c>
      <c r="R11" s="86" t="str">
        <f>REPLACE(INDEX(GroupVertices[Group],MATCH(Edges[[#This Row],[Vertex 2]],GroupVertices[Vertex],0)),1,1,"")</f>
        <v>1</v>
      </c>
      <c r="S11" s="36"/>
      <c r="T11" s="36"/>
      <c r="U11" s="36"/>
      <c r="V11" s="36"/>
      <c r="W11" s="36"/>
      <c r="X11" s="36"/>
      <c r="Y11" s="36"/>
      <c r="Z11" s="36"/>
      <c r="AA11" s="36"/>
    </row>
    <row r="12" spans="1:27" ht="45">
      <c r="A12" s="85" t="s">
        <v>212</v>
      </c>
      <c r="B12" s="85" t="s">
        <v>221</v>
      </c>
      <c r="C12" s="53" t="s">
        <v>1065</v>
      </c>
      <c r="D12" s="54">
        <v>3</v>
      </c>
      <c r="E12" s="66"/>
      <c r="F12" s="55">
        <v>50</v>
      </c>
      <c r="G12" s="53"/>
      <c r="H12" s="57"/>
      <c r="I12" s="56"/>
      <c r="J12" s="56"/>
      <c r="K12" s="36" t="s">
        <v>65</v>
      </c>
      <c r="L12" s="84">
        <v>12</v>
      </c>
      <c r="M12" s="84"/>
      <c r="N12" s="63"/>
      <c r="O12" s="87" t="s">
        <v>304</v>
      </c>
      <c r="P12">
        <v>1</v>
      </c>
      <c r="Q12" s="86" t="str">
        <f>REPLACE(INDEX(GroupVertices[Group],MATCH(Edges[[#This Row],[Vertex 1]],GroupVertices[Vertex],0)),1,1,"")</f>
        <v>1</v>
      </c>
      <c r="R12" s="86" t="str">
        <f>REPLACE(INDEX(GroupVertices[Group],MATCH(Edges[[#This Row],[Vertex 2]],GroupVertices[Vertex],0)),1,1,"")</f>
        <v>1</v>
      </c>
      <c r="S12" s="36"/>
      <c r="T12" s="36"/>
      <c r="U12" s="36"/>
      <c r="V12" s="36"/>
      <c r="W12" s="36"/>
      <c r="X12" s="36"/>
      <c r="Y12" s="36"/>
      <c r="Z12" s="36"/>
      <c r="AA12" s="36"/>
    </row>
    <row r="13" spans="1:27" ht="45">
      <c r="A13" s="85" t="s">
        <v>212</v>
      </c>
      <c r="B13" s="85" t="s">
        <v>222</v>
      </c>
      <c r="C13" s="53" t="s">
        <v>1065</v>
      </c>
      <c r="D13" s="54">
        <v>3</v>
      </c>
      <c r="E13" s="66"/>
      <c r="F13" s="55">
        <v>50</v>
      </c>
      <c r="G13" s="53"/>
      <c r="H13" s="57"/>
      <c r="I13" s="56"/>
      <c r="J13" s="56"/>
      <c r="K13" s="36" t="s">
        <v>65</v>
      </c>
      <c r="L13" s="84">
        <v>13</v>
      </c>
      <c r="M13" s="84"/>
      <c r="N13" s="63"/>
      <c r="O13" s="87" t="s">
        <v>304</v>
      </c>
      <c r="P13">
        <v>1</v>
      </c>
      <c r="Q13" s="86" t="str">
        <f>REPLACE(INDEX(GroupVertices[Group],MATCH(Edges[[#This Row],[Vertex 1]],GroupVertices[Vertex],0)),1,1,"")</f>
        <v>1</v>
      </c>
      <c r="R13" s="86" t="str">
        <f>REPLACE(INDEX(GroupVertices[Group],MATCH(Edges[[#This Row],[Vertex 2]],GroupVertices[Vertex],0)),1,1,"")</f>
        <v>1</v>
      </c>
      <c r="S13" s="36"/>
      <c r="T13" s="36"/>
      <c r="U13" s="36"/>
      <c r="V13" s="36"/>
      <c r="W13" s="36"/>
      <c r="X13" s="36"/>
      <c r="Y13" s="36"/>
      <c r="Z13" s="36"/>
      <c r="AA13" s="36"/>
    </row>
    <row r="14" spans="1:27" ht="45">
      <c r="A14" s="85" t="s">
        <v>212</v>
      </c>
      <c r="B14" s="85" t="s">
        <v>223</v>
      </c>
      <c r="C14" s="53" t="s">
        <v>1065</v>
      </c>
      <c r="D14" s="54">
        <v>3</v>
      </c>
      <c r="E14" s="66"/>
      <c r="F14" s="55">
        <v>50</v>
      </c>
      <c r="G14" s="53"/>
      <c r="H14" s="57"/>
      <c r="I14" s="56"/>
      <c r="J14" s="56"/>
      <c r="K14" s="36" t="s">
        <v>65</v>
      </c>
      <c r="L14" s="84">
        <v>14</v>
      </c>
      <c r="M14" s="84"/>
      <c r="N14" s="63"/>
      <c r="O14" s="87" t="s">
        <v>304</v>
      </c>
      <c r="P14">
        <v>1</v>
      </c>
      <c r="Q14" s="86" t="str">
        <f>REPLACE(INDEX(GroupVertices[Group],MATCH(Edges[[#This Row],[Vertex 1]],GroupVertices[Vertex],0)),1,1,"")</f>
        <v>1</v>
      </c>
      <c r="R14" s="86" t="str">
        <f>REPLACE(INDEX(GroupVertices[Group],MATCH(Edges[[#This Row],[Vertex 2]],GroupVertices[Vertex],0)),1,1,"")</f>
        <v>1</v>
      </c>
      <c r="S14" s="36"/>
      <c r="T14" s="36"/>
      <c r="U14" s="36"/>
      <c r="V14" s="36"/>
      <c r="W14" s="36"/>
      <c r="X14" s="36"/>
      <c r="Y14" s="36"/>
      <c r="Z14" s="36"/>
      <c r="AA14" s="36"/>
    </row>
    <row r="15" spans="1:27" ht="45">
      <c r="A15" s="85" t="s">
        <v>212</v>
      </c>
      <c r="B15" s="85" t="s">
        <v>224</v>
      </c>
      <c r="C15" s="53" t="s">
        <v>1065</v>
      </c>
      <c r="D15" s="54">
        <v>3</v>
      </c>
      <c r="E15" s="66"/>
      <c r="F15" s="55">
        <v>50</v>
      </c>
      <c r="G15" s="53"/>
      <c r="H15" s="57"/>
      <c r="I15" s="56"/>
      <c r="J15" s="56"/>
      <c r="K15" s="36" t="s">
        <v>65</v>
      </c>
      <c r="L15" s="84">
        <v>15</v>
      </c>
      <c r="M15" s="84"/>
      <c r="N15" s="63"/>
      <c r="O15" s="87" t="s">
        <v>304</v>
      </c>
      <c r="P15">
        <v>1</v>
      </c>
      <c r="Q15" s="86" t="str">
        <f>REPLACE(INDEX(GroupVertices[Group],MATCH(Edges[[#This Row],[Vertex 1]],GroupVertices[Vertex],0)),1,1,"")</f>
        <v>1</v>
      </c>
      <c r="R15" s="86" t="str">
        <f>REPLACE(INDEX(GroupVertices[Group],MATCH(Edges[[#This Row],[Vertex 2]],GroupVertices[Vertex],0)),1,1,"")</f>
        <v>1</v>
      </c>
      <c r="S15" s="36"/>
      <c r="T15" s="36"/>
      <c r="U15" s="36"/>
      <c r="V15" s="36"/>
      <c r="W15" s="36"/>
      <c r="X15" s="36"/>
      <c r="Y15" s="36"/>
      <c r="Z15" s="36"/>
      <c r="AA15" s="36"/>
    </row>
    <row r="16" spans="1:27" ht="45">
      <c r="A16" s="85" t="s">
        <v>212</v>
      </c>
      <c r="B16" s="85" t="s">
        <v>225</v>
      </c>
      <c r="C16" s="53" t="s">
        <v>1065</v>
      </c>
      <c r="D16" s="54">
        <v>3</v>
      </c>
      <c r="E16" s="66"/>
      <c r="F16" s="55">
        <v>50</v>
      </c>
      <c r="G16" s="53"/>
      <c r="H16" s="57"/>
      <c r="I16" s="56"/>
      <c r="J16" s="56"/>
      <c r="K16" s="36" t="s">
        <v>65</v>
      </c>
      <c r="L16" s="84">
        <v>16</v>
      </c>
      <c r="M16" s="84"/>
      <c r="N16" s="63"/>
      <c r="O16" s="87" t="s">
        <v>304</v>
      </c>
      <c r="P16">
        <v>1</v>
      </c>
      <c r="Q16" s="86" t="str">
        <f>REPLACE(INDEX(GroupVertices[Group],MATCH(Edges[[#This Row],[Vertex 1]],GroupVertices[Vertex],0)),1,1,"")</f>
        <v>1</v>
      </c>
      <c r="R16" s="86" t="str">
        <f>REPLACE(INDEX(GroupVertices[Group],MATCH(Edges[[#This Row],[Vertex 2]],GroupVertices[Vertex],0)),1,1,"")</f>
        <v>1</v>
      </c>
      <c r="S16" s="36"/>
      <c r="T16" s="36"/>
      <c r="U16" s="36"/>
      <c r="V16" s="36"/>
      <c r="W16" s="36"/>
      <c r="X16" s="36"/>
      <c r="Y16" s="36"/>
      <c r="Z16" s="36"/>
      <c r="AA16" s="36"/>
    </row>
    <row r="17" spans="1:27" ht="45">
      <c r="A17" s="85" t="s">
        <v>212</v>
      </c>
      <c r="B17" s="85" t="s">
        <v>226</v>
      </c>
      <c r="C17" s="53" t="s">
        <v>1065</v>
      </c>
      <c r="D17" s="54">
        <v>3</v>
      </c>
      <c r="E17" s="66"/>
      <c r="F17" s="55">
        <v>50</v>
      </c>
      <c r="G17" s="53"/>
      <c r="H17" s="57"/>
      <c r="I17" s="56"/>
      <c r="J17" s="56"/>
      <c r="K17" s="36" t="s">
        <v>65</v>
      </c>
      <c r="L17" s="84">
        <v>17</v>
      </c>
      <c r="M17" s="84"/>
      <c r="N17" s="63"/>
      <c r="O17" s="87" t="s">
        <v>304</v>
      </c>
      <c r="P17">
        <v>1</v>
      </c>
      <c r="Q17" s="86" t="str">
        <f>REPLACE(INDEX(GroupVertices[Group],MATCH(Edges[[#This Row],[Vertex 1]],GroupVertices[Vertex],0)),1,1,"")</f>
        <v>1</v>
      </c>
      <c r="R17" s="86" t="str">
        <f>REPLACE(INDEX(GroupVertices[Group],MATCH(Edges[[#This Row],[Vertex 2]],GroupVertices[Vertex],0)),1,1,"")</f>
        <v>1</v>
      </c>
      <c r="S17" s="36"/>
      <c r="T17" s="36"/>
      <c r="U17" s="36"/>
      <c r="V17" s="36"/>
      <c r="W17" s="36"/>
      <c r="X17" s="36"/>
      <c r="Y17" s="36"/>
      <c r="Z17" s="36"/>
      <c r="AA17" s="36"/>
    </row>
    <row r="18" spans="1:27" ht="45">
      <c r="A18" s="85" t="s">
        <v>212</v>
      </c>
      <c r="B18" s="85" t="s">
        <v>227</v>
      </c>
      <c r="C18" s="53" t="s">
        <v>1065</v>
      </c>
      <c r="D18" s="54">
        <v>3</v>
      </c>
      <c r="E18" s="66"/>
      <c r="F18" s="55">
        <v>50</v>
      </c>
      <c r="G18" s="53"/>
      <c r="H18" s="57"/>
      <c r="I18" s="56"/>
      <c r="J18" s="56"/>
      <c r="K18" s="36" t="s">
        <v>65</v>
      </c>
      <c r="L18" s="84">
        <v>18</v>
      </c>
      <c r="M18" s="84"/>
      <c r="N18" s="63"/>
      <c r="O18" s="87" t="s">
        <v>304</v>
      </c>
      <c r="P18">
        <v>1</v>
      </c>
      <c r="Q18" s="86" t="str">
        <f>REPLACE(INDEX(GroupVertices[Group],MATCH(Edges[[#This Row],[Vertex 1]],GroupVertices[Vertex],0)),1,1,"")</f>
        <v>1</v>
      </c>
      <c r="R18" s="86" t="str">
        <f>REPLACE(INDEX(GroupVertices[Group],MATCH(Edges[[#This Row],[Vertex 2]],GroupVertices[Vertex],0)),1,1,"")</f>
        <v>1</v>
      </c>
      <c r="S18" s="36"/>
      <c r="T18" s="36"/>
      <c r="U18" s="36"/>
      <c r="V18" s="36"/>
      <c r="W18" s="36"/>
      <c r="X18" s="36"/>
      <c r="Y18" s="36"/>
      <c r="Z18" s="36"/>
      <c r="AA18" s="36"/>
    </row>
    <row r="19" spans="1:27" ht="45">
      <c r="A19" s="85" t="s">
        <v>212</v>
      </c>
      <c r="B19" s="85" t="s">
        <v>228</v>
      </c>
      <c r="C19" s="53" t="s">
        <v>1065</v>
      </c>
      <c r="D19" s="54">
        <v>3</v>
      </c>
      <c r="E19" s="66"/>
      <c r="F19" s="55">
        <v>50</v>
      </c>
      <c r="G19" s="53"/>
      <c r="H19" s="57"/>
      <c r="I19" s="56"/>
      <c r="J19" s="56"/>
      <c r="K19" s="36" t="s">
        <v>65</v>
      </c>
      <c r="L19" s="84">
        <v>19</v>
      </c>
      <c r="M19" s="84"/>
      <c r="N19" s="63"/>
      <c r="O19" s="87" t="s">
        <v>304</v>
      </c>
      <c r="P19">
        <v>1</v>
      </c>
      <c r="Q19" s="86" t="str">
        <f>REPLACE(INDEX(GroupVertices[Group],MATCH(Edges[[#This Row],[Vertex 1]],GroupVertices[Vertex],0)),1,1,"")</f>
        <v>1</v>
      </c>
      <c r="R19" s="86" t="str">
        <f>REPLACE(INDEX(GroupVertices[Group],MATCH(Edges[[#This Row],[Vertex 2]],GroupVertices[Vertex],0)),1,1,"")</f>
        <v>1</v>
      </c>
      <c r="S19" s="36"/>
      <c r="T19" s="36"/>
      <c r="U19" s="36"/>
      <c r="V19" s="36"/>
      <c r="W19" s="36"/>
      <c r="X19" s="36"/>
      <c r="Y19" s="36"/>
      <c r="Z19" s="36"/>
      <c r="AA19" s="36"/>
    </row>
    <row r="20" spans="1:27" ht="45">
      <c r="A20" s="85" t="s">
        <v>212</v>
      </c>
      <c r="B20" s="85" t="s">
        <v>229</v>
      </c>
      <c r="C20" s="53" t="s">
        <v>1065</v>
      </c>
      <c r="D20" s="54">
        <v>3</v>
      </c>
      <c r="E20" s="66"/>
      <c r="F20" s="55">
        <v>50</v>
      </c>
      <c r="G20" s="53"/>
      <c r="H20" s="57"/>
      <c r="I20" s="56"/>
      <c r="J20" s="56"/>
      <c r="K20" s="36" t="s">
        <v>65</v>
      </c>
      <c r="L20" s="84">
        <v>20</v>
      </c>
      <c r="M20" s="84"/>
      <c r="N20" s="63"/>
      <c r="O20" s="87" t="s">
        <v>304</v>
      </c>
      <c r="P20">
        <v>1</v>
      </c>
      <c r="Q20" s="86" t="str">
        <f>REPLACE(INDEX(GroupVertices[Group],MATCH(Edges[[#This Row],[Vertex 1]],GroupVertices[Vertex],0)),1,1,"")</f>
        <v>1</v>
      </c>
      <c r="R20" s="86" t="str">
        <f>REPLACE(INDEX(GroupVertices[Group],MATCH(Edges[[#This Row],[Vertex 2]],GroupVertices[Vertex],0)),1,1,"")</f>
        <v>1</v>
      </c>
      <c r="S20" s="36"/>
      <c r="T20" s="36"/>
      <c r="U20" s="36"/>
      <c r="V20" s="36"/>
      <c r="W20" s="36"/>
      <c r="X20" s="36"/>
      <c r="Y20" s="36"/>
      <c r="Z20" s="36"/>
      <c r="AA20" s="36"/>
    </row>
    <row r="21" spans="1:27" ht="45">
      <c r="A21" s="85" t="s">
        <v>212</v>
      </c>
      <c r="B21" s="85" t="s">
        <v>230</v>
      </c>
      <c r="C21" s="53" t="s">
        <v>1065</v>
      </c>
      <c r="D21" s="54">
        <v>3</v>
      </c>
      <c r="E21" s="66"/>
      <c r="F21" s="55">
        <v>50</v>
      </c>
      <c r="G21" s="53"/>
      <c r="H21" s="57"/>
      <c r="I21" s="56"/>
      <c r="J21" s="56"/>
      <c r="K21" s="36" t="s">
        <v>65</v>
      </c>
      <c r="L21" s="84">
        <v>21</v>
      </c>
      <c r="M21" s="84"/>
      <c r="N21" s="63"/>
      <c r="O21" s="87" t="s">
        <v>304</v>
      </c>
      <c r="P21">
        <v>1</v>
      </c>
      <c r="Q21" s="86" t="str">
        <f>REPLACE(INDEX(GroupVertices[Group],MATCH(Edges[[#This Row],[Vertex 1]],GroupVertices[Vertex],0)),1,1,"")</f>
        <v>1</v>
      </c>
      <c r="R21" s="86" t="str">
        <f>REPLACE(INDEX(GroupVertices[Group],MATCH(Edges[[#This Row],[Vertex 2]],GroupVertices[Vertex],0)),1,1,"")</f>
        <v>1</v>
      </c>
      <c r="S21" s="36"/>
      <c r="T21" s="36"/>
      <c r="U21" s="36"/>
      <c r="V21" s="36"/>
      <c r="W21" s="36"/>
      <c r="X21" s="36"/>
      <c r="Y21" s="36"/>
      <c r="Z21" s="36"/>
      <c r="AA21" s="36"/>
    </row>
    <row r="22" spans="1:27" ht="45">
      <c r="A22" s="85" t="s">
        <v>212</v>
      </c>
      <c r="B22" s="85" t="s">
        <v>231</v>
      </c>
      <c r="C22" s="53" t="s">
        <v>1065</v>
      </c>
      <c r="D22" s="54">
        <v>3</v>
      </c>
      <c r="E22" s="66"/>
      <c r="F22" s="55">
        <v>50</v>
      </c>
      <c r="G22" s="53"/>
      <c r="H22" s="57"/>
      <c r="I22" s="56"/>
      <c r="J22" s="56"/>
      <c r="K22" s="36" t="s">
        <v>65</v>
      </c>
      <c r="L22" s="84">
        <v>22</v>
      </c>
      <c r="M22" s="84"/>
      <c r="N22" s="63"/>
      <c r="O22" s="87" t="s">
        <v>304</v>
      </c>
      <c r="P22">
        <v>1</v>
      </c>
      <c r="Q22" s="86" t="str">
        <f>REPLACE(INDEX(GroupVertices[Group],MATCH(Edges[[#This Row],[Vertex 1]],GroupVertices[Vertex],0)),1,1,"")</f>
        <v>1</v>
      </c>
      <c r="R22" s="86" t="str">
        <f>REPLACE(INDEX(GroupVertices[Group],MATCH(Edges[[#This Row],[Vertex 2]],GroupVertices[Vertex],0)),1,1,"")</f>
        <v>1</v>
      </c>
      <c r="S22" s="36"/>
      <c r="T22" s="36"/>
      <c r="U22" s="36"/>
      <c r="V22" s="36"/>
      <c r="W22" s="36"/>
      <c r="X22" s="36"/>
      <c r="Y22" s="36"/>
      <c r="Z22" s="36"/>
      <c r="AA22" s="36"/>
    </row>
    <row r="23" spans="1:27" ht="45">
      <c r="A23" s="85" t="s">
        <v>212</v>
      </c>
      <c r="B23" s="85" t="s">
        <v>232</v>
      </c>
      <c r="C23" s="53" t="s">
        <v>1065</v>
      </c>
      <c r="D23" s="54">
        <v>3</v>
      </c>
      <c r="E23" s="66"/>
      <c r="F23" s="55">
        <v>50</v>
      </c>
      <c r="G23" s="53"/>
      <c r="H23" s="57"/>
      <c r="I23" s="56"/>
      <c r="J23" s="56"/>
      <c r="K23" s="36" t="s">
        <v>65</v>
      </c>
      <c r="L23" s="84">
        <v>23</v>
      </c>
      <c r="M23" s="84"/>
      <c r="N23" s="63"/>
      <c r="O23" s="87" t="s">
        <v>304</v>
      </c>
      <c r="P23">
        <v>1</v>
      </c>
      <c r="Q23" s="86" t="str">
        <f>REPLACE(INDEX(GroupVertices[Group],MATCH(Edges[[#This Row],[Vertex 1]],GroupVertices[Vertex],0)),1,1,"")</f>
        <v>1</v>
      </c>
      <c r="R23" s="86" t="str">
        <f>REPLACE(INDEX(GroupVertices[Group],MATCH(Edges[[#This Row],[Vertex 2]],GroupVertices[Vertex],0)),1,1,"")</f>
        <v>1</v>
      </c>
      <c r="S23" s="36"/>
      <c r="T23" s="36"/>
      <c r="U23" s="36"/>
      <c r="V23" s="36"/>
      <c r="W23" s="36"/>
      <c r="X23" s="36"/>
      <c r="Y23" s="36"/>
      <c r="Z23" s="36"/>
      <c r="AA23" s="36"/>
    </row>
    <row r="24" spans="1:27" ht="45">
      <c r="A24" s="85" t="s">
        <v>212</v>
      </c>
      <c r="B24" s="85" t="s">
        <v>233</v>
      </c>
      <c r="C24" s="53" t="s">
        <v>1065</v>
      </c>
      <c r="D24" s="54">
        <v>3</v>
      </c>
      <c r="E24" s="66"/>
      <c r="F24" s="55">
        <v>50</v>
      </c>
      <c r="G24" s="53"/>
      <c r="H24" s="57"/>
      <c r="I24" s="56"/>
      <c r="J24" s="56"/>
      <c r="K24" s="36" t="s">
        <v>65</v>
      </c>
      <c r="L24" s="84">
        <v>24</v>
      </c>
      <c r="M24" s="84"/>
      <c r="N24" s="63"/>
      <c r="O24" s="87" t="s">
        <v>304</v>
      </c>
      <c r="P24">
        <v>1</v>
      </c>
      <c r="Q24" s="86" t="str">
        <f>REPLACE(INDEX(GroupVertices[Group],MATCH(Edges[[#This Row],[Vertex 1]],GroupVertices[Vertex],0)),1,1,"")</f>
        <v>1</v>
      </c>
      <c r="R24" s="86" t="str">
        <f>REPLACE(INDEX(GroupVertices[Group],MATCH(Edges[[#This Row],[Vertex 2]],GroupVertices[Vertex],0)),1,1,"")</f>
        <v>1</v>
      </c>
      <c r="S24" s="36"/>
      <c r="T24" s="36"/>
      <c r="U24" s="36"/>
      <c r="V24" s="36"/>
      <c r="W24" s="36"/>
      <c r="X24" s="36"/>
      <c r="Y24" s="36"/>
      <c r="Z24" s="36"/>
      <c r="AA24" s="36"/>
    </row>
    <row r="25" spans="1:27" ht="45">
      <c r="A25" s="85" t="s">
        <v>212</v>
      </c>
      <c r="B25" s="85" t="s">
        <v>234</v>
      </c>
      <c r="C25" s="53" t="s">
        <v>1065</v>
      </c>
      <c r="D25" s="54">
        <v>3</v>
      </c>
      <c r="E25" s="66"/>
      <c r="F25" s="55">
        <v>50</v>
      </c>
      <c r="G25" s="53"/>
      <c r="H25" s="57"/>
      <c r="I25" s="56"/>
      <c r="J25" s="56"/>
      <c r="K25" s="36" t="s">
        <v>65</v>
      </c>
      <c r="L25" s="84">
        <v>25</v>
      </c>
      <c r="M25" s="84"/>
      <c r="N25" s="63"/>
      <c r="O25" s="87" t="s">
        <v>304</v>
      </c>
      <c r="P25">
        <v>1</v>
      </c>
      <c r="Q25" s="86" t="str">
        <f>REPLACE(INDEX(GroupVertices[Group],MATCH(Edges[[#This Row],[Vertex 1]],GroupVertices[Vertex],0)),1,1,"")</f>
        <v>1</v>
      </c>
      <c r="R25" s="86" t="str">
        <f>REPLACE(INDEX(GroupVertices[Group],MATCH(Edges[[#This Row],[Vertex 2]],GroupVertices[Vertex],0)),1,1,"")</f>
        <v>1</v>
      </c>
      <c r="S25" s="36"/>
      <c r="T25" s="36"/>
      <c r="U25" s="36"/>
      <c r="V25" s="36"/>
      <c r="W25" s="36"/>
      <c r="X25" s="36"/>
      <c r="Y25" s="36"/>
      <c r="Z25" s="36"/>
      <c r="AA25" s="36"/>
    </row>
    <row r="26" spans="1:27" ht="45">
      <c r="A26" s="85" t="s">
        <v>212</v>
      </c>
      <c r="B26" s="85" t="s">
        <v>235</v>
      </c>
      <c r="C26" s="53" t="s">
        <v>1065</v>
      </c>
      <c r="D26" s="54">
        <v>3</v>
      </c>
      <c r="E26" s="66"/>
      <c r="F26" s="55">
        <v>50</v>
      </c>
      <c r="G26" s="53"/>
      <c r="H26" s="57"/>
      <c r="I26" s="56"/>
      <c r="J26" s="56"/>
      <c r="K26" s="36" t="s">
        <v>65</v>
      </c>
      <c r="L26" s="84">
        <v>26</v>
      </c>
      <c r="M26" s="84"/>
      <c r="N26" s="63"/>
      <c r="O26" s="87" t="s">
        <v>304</v>
      </c>
      <c r="P26">
        <v>1</v>
      </c>
      <c r="Q26" s="86" t="str">
        <f>REPLACE(INDEX(GroupVertices[Group],MATCH(Edges[[#This Row],[Vertex 1]],GroupVertices[Vertex],0)),1,1,"")</f>
        <v>1</v>
      </c>
      <c r="R26" s="86" t="str">
        <f>REPLACE(INDEX(GroupVertices[Group],MATCH(Edges[[#This Row],[Vertex 2]],GroupVertices[Vertex],0)),1,1,"")</f>
        <v>1</v>
      </c>
      <c r="S26" s="36"/>
      <c r="T26" s="36"/>
      <c r="U26" s="36"/>
      <c r="V26" s="36"/>
      <c r="W26" s="36"/>
      <c r="X26" s="36"/>
      <c r="Y26" s="36"/>
      <c r="Z26" s="36"/>
      <c r="AA26" s="36"/>
    </row>
    <row r="27" spans="1:27" ht="45">
      <c r="A27" s="85" t="s">
        <v>212</v>
      </c>
      <c r="B27" s="85" t="s">
        <v>236</v>
      </c>
      <c r="C27" s="53" t="s">
        <v>1065</v>
      </c>
      <c r="D27" s="54">
        <v>3</v>
      </c>
      <c r="E27" s="66"/>
      <c r="F27" s="55">
        <v>50</v>
      </c>
      <c r="G27" s="53"/>
      <c r="H27" s="57"/>
      <c r="I27" s="56"/>
      <c r="J27" s="56"/>
      <c r="K27" s="36" t="s">
        <v>65</v>
      </c>
      <c r="L27" s="84">
        <v>27</v>
      </c>
      <c r="M27" s="84"/>
      <c r="N27" s="63"/>
      <c r="O27" s="87" t="s">
        <v>304</v>
      </c>
      <c r="P27">
        <v>1</v>
      </c>
      <c r="Q27" s="86" t="str">
        <f>REPLACE(INDEX(GroupVertices[Group],MATCH(Edges[[#This Row],[Vertex 1]],GroupVertices[Vertex],0)),1,1,"")</f>
        <v>1</v>
      </c>
      <c r="R27" s="86" t="str">
        <f>REPLACE(INDEX(GroupVertices[Group],MATCH(Edges[[#This Row],[Vertex 2]],GroupVertices[Vertex],0)),1,1,"")</f>
        <v>1</v>
      </c>
      <c r="S27" s="36"/>
      <c r="T27" s="36"/>
      <c r="U27" s="36"/>
      <c r="V27" s="36"/>
      <c r="W27" s="36"/>
      <c r="X27" s="36"/>
      <c r="Y27" s="36"/>
      <c r="Z27" s="36"/>
      <c r="AA27" s="36"/>
    </row>
    <row r="28" spans="1:27" ht="45">
      <c r="A28" s="85" t="s">
        <v>212</v>
      </c>
      <c r="B28" s="85" t="s">
        <v>237</v>
      </c>
      <c r="C28" s="53" t="s">
        <v>1065</v>
      </c>
      <c r="D28" s="54">
        <v>3</v>
      </c>
      <c r="E28" s="66"/>
      <c r="F28" s="55">
        <v>50</v>
      </c>
      <c r="G28" s="53"/>
      <c r="H28" s="57"/>
      <c r="I28" s="56"/>
      <c r="J28" s="56"/>
      <c r="K28" s="36" t="s">
        <v>65</v>
      </c>
      <c r="L28" s="84">
        <v>28</v>
      </c>
      <c r="M28" s="84"/>
      <c r="N28" s="63"/>
      <c r="O28" s="87" t="s">
        <v>304</v>
      </c>
      <c r="P28">
        <v>1</v>
      </c>
      <c r="Q28" s="86" t="str">
        <f>REPLACE(INDEX(GroupVertices[Group],MATCH(Edges[[#This Row],[Vertex 1]],GroupVertices[Vertex],0)),1,1,"")</f>
        <v>1</v>
      </c>
      <c r="R28" s="86" t="str">
        <f>REPLACE(INDEX(GroupVertices[Group],MATCH(Edges[[#This Row],[Vertex 2]],GroupVertices[Vertex],0)),1,1,"")</f>
        <v>1</v>
      </c>
      <c r="S28" s="36"/>
      <c r="T28" s="36"/>
      <c r="U28" s="36"/>
      <c r="V28" s="36"/>
      <c r="W28" s="36"/>
      <c r="X28" s="36"/>
      <c r="Y28" s="36"/>
      <c r="Z28" s="36"/>
      <c r="AA28" s="36"/>
    </row>
    <row r="29" spans="1:27" ht="45">
      <c r="A29" s="85" t="s">
        <v>212</v>
      </c>
      <c r="B29" s="85" t="s">
        <v>238</v>
      </c>
      <c r="C29" s="53" t="s">
        <v>1065</v>
      </c>
      <c r="D29" s="54">
        <v>3</v>
      </c>
      <c r="E29" s="66"/>
      <c r="F29" s="55">
        <v>50</v>
      </c>
      <c r="G29" s="53"/>
      <c r="H29" s="57"/>
      <c r="I29" s="56"/>
      <c r="J29" s="56"/>
      <c r="K29" s="36" t="s">
        <v>65</v>
      </c>
      <c r="L29" s="84">
        <v>29</v>
      </c>
      <c r="M29" s="84"/>
      <c r="N29" s="63"/>
      <c r="O29" s="87" t="s">
        <v>304</v>
      </c>
      <c r="P29">
        <v>1</v>
      </c>
      <c r="Q29" s="86" t="str">
        <f>REPLACE(INDEX(GroupVertices[Group],MATCH(Edges[[#This Row],[Vertex 1]],GroupVertices[Vertex],0)),1,1,"")</f>
        <v>1</v>
      </c>
      <c r="R29" s="86" t="str">
        <f>REPLACE(INDEX(GroupVertices[Group],MATCH(Edges[[#This Row],[Vertex 2]],GroupVertices[Vertex],0)),1,1,"")</f>
        <v>1</v>
      </c>
      <c r="S29" s="36"/>
      <c r="T29" s="36"/>
      <c r="U29" s="36"/>
      <c r="V29" s="36"/>
      <c r="W29" s="36"/>
      <c r="X29" s="36"/>
      <c r="Y29" s="36"/>
      <c r="Z29" s="36"/>
      <c r="AA29" s="36"/>
    </row>
    <row r="30" spans="1:27" ht="45">
      <c r="A30" s="85" t="s">
        <v>212</v>
      </c>
      <c r="B30" s="85" t="s">
        <v>239</v>
      </c>
      <c r="C30" s="53" t="s">
        <v>1065</v>
      </c>
      <c r="D30" s="54">
        <v>3</v>
      </c>
      <c r="E30" s="66"/>
      <c r="F30" s="55">
        <v>50</v>
      </c>
      <c r="G30" s="53"/>
      <c r="H30" s="57"/>
      <c r="I30" s="56"/>
      <c r="J30" s="56"/>
      <c r="K30" s="36" t="s">
        <v>65</v>
      </c>
      <c r="L30" s="84">
        <v>30</v>
      </c>
      <c r="M30" s="84"/>
      <c r="N30" s="63"/>
      <c r="O30" s="87" t="s">
        <v>304</v>
      </c>
      <c r="P30">
        <v>1</v>
      </c>
      <c r="Q30" s="86" t="str">
        <f>REPLACE(INDEX(GroupVertices[Group],MATCH(Edges[[#This Row],[Vertex 1]],GroupVertices[Vertex],0)),1,1,"")</f>
        <v>1</v>
      </c>
      <c r="R30" s="86" t="str">
        <f>REPLACE(INDEX(GroupVertices[Group],MATCH(Edges[[#This Row],[Vertex 2]],GroupVertices[Vertex],0)),1,1,"")</f>
        <v>1</v>
      </c>
      <c r="S30" s="36"/>
      <c r="T30" s="36"/>
      <c r="U30" s="36"/>
      <c r="V30" s="36"/>
      <c r="W30" s="36"/>
      <c r="X30" s="36"/>
      <c r="Y30" s="36"/>
      <c r="Z30" s="36"/>
      <c r="AA30" s="36"/>
    </row>
    <row r="31" spans="1:27" ht="45">
      <c r="A31" s="85" t="s">
        <v>212</v>
      </c>
      <c r="B31" s="85" t="s">
        <v>240</v>
      </c>
      <c r="C31" s="53" t="s">
        <v>1065</v>
      </c>
      <c r="D31" s="54">
        <v>3</v>
      </c>
      <c r="E31" s="66"/>
      <c r="F31" s="55">
        <v>50</v>
      </c>
      <c r="G31" s="53"/>
      <c r="H31" s="57"/>
      <c r="I31" s="56"/>
      <c r="J31" s="56"/>
      <c r="K31" s="36" t="s">
        <v>65</v>
      </c>
      <c r="L31" s="84">
        <v>31</v>
      </c>
      <c r="M31" s="84"/>
      <c r="N31" s="63"/>
      <c r="O31" s="87" t="s">
        <v>304</v>
      </c>
      <c r="P31">
        <v>1</v>
      </c>
      <c r="Q31" s="86" t="str">
        <f>REPLACE(INDEX(GroupVertices[Group],MATCH(Edges[[#This Row],[Vertex 1]],GroupVertices[Vertex],0)),1,1,"")</f>
        <v>1</v>
      </c>
      <c r="R31" s="86" t="str">
        <f>REPLACE(INDEX(GroupVertices[Group],MATCH(Edges[[#This Row],[Vertex 2]],GroupVertices[Vertex],0)),1,1,"")</f>
        <v>1</v>
      </c>
      <c r="S31" s="36"/>
      <c r="T31" s="36"/>
      <c r="U31" s="36"/>
      <c r="V31" s="36"/>
      <c r="W31" s="36"/>
      <c r="X31" s="36"/>
      <c r="Y31" s="36"/>
      <c r="Z31" s="36"/>
      <c r="AA31" s="36"/>
    </row>
    <row r="32" spans="1:27" ht="45">
      <c r="A32" s="85" t="s">
        <v>212</v>
      </c>
      <c r="B32" s="85" t="s">
        <v>241</v>
      </c>
      <c r="C32" s="53" t="s">
        <v>1065</v>
      </c>
      <c r="D32" s="54">
        <v>3</v>
      </c>
      <c r="E32" s="66"/>
      <c r="F32" s="55">
        <v>50</v>
      </c>
      <c r="G32" s="53"/>
      <c r="H32" s="57"/>
      <c r="I32" s="56"/>
      <c r="J32" s="56"/>
      <c r="K32" s="36" t="s">
        <v>65</v>
      </c>
      <c r="L32" s="84">
        <v>32</v>
      </c>
      <c r="M32" s="84"/>
      <c r="N32" s="63"/>
      <c r="O32" s="87" t="s">
        <v>304</v>
      </c>
      <c r="P32">
        <v>1</v>
      </c>
      <c r="Q32" s="86" t="str">
        <f>REPLACE(INDEX(GroupVertices[Group],MATCH(Edges[[#This Row],[Vertex 1]],GroupVertices[Vertex],0)),1,1,"")</f>
        <v>1</v>
      </c>
      <c r="R32" s="86" t="str">
        <f>REPLACE(INDEX(GroupVertices[Group],MATCH(Edges[[#This Row],[Vertex 2]],GroupVertices[Vertex],0)),1,1,"")</f>
        <v>1</v>
      </c>
      <c r="S32" s="36"/>
      <c r="T32" s="36"/>
      <c r="U32" s="36"/>
      <c r="V32" s="36"/>
      <c r="W32" s="36"/>
      <c r="X32" s="36"/>
      <c r="Y32" s="36"/>
      <c r="Z32" s="36"/>
      <c r="AA32" s="36"/>
    </row>
    <row r="33" spans="1:27" ht="45">
      <c r="A33" s="85" t="s">
        <v>212</v>
      </c>
      <c r="B33" s="85" t="s">
        <v>242</v>
      </c>
      <c r="C33" s="53" t="s">
        <v>1065</v>
      </c>
      <c r="D33" s="54">
        <v>3</v>
      </c>
      <c r="E33" s="66"/>
      <c r="F33" s="55">
        <v>50</v>
      </c>
      <c r="G33" s="53"/>
      <c r="H33" s="57"/>
      <c r="I33" s="56"/>
      <c r="J33" s="56"/>
      <c r="K33" s="36" t="s">
        <v>65</v>
      </c>
      <c r="L33" s="84">
        <v>33</v>
      </c>
      <c r="M33" s="84"/>
      <c r="N33" s="63"/>
      <c r="O33" s="87" t="s">
        <v>304</v>
      </c>
      <c r="P33">
        <v>1</v>
      </c>
      <c r="Q33" s="86" t="str">
        <f>REPLACE(INDEX(GroupVertices[Group],MATCH(Edges[[#This Row],[Vertex 1]],GroupVertices[Vertex],0)),1,1,"")</f>
        <v>1</v>
      </c>
      <c r="R33" s="86" t="str">
        <f>REPLACE(INDEX(GroupVertices[Group],MATCH(Edges[[#This Row],[Vertex 2]],GroupVertices[Vertex],0)),1,1,"")</f>
        <v>1</v>
      </c>
      <c r="S33" s="36"/>
      <c r="T33" s="36"/>
      <c r="U33" s="36"/>
      <c r="V33" s="36"/>
      <c r="W33" s="36"/>
      <c r="X33" s="36"/>
      <c r="Y33" s="36"/>
      <c r="Z33" s="36"/>
      <c r="AA33" s="36"/>
    </row>
    <row r="34" spans="1:27" ht="45">
      <c r="A34" s="85" t="s">
        <v>212</v>
      </c>
      <c r="B34" s="85" t="s">
        <v>243</v>
      </c>
      <c r="C34" s="53" t="s">
        <v>1065</v>
      </c>
      <c r="D34" s="54">
        <v>3</v>
      </c>
      <c r="E34" s="66"/>
      <c r="F34" s="55">
        <v>50</v>
      </c>
      <c r="G34" s="53"/>
      <c r="H34" s="57"/>
      <c r="I34" s="56"/>
      <c r="J34" s="56"/>
      <c r="K34" s="36" t="s">
        <v>65</v>
      </c>
      <c r="L34" s="84">
        <v>34</v>
      </c>
      <c r="M34" s="84"/>
      <c r="N34" s="63"/>
      <c r="O34" s="87" t="s">
        <v>304</v>
      </c>
      <c r="P34">
        <v>1</v>
      </c>
      <c r="Q34" s="86" t="str">
        <f>REPLACE(INDEX(GroupVertices[Group],MATCH(Edges[[#This Row],[Vertex 1]],GroupVertices[Vertex],0)),1,1,"")</f>
        <v>1</v>
      </c>
      <c r="R34" s="86" t="str">
        <f>REPLACE(INDEX(GroupVertices[Group],MATCH(Edges[[#This Row],[Vertex 2]],GroupVertices[Vertex],0)),1,1,"")</f>
        <v>1</v>
      </c>
      <c r="S34" s="36"/>
      <c r="T34" s="36"/>
      <c r="U34" s="36"/>
      <c r="V34" s="36"/>
      <c r="W34" s="36"/>
      <c r="X34" s="36"/>
      <c r="Y34" s="36"/>
      <c r="Z34" s="36"/>
      <c r="AA34" s="36"/>
    </row>
    <row r="35" spans="1:27" ht="45">
      <c r="A35" s="85" t="s">
        <v>212</v>
      </c>
      <c r="B35" s="85" t="s">
        <v>244</v>
      </c>
      <c r="C35" s="53" t="s">
        <v>1065</v>
      </c>
      <c r="D35" s="54">
        <v>3</v>
      </c>
      <c r="E35" s="66"/>
      <c r="F35" s="55">
        <v>50</v>
      </c>
      <c r="G35" s="53"/>
      <c r="H35" s="57"/>
      <c r="I35" s="56"/>
      <c r="J35" s="56"/>
      <c r="K35" s="36" t="s">
        <v>65</v>
      </c>
      <c r="L35" s="84">
        <v>35</v>
      </c>
      <c r="M35" s="84"/>
      <c r="N35" s="63"/>
      <c r="O35" s="87" t="s">
        <v>304</v>
      </c>
      <c r="P35">
        <v>1</v>
      </c>
      <c r="Q35" s="86" t="str">
        <f>REPLACE(INDEX(GroupVertices[Group],MATCH(Edges[[#This Row],[Vertex 1]],GroupVertices[Vertex],0)),1,1,"")</f>
        <v>1</v>
      </c>
      <c r="R35" s="86" t="str">
        <f>REPLACE(INDEX(GroupVertices[Group],MATCH(Edges[[#This Row],[Vertex 2]],GroupVertices[Vertex],0)),1,1,"")</f>
        <v>1</v>
      </c>
      <c r="S35" s="36"/>
      <c r="T35" s="36"/>
      <c r="U35" s="36"/>
      <c r="V35" s="36"/>
      <c r="W35" s="36"/>
      <c r="X35" s="36"/>
      <c r="Y35" s="36"/>
      <c r="Z35" s="36"/>
      <c r="AA35" s="36"/>
    </row>
    <row r="36" spans="1:27" ht="45">
      <c r="A36" s="85" t="s">
        <v>212</v>
      </c>
      <c r="B36" s="85" t="s">
        <v>245</v>
      </c>
      <c r="C36" s="53" t="s">
        <v>1065</v>
      </c>
      <c r="D36" s="54">
        <v>3</v>
      </c>
      <c r="E36" s="66"/>
      <c r="F36" s="55">
        <v>50</v>
      </c>
      <c r="G36" s="53"/>
      <c r="H36" s="57"/>
      <c r="I36" s="56"/>
      <c r="J36" s="56"/>
      <c r="K36" s="36" t="s">
        <v>65</v>
      </c>
      <c r="L36" s="84">
        <v>36</v>
      </c>
      <c r="M36" s="84"/>
      <c r="N36" s="63"/>
      <c r="O36" s="87" t="s">
        <v>304</v>
      </c>
      <c r="P36">
        <v>1</v>
      </c>
      <c r="Q36" s="86" t="str">
        <f>REPLACE(INDEX(GroupVertices[Group],MATCH(Edges[[#This Row],[Vertex 1]],GroupVertices[Vertex],0)),1,1,"")</f>
        <v>1</v>
      </c>
      <c r="R36" s="86" t="str">
        <f>REPLACE(INDEX(GroupVertices[Group],MATCH(Edges[[#This Row],[Vertex 2]],GroupVertices[Vertex],0)),1,1,"")</f>
        <v>1</v>
      </c>
      <c r="S36" s="36"/>
      <c r="T36" s="36"/>
      <c r="U36" s="36"/>
      <c r="V36" s="36"/>
      <c r="W36" s="36"/>
      <c r="X36" s="36"/>
      <c r="Y36" s="36"/>
      <c r="Z36" s="36"/>
      <c r="AA36" s="36"/>
    </row>
    <row r="37" spans="1:27" ht="45">
      <c r="A37" s="85" t="s">
        <v>212</v>
      </c>
      <c r="B37" s="85" t="s">
        <v>246</v>
      </c>
      <c r="C37" s="53" t="s">
        <v>1065</v>
      </c>
      <c r="D37" s="54">
        <v>3</v>
      </c>
      <c r="E37" s="66"/>
      <c r="F37" s="55">
        <v>50</v>
      </c>
      <c r="G37" s="53"/>
      <c r="H37" s="57"/>
      <c r="I37" s="56"/>
      <c r="J37" s="56"/>
      <c r="K37" s="36" t="s">
        <v>65</v>
      </c>
      <c r="L37" s="84">
        <v>37</v>
      </c>
      <c r="M37" s="84"/>
      <c r="N37" s="63"/>
      <c r="O37" s="87" t="s">
        <v>304</v>
      </c>
      <c r="P37">
        <v>1</v>
      </c>
      <c r="Q37" s="86" t="str">
        <f>REPLACE(INDEX(GroupVertices[Group],MATCH(Edges[[#This Row],[Vertex 1]],GroupVertices[Vertex],0)),1,1,"")</f>
        <v>1</v>
      </c>
      <c r="R37" s="86" t="str">
        <f>REPLACE(INDEX(GroupVertices[Group],MATCH(Edges[[#This Row],[Vertex 2]],GroupVertices[Vertex],0)),1,1,"")</f>
        <v>1</v>
      </c>
      <c r="S37" s="36"/>
      <c r="T37" s="36"/>
      <c r="U37" s="36"/>
      <c r="V37" s="36"/>
      <c r="W37" s="36"/>
      <c r="X37" s="36"/>
      <c r="Y37" s="36"/>
      <c r="Z37" s="36"/>
      <c r="AA37" s="36"/>
    </row>
    <row r="38" spans="1:27" ht="45">
      <c r="A38" s="85" t="s">
        <v>212</v>
      </c>
      <c r="B38" s="85" t="s">
        <v>247</v>
      </c>
      <c r="C38" s="53" t="s">
        <v>1065</v>
      </c>
      <c r="D38" s="54">
        <v>3</v>
      </c>
      <c r="E38" s="66"/>
      <c r="F38" s="55">
        <v>50</v>
      </c>
      <c r="G38" s="53"/>
      <c r="H38" s="57"/>
      <c r="I38" s="56"/>
      <c r="J38" s="56"/>
      <c r="K38" s="36" t="s">
        <v>65</v>
      </c>
      <c r="L38" s="84">
        <v>38</v>
      </c>
      <c r="M38" s="84"/>
      <c r="N38" s="63"/>
      <c r="O38" s="87" t="s">
        <v>304</v>
      </c>
      <c r="P38">
        <v>1</v>
      </c>
      <c r="Q38" s="86" t="str">
        <f>REPLACE(INDEX(GroupVertices[Group],MATCH(Edges[[#This Row],[Vertex 1]],GroupVertices[Vertex],0)),1,1,"")</f>
        <v>1</v>
      </c>
      <c r="R38" s="86" t="str">
        <f>REPLACE(INDEX(GroupVertices[Group],MATCH(Edges[[#This Row],[Vertex 2]],GroupVertices[Vertex],0)),1,1,"")</f>
        <v>1</v>
      </c>
      <c r="S38" s="36"/>
      <c r="T38" s="36"/>
      <c r="U38" s="36"/>
      <c r="V38" s="36"/>
      <c r="W38" s="36"/>
      <c r="X38" s="36"/>
      <c r="Y38" s="36"/>
      <c r="Z38" s="36"/>
      <c r="AA38" s="36"/>
    </row>
    <row r="39" spans="1:27" ht="45">
      <c r="A39" s="85" t="s">
        <v>212</v>
      </c>
      <c r="B39" s="85" t="s">
        <v>248</v>
      </c>
      <c r="C39" s="53" t="s">
        <v>1065</v>
      </c>
      <c r="D39" s="54">
        <v>3</v>
      </c>
      <c r="E39" s="66"/>
      <c r="F39" s="55">
        <v>50</v>
      </c>
      <c r="G39" s="53"/>
      <c r="H39" s="57"/>
      <c r="I39" s="56"/>
      <c r="J39" s="56"/>
      <c r="K39" s="36" t="s">
        <v>65</v>
      </c>
      <c r="L39" s="84">
        <v>39</v>
      </c>
      <c r="M39" s="84"/>
      <c r="N39" s="63"/>
      <c r="O39" s="87" t="s">
        <v>304</v>
      </c>
      <c r="P39">
        <v>1</v>
      </c>
      <c r="Q39" s="86" t="str">
        <f>REPLACE(INDEX(GroupVertices[Group],MATCH(Edges[[#This Row],[Vertex 1]],GroupVertices[Vertex],0)),1,1,"")</f>
        <v>1</v>
      </c>
      <c r="R39" s="86" t="str">
        <f>REPLACE(INDEX(GroupVertices[Group],MATCH(Edges[[#This Row],[Vertex 2]],GroupVertices[Vertex],0)),1,1,"")</f>
        <v>1</v>
      </c>
      <c r="S39" s="36"/>
      <c r="T39" s="36"/>
      <c r="U39" s="36"/>
      <c r="V39" s="36"/>
      <c r="W39" s="36"/>
      <c r="X39" s="36"/>
      <c r="Y39" s="36"/>
      <c r="Z39" s="36"/>
      <c r="AA39" s="36"/>
    </row>
    <row r="40" spans="1:27" ht="45">
      <c r="A40" s="85" t="s">
        <v>212</v>
      </c>
      <c r="B40" s="85" t="s">
        <v>249</v>
      </c>
      <c r="C40" s="53" t="s">
        <v>1065</v>
      </c>
      <c r="D40" s="54">
        <v>3</v>
      </c>
      <c r="E40" s="66"/>
      <c r="F40" s="55">
        <v>50</v>
      </c>
      <c r="G40" s="53"/>
      <c r="H40" s="57"/>
      <c r="I40" s="56"/>
      <c r="J40" s="56"/>
      <c r="K40" s="36" t="s">
        <v>65</v>
      </c>
      <c r="L40" s="84">
        <v>40</v>
      </c>
      <c r="M40" s="84"/>
      <c r="N40" s="63"/>
      <c r="O40" s="87" t="s">
        <v>304</v>
      </c>
      <c r="P40">
        <v>1</v>
      </c>
      <c r="Q40" s="86" t="str">
        <f>REPLACE(INDEX(GroupVertices[Group],MATCH(Edges[[#This Row],[Vertex 1]],GroupVertices[Vertex],0)),1,1,"")</f>
        <v>1</v>
      </c>
      <c r="R40" s="86" t="str">
        <f>REPLACE(INDEX(GroupVertices[Group],MATCH(Edges[[#This Row],[Vertex 2]],GroupVertices[Vertex],0)),1,1,"")</f>
        <v>1</v>
      </c>
      <c r="S40" s="36"/>
      <c r="T40" s="36"/>
      <c r="U40" s="36"/>
      <c r="V40" s="36"/>
      <c r="W40" s="36"/>
      <c r="X40" s="36"/>
      <c r="Y40" s="36"/>
      <c r="Z40" s="36"/>
      <c r="AA40" s="36"/>
    </row>
    <row r="41" spans="1:27" ht="45">
      <c r="A41" s="85" t="s">
        <v>212</v>
      </c>
      <c r="B41" s="85" t="s">
        <v>250</v>
      </c>
      <c r="C41" s="53" t="s">
        <v>1065</v>
      </c>
      <c r="D41" s="54">
        <v>3</v>
      </c>
      <c r="E41" s="66"/>
      <c r="F41" s="55">
        <v>50</v>
      </c>
      <c r="G41" s="53"/>
      <c r="H41" s="57"/>
      <c r="I41" s="56"/>
      <c r="J41" s="56"/>
      <c r="K41" s="36" t="s">
        <v>65</v>
      </c>
      <c r="L41" s="84">
        <v>41</v>
      </c>
      <c r="M41" s="84"/>
      <c r="N41" s="63"/>
      <c r="O41" s="87" t="s">
        <v>304</v>
      </c>
      <c r="P41">
        <v>1</v>
      </c>
      <c r="Q41" s="86" t="str">
        <f>REPLACE(INDEX(GroupVertices[Group],MATCH(Edges[[#This Row],[Vertex 1]],GroupVertices[Vertex],0)),1,1,"")</f>
        <v>1</v>
      </c>
      <c r="R41" s="86" t="str">
        <f>REPLACE(INDEX(GroupVertices[Group],MATCH(Edges[[#This Row],[Vertex 2]],GroupVertices[Vertex],0)),1,1,"")</f>
        <v>1</v>
      </c>
      <c r="S41" s="36"/>
      <c r="T41" s="36"/>
      <c r="U41" s="36"/>
      <c r="V41" s="36"/>
      <c r="W41" s="36"/>
      <c r="X41" s="36"/>
      <c r="Y41" s="36"/>
      <c r="Z41" s="36"/>
      <c r="AA41" s="36"/>
    </row>
    <row r="42" spans="1:27" ht="45">
      <c r="A42" s="85" t="s">
        <v>212</v>
      </c>
      <c r="B42" s="85" t="s">
        <v>251</v>
      </c>
      <c r="C42" s="53" t="s">
        <v>1065</v>
      </c>
      <c r="D42" s="54">
        <v>3</v>
      </c>
      <c r="E42" s="66"/>
      <c r="F42" s="55">
        <v>50</v>
      </c>
      <c r="G42" s="53"/>
      <c r="H42" s="57"/>
      <c r="I42" s="56"/>
      <c r="J42" s="56"/>
      <c r="K42" s="36" t="s">
        <v>65</v>
      </c>
      <c r="L42" s="84">
        <v>42</v>
      </c>
      <c r="M42" s="84"/>
      <c r="N42" s="63"/>
      <c r="O42" s="87" t="s">
        <v>304</v>
      </c>
      <c r="P42">
        <v>1</v>
      </c>
      <c r="Q42" s="86" t="str">
        <f>REPLACE(INDEX(GroupVertices[Group],MATCH(Edges[[#This Row],[Vertex 1]],GroupVertices[Vertex],0)),1,1,"")</f>
        <v>1</v>
      </c>
      <c r="R42" s="86" t="str">
        <f>REPLACE(INDEX(GroupVertices[Group],MATCH(Edges[[#This Row],[Vertex 2]],GroupVertices[Vertex],0)),1,1,"")</f>
        <v>1</v>
      </c>
      <c r="S42" s="36"/>
      <c r="T42" s="36"/>
      <c r="U42" s="36"/>
      <c r="V42" s="36"/>
      <c r="W42" s="36"/>
      <c r="X42" s="36"/>
      <c r="Y42" s="36"/>
      <c r="Z42" s="36"/>
      <c r="AA42" s="36"/>
    </row>
    <row r="43" spans="1:27" ht="45">
      <c r="A43" s="85" t="s">
        <v>212</v>
      </c>
      <c r="B43" s="85" t="s">
        <v>252</v>
      </c>
      <c r="C43" s="53" t="s">
        <v>1065</v>
      </c>
      <c r="D43" s="54">
        <v>3</v>
      </c>
      <c r="E43" s="66"/>
      <c r="F43" s="55">
        <v>50</v>
      </c>
      <c r="G43" s="53"/>
      <c r="H43" s="57"/>
      <c r="I43" s="56"/>
      <c r="J43" s="56"/>
      <c r="K43" s="36" t="s">
        <v>65</v>
      </c>
      <c r="L43" s="84">
        <v>43</v>
      </c>
      <c r="M43" s="84"/>
      <c r="N43" s="63"/>
      <c r="O43" s="87" t="s">
        <v>304</v>
      </c>
      <c r="P43">
        <v>1</v>
      </c>
      <c r="Q43" s="86" t="str">
        <f>REPLACE(INDEX(GroupVertices[Group],MATCH(Edges[[#This Row],[Vertex 1]],GroupVertices[Vertex],0)),1,1,"")</f>
        <v>1</v>
      </c>
      <c r="R43" s="86" t="str">
        <f>REPLACE(INDEX(GroupVertices[Group],MATCH(Edges[[#This Row],[Vertex 2]],GroupVertices[Vertex],0)),1,1,"")</f>
        <v>1</v>
      </c>
      <c r="S43" s="36"/>
      <c r="T43" s="36"/>
      <c r="U43" s="36"/>
      <c r="V43" s="36"/>
      <c r="W43" s="36"/>
      <c r="X43" s="36"/>
      <c r="Y43" s="36"/>
      <c r="Z43" s="36"/>
      <c r="AA43" s="36"/>
    </row>
    <row r="44" spans="1:27" ht="45">
      <c r="A44" s="85" t="s">
        <v>212</v>
      </c>
      <c r="B44" s="85" t="s">
        <v>253</v>
      </c>
      <c r="C44" s="53" t="s">
        <v>1065</v>
      </c>
      <c r="D44" s="54">
        <v>3</v>
      </c>
      <c r="E44" s="66"/>
      <c r="F44" s="55">
        <v>50</v>
      </c>
      <c r="G44" s="53"/>
      <c r="H44" s="57"/>
      <c r="I44" s="56"/>
      <c r="J44" s="56"/>
      <c r="K44" s="36" t="s">
        <v>65</v>
      </c>
      <c r="L44" s="84">
        <v>44</v>
      </c>
      <c r="M44" s="84"/>
      <c r="N44" s="63"/>
      <c r="O44" s="87" t="s">
        <v>304</v>
      </c>
      <c r="P44">
        <v>1</v>
      </c>
      <c r="Q44" s="86" t="str">
        <f>REPLACE(INDEX(GroupVertices[Group],MATCH(Edges[[#This Row],[Vertex 1]],GroupVertices[Vertex],0)),1,1,"")</f>
        <v>1</v>
      </c>
      <c r="R44" s="86" t="str">
        <f>REPLACE(INDEX(GroupVertices[Group],MATCH(Edges[[#This Row],[Vertex 2]],GroupVertices[Vertex],0)),1,1,"")</f>
        <v>1</v>
      </c>
      <c r="S44" s="36"/>
      <c r="T44" s="36"/>
      <c r="U44" s="36"/>
      <c r="V44" s="36"/>
      <c r="W44" s="36"/>
      <c r="X44" s="36"/>
      <c r="Y44" s="36"/>
      <c r="Z44" s="36"/>
      <c r="AA44" s="36"/>
    </row>
    <row r="45" spans="1:27" ht="45">
      <c r="A45" s="85" t="s">
        <v>212</v>
      </c>
      <c r="B45" s="85" t="s">
        <v>254</v>
      </c>
      <c r="C45" s="53" t="s">
        <v>1065</v>
      </c>
      <c r="D45" s="54">
        <v>3</v>
      </c>
      <c r="E45" s="66"/>
      <c r="F45" s="55">
        <v>50</v>
      </c>
      <c r="G45" s="53"/>
      <c r="H45" s="57"/>
      <c r="I45" s="56"/>
      <c r="J45" s="56"/>
      <c r="K45" s="36" t="s">
        <v>65</v>
      </c>
      <c r="L45" s="84">
        <v>45</v>
      </c>
      <c r="M45" s="84"/>
      <c r="N45" s="63"/>
      <c r="O45" s="87" t="s">
        <v>304</v>
      </c>
      <c r="P45">
        <v>1</v>
      </c>
      <c r="Q45" s="86" t="str">
        <f>REPLACE(INDEX(GroupVertices[Group],MATCH(Edges[[#This Row],[Vertex 1]],GroupVertices[Vertex],0)),1,1,"")</f>
        <v>1</v>
      </c>
      <c r="R45" s="86" t="str">
        <f>REPLACE(INDEX(GroupVertices[Group],MATCH(Edges[[#This Row],[Vertex 2]],GroupVertices[Vertex],0)),1,1,"")</f>
        <v>1</v>
      </c>
      <c r="S45" s="36"/>
      <c r="T45" s="36"/>
      <c r="U45" s="36"/>
      <c r="V45" s="36"/>
      <c r="W45" s="36"/>
      <c r="X45" s="36"/>
      <c r="Y45" s="36"/>
      <c r="Z45" s="36"/>
      <c r="AA45" s="36"/>
    </row>
    <row r="46" spans="1:27" ht="45">
      <c r="A46" s="85" t="s">
        <v>212</v>
      </c>
      <c r="B46" s="85" t="s">
        <v>255</v>
      </c>
      <c r="C46" s="53" t="s">
        <v>1065</v>
      </c>
      <c r="D46" s="54">
        <v>3</v>
      </c>
      <c r="E46" s="66"/>
      <c r="F46" s="55">
        <v>50</v>
      </c>
      <c r="G46" s="53"/>
      <c r="H46" s="57"/>
      <c r="I46" s="56"/>
      <c r="J46" s="56"/>
      <c r="K46" s="36" t="s">
        <v>65</v>
      </c>
      <c r="L46" s="84">
        <v>46</v>
      </c>
      <c r="M46" s="84"/>
      <c r="N46" s="63"/>
      <c r="O46" s="87" t="s">
        <v>304</v>
      </c>
      <c r="P46">
        <v>1</v>
      </c>
      <c r="Q46" s="86" t="str">
        <f>REPLACE(INDEX(GroupVertices[Group],MATCH(Edges[[#This Row],[Vertex 1]],GroupVertices[Vertex],0)),1,1,"")</f>
        <v>1</v>
      </c>
      <c r="R46" s="86" t="str">
        <f>REPLACE(INDEX(GroupVertices[Group],MATCH(Edges[[#This Row],[Vertex 2]],GroupVertices[Vertex],0)),1,1,"")</f>
        <v>1</v>
      </c>
      <c r="S46" s="36"/>
      <c r="T46" s="36"/>
      <c r="U46" s="36"/>
      <c r="V46" s="36"/>
      <c r="W46" s="36"/>
      <c r="X46" s="36"/>
      <c r="Y46" s="36"/>
      <c r="Z46" s="36"/>
      <c r="AA46" s="36"/>
    </row>
    <row r="47" spans="1:27" ht="45">
      <c r="A47" s="85" t="s">
        <v>212</v>
      </c>
      <c r="B47" s="85" t="s">
        <v>256</v>
      </c>
      <c r="C47" s="53" t="s">
        <v>1065</v>
      </c>
      <c r="D47" s="54">
        <v>3</v>
      </c>
      <c r="E47" s="66"/>
      <c r="F47" s="55">
        <v>50</v>
      </c>
      <c r="G47" s="53"/>
      <c r="H47" s="57"/>
      <c r="I47" s="56"/>
      <c r="J47" s="56"/>
      <c r="K47" s="36" t="s">
        <v>65</v>
      </c>
      <c r="L47" s="84">
        <v>47</v>
      </c>
      <c r="M47" s="84"/>
      <c r="N47" s="63"/>
      <c r="O47" s="87" t="s">
        <v>304</v>
      </c>
      <c r="P47">
        <v>1</v>
      </c>
      <c r="Q47" s="86" t="str">
        <f>REPLACE(INDEX(GroupVertices[Group],MATCH(Edges[[#This Row],[Vertex 1]],GroupVertices[Vertex],0)),1,1,"")</f>
        <v>1</v>
      </c>
      <c r="R47" s="86" t="str">
        <f>REPLACE(INDEX(GroupVertices[Group],MATCH(Edges[[#This Row],[Vertex 2]],GroupVertices[Vertex],0)),1,1,"")</f>
        <v>1</v>
      </c>
      <c r="S47" s="36"/>
      <c r="T47" s="36"/>
      <c r="U47" s="36"/>
      <c r="V47" s="36"/>
      <c r="W47" s="36"/>
      <c r="X47" s="36"/>
      <c r="Y47" s="36"/>
      <c r="Z47" s="36"/>
      <c r="AA47" s="36"/>
    </row>
    <row r="48" spans="1:27" ht="45">
      <c r="A48" s="85" t="s">
        <v>212</v>
      </c>
      <c r="B48" s="85" t="s">
        <v>257</v>
      </c>
      <c r="C48" s="53" t="s">
        <v>1065</v>
      </c>
      <c r="D48" s="54">
        <v>3</v>
      </c>
      <c r="E48" s="66"/>
      <c r="F48" s="55">
        <v>50</v>
      </c>
      <c r="G48" s="53"/>
      <c r="H48" s="57"/>
      <c r="I48" s="56"/>
      <c r="J48" s="56"/>
      <c r="K48" s="36" t="s">
        <v>65</v>
      </c>
      <c r="L48" s="84">
        <v>48</v>
      </c>
      <c r="M48" s="84"/>
      <c r="N48" s="63"/>
      <c r="O48" s="87" t="s">
        <v>304</v>
      </c>
      <c r="P48">
        <v>1</v>
      </c>
      <c r="Q48" s="86" t="str">
        <f>REPLACE(INDEX(GroupVertices[Group],MATCH(Edges[[#This Row],[Vertex 1]],GroupVertices[Vertex],0)),1,1,"")</f>
        <v>1</v>
      </c>
      <c r="R48" s="86" t="str">
        <f>REPLACE(INDEX(GroupVertices[Group],MATCH(Edges[[#This Row],[Vertex 2]],GroupVertices[Vertex],0)),1,1,"")</f>
        <v>1</v>
      </c>
      <c r="S48" s="36"/>
      <c r="T48" s="36"/>
      <c r="U48" s="36"/>
      <c r="V48" s="36"/>
      <c r="W48" s="36"/>
      <c r="X48" s="36"/>
      <c r="Y48" s="36"/>
      <c r="Z48" s="36"/>
      <c r="AA48" s="36"/>
    </row>
    <row r="49" spans="1:27" ht="45">
      <c r="A49" s="85" t="s">
        <v>212</v>
      </c>
      <c r="B49" s="85" t="s">
        <v>258</v>
      </c>
      <c r="C49" s="53" t="s">
        <v>1065</v>
      </c>
      <c r="D49" s="54">
        <v>3</v>
      </c>
      <c r="E49" s="66"/>
      <c r="F49" s="55">
        <v>50</v>
      </c>
      <c r="G49" s="53"/>
      <c r="H49" s="57"/>
      <c r="I49" s="56"/>
      <c r="J49" s="56"/>
      <c r="K49" s="36" t="s">
        <v>65</v>
      </c>
      <c r="L49" s="84">
        <v>49</v>
      </c>
      <c r="M49" s="84"/>
      <c r="N49" s="63"/>
      <c r="O49" s="87" t="s">
        <v>304</v>
      </c>
      <c r="P49">
        <v>1</v>
      </c>
      <c r="Q49" s="86" t="str">
        <f>REPLACE(INDEX(GroupVertices[Group],MATCH(Edges[[#This Row],[Vertex 1]],GroupVertices[Vertex],0)),1,1,"")</f>
        <v>1</v>
      </c>
      <c r="R49" s="86" t="str">
        <f>REPLACE(INDEX(GroupVertices[Group],MATCH(Edges[[#This Row],[Vertex 2]],GroupVertices[Vertex],0)),1,1,"")</f>
        <v>1</v>
      </c>
      <c r="S49" s="36"/>
      <c r="T49" s="36"/>
      <c r="U49" s="36"/>
      <c r="V49" s="36"/>
      <c r="W49" s="36"/>
      <c r="X49" s="36"/>
      <c r="Y49" s="36"/>
      <c r="Z49" s="36"/>
      <c r="AA49" s="36"/>
    </row>
    <row r="50" spans="1:27" ht="45">
      <c r="A50" s="85" t="s">
        <v>212</v>
      </c>
      <c r="B50" s="85" t="s">
        <v>259</v>
      </c>
      <c r="C50" s="53" t="s">
        <v>1065</v>
      </c>
      <c r="D50" s="54">
        <v>3</v>
      </c>
      <c r="E50" s="66"/>
      <c r="F50" s="55">
        <v>50</v>
      </c>
      <c r="G50" s="53"/>
      <c r="H50" s="57"/>
      <c r="I50" s="56"/>
      <c r="J50" s="56"/>
      <c r="K50" s="36" t="s">
        <v>65</v>
      </c>
      <c r="L50" s="84">
        <v>50</v>
      </c>
      <c r="M50" s="84"/>
      <c r="N50" s="63"/>
      <c r="O50" s="87" t="s">
        <v>304</v>
      </c>
      <c r="P50">
        <v>1</v>
      </c>
      <c r="Q50" s="86" t="str">
        <f>REPLACE(INDEX(GroupVertices[Group],MATCH(Edges[[#This Row],[Vertex 1]],GroupVertices[Vertex],0)),1,1,"")</f>
        <v>1</v>
      </c>
      <c r="R50" s="86" t="str">
        <f>REPLACE(INDEX(GroupVertices[Group],MATCH(Edges[[#This Row],[Vertex 2]],GroupVertices[Vertex],0)),1,1,"")</f>
        <v>1</v>
      </c>
      <c r="S50" s="36"/>
      <c r="T50" s="36"/>
      <c r="U50" s="36"/>
      <c r="V50" s="36"/>
      <c r="W50" s="36"/>
      <c r="X50" s="36"/>
      <c r="Y50" s="36"/>
      <c r="Z50" s="36"/>
      <c r="AA50" s="36"/>
    </row>
    <row r="51" spans="1:27" ht="45">
      <c r="A51" s="85" t="s">
        <v>212</v>
      </c>
      <c r="B51" s="85" t="s">
        <v>260</v>
      </c>
      <c r="C51" s="53" t="s">
        <v>1065</v>
      </c>
      <c r="D51" s="54">
        <v>3</v>
      </c>
      <c r="E51" s="66"/>
      <c r="F51" s="55">
        <v>50</v>
      </c>
      <c r="G51" s="53"/>
      <c r="H51" s="57"/>
      <c r="I51" s="56"/>
      <c r="J51" s="56"/>
      <c r="K51" s="36" t="s">
        <v>65</v>
      </c>
      <c r="L51" s="84">
        <v>51</v>
      </c>
      <c r="M51" s="84"/>
      <c r="N51" s="63"/>
      <c r="O51" s="87" t="s">
        <v>304</v>
      </c>
      <c r="P51">
        <v>1</v>
      </c>
      <c r="Q51" s="86" t="str">
        <f>REPLACE(INDEX(GroupVertices[Group],MATCH(Edges[[#This Row],[Vertex 1]],GroupVertices[Vertex],0)),1,1,"")</f>
        <v>1</v>
      </c>
      <c r="R51" s="86" t="str">
        <f>REPLACE(INDEX(GroupVertices[Group],MATCH(Edges[[#This Row],[Vertex 2]],GroupVertices[Vertex],0)),1,1,"")</f>
        <v>1</v>
      </c>
      <c r="S51" s="36"/>
      <c r="T51" s="36"/>
      <c r="U51" s="36"/>
      <c r="V51" s="36"/>
      <c r="W51" s="36"/>
      <c r="X51" s="36"/>
      <c r="Y51" s="36"/>
      <c r="Z51" s="36"/>
      <c r="AA51" s="36"/>
    </row>
    <row r="52" spans="1:27" ht="45">
      <c r="A52" s="85" t="s">
        <v>212</v>
      </c>
      <c r="B52" s="85" t="s">
        <v>261</v>
      </c>
      <c r="C52" s="53" t="s">
        <v>1065</v>
      </c>
      <c r="D52" s="54">
        <v>3</v>
      </c>
      <c r="E52" s="66"/>
      <c r="F52" s="55">
        <v>50</v>
      </c>
      <c r="G52" s="53"/>
      <c r="H52" s="57"/>
      <c r="I52" s="56"/>
      <c r="J52" s="56"/>
      <c r="K52" s="36" t="s">
        <v>65</v>
      </c>
      <c r="L52" s="84">
        <v>52</v>
      </c>
      <c r="M52" s="84"/>
      <c r="N52" s="63"/>
      <c r="O52" s="87" t="s">
        <v>304</v>
      </c>
      <c r="P52">
        <v>1</v>
      </c>
      <c r="Q52" s="86" t="str">
        <f>REPLACE(INDEX(GroupVertices[Group],MATCH(Edges[[#This Row],[Vertex 1]],GroupVertices[Vertex],0)),1,1,"")</f>
        <v>1</v>
      </c>
      <c r="R52" s="86" t="str">
        <f>REPLACE(INDEX(GroupVertices[Group],MATCH(Edges[[#This Row],[Vertex 2]],GroupVertices[Vertex],0)),1,1,"")</f>
        <v>1</v>
      </c>
      <c r="S52" s="36"/>
      <c r="T52" s="36"/>
      <c r="U52" s="36"/>
      <c r="V52" s="36"/>
      <c r="W52" s="36"/>
      <c r="X52" s="36"/>
      <c r="Y52" s="36"/>
      <c r="Z52" s="36"/>
      <c r="AA52" s="36"/>
    </row>
    <row r="53" spans="1:27" ht="45">
      <c r="A53" s="85" t="s">
        <v>212</v>
      </c>
      <c r="B53" s="85" t="s">
        <v>262</v>
      </c>
      <c r="C53" s="53" t="s">
        <v>1065</v>
      </c>
      <c r="D53" s="54">
        <v>3</v>
      </c>
      <c r="E53" s="66"/>
      <c r="F53" s="55">
        <v>50</v>
      </c>
      <c r="G53" s="53"/>
      <c r="H53" s="57"/>
      <c r="I53" s="56"/>
      <c r="J53" s="56"/>
      <c r="K53" s="36" t="s">
        <v>65</v>
      </c>
      <c r="L53" s="84">
        <v>53</v>
      </c>
      <c r="M53" s="84"/>
      <c r="N53" s="63"/>
      <c r="O53" s="87" t="s">
        <v>304</v>
      </c>
      <c r="P53">
        <v>1</v>
      </c>
      <c r="Q53" s="86" t="str">
        <f>REPLACE(INDEX(GroupVertices[Group],MATCH(Edges[[#This Row],[Vertex 1]],GroupVertices[Vertex],0)),1,1,"")</f>
        <v>1</v>
      </c>
      <c r="R53" s="86" t="str">
        <f>REPLACE(INDEX(GroupVertices[Group],MATCH(Edges[[#This Row],[Vertex 2]],GroupVertices[Vertex],0)),1,1,"")</f>
        <v>1</v>
      </c>
      <c r="S53" s="36"/>
      <c r="T53" s="36"/>
      <c r="U53" s="36"/>
      <c r="V53" s="36"/>
      <c r="W53" s="36"/>
      <c r="X53" s="36"/>
      <c r="Y53" s="36"/>
      <c r="Z53" s="36"/>
      <c r="AA53" s="36"/>
    </row>
    <row r="54" spans="1:27" ht="45">
      <c r="A54" s="85" t="s">
        <v>212</v>
      </c>
      <c r="B54" s="85" t="s">
        <v>263</v>
      </c>
      <c r="C54" s="53" t="s">
        <v>1065</v>
      </c>
      <c r="D54" s="54">
        <v>3</v>
      </c>
      <c r="E54" s="66"/>
      <c r="F54" s="55">
        <v>50</v>
      </c>
      <c r="G54" s="53"/>
      <c r="H54" s="57"/>
      <c r="I54" s="56"/>
      <c r="J54" s="56"/>
      <c r="K54" s="36" t="s">
        <v>65</v>
      </c>
      <c r="L54" s="84">
        <v>54</v>
      </c>
      <c r="M54" s="84"/>
      <c r="N54" s="63"/>
      <c r="O54" s="87" t="s">
        <v>304</v>
      </c>
      <c r="P54">
        <v>1</v>
      </c>
      <c r="Q54" s="86" t="str">
        <f>REPLACE(INDEX(GroupVertices[Group],MATCH(Edges[[#This Row],[Vertex 1]],GroupVertices[Vertex],0)),1,1,"")</f>
        <v>1</v>
      </c>
      <c r="R54" s="86" t="str">
        <f>REPLACE(INDEX(GroupVertices[Group],MATCH(Edges[[#This Row],[Vertex 2]],GroupVertices[Vertex],0)),1,1,"")</f>
        <v>1</v>
      </c>
      <c r="S54" s="36"/>
      <c r="T54" s="36"/>
      <c r="U54" s="36"/>
      <c r="V54" s="36"/>
      <c r="W54" s="36"/>
      <c r="X54" s="36"/>
      <c r="Y54" s="36"/>
      <c r="Z54" s="36"/>
      <c r="AA54" s="36"/>
    </row>
    <row r="55" spans="1:27" ht="45">
      <c r="A55" s="85" t="s">
        <v>212</v>
      </c>
      <c r="B55" s="85" t="s">
        <v>264</v>
      </c>
      <c r="C55" s="53" t="s">
        <v>1065</v>
      </c>
      <c r="D55" s="54">
        <v>3</v>
      </c>
      <c r="E55" s="66"/>
      <c r="F55" s="55">
        <v>50</v>
      </c>
      <c r="G55" s="53"/>
      <c r="H55" s="57"/>
      <c r="I55" s="56"/>
      <c r="J55" s="56"/>
      <c r="K55" s="36" t="s">
        <v>65</v>
      </c>
      <c r="L55" s="84">
        <v>55</v>
      </c>
      <c r="M55" s="84"/>
      <c r="N55" s="63"/>
      <c r="O55" s="87" t="s">
        <v>304</v>
      </c>
      <c r="P55">
        <v>1</v>
      </c>
      <c r="Q55" s="86" t="str">
        <f>REPLACE(INDEX(GroupVertices[Group],MATCH(Edges[[#This Row],[Vertex 1]],GroupVertices[Vertex],0)),1,1,"")</f>
        <v>1</v>
      </c>
      <c r="R55" s="86" t="str">
        <f>REPLACE(INDEX(GroupVertices[Group],MATCH(Edges[[#This Row],[Vertex 2]],GroupVertices[Vertex],0)),1,1,"")</f>
        <v>1</v>
      </c>
      <c r="S55" s="36"/>
      <c r="T55" s="36"/>
      <c r="U55" s="36"/>
      <c r="V55" s="36"/>
      <c r="W55" s="36"/>
      <c r="X55" s="36"/>
      <c r="Y55" s="36"/>
      <c r="Z55" s="36"/>
      <c r="AA55" s="36"/>
    </row>
    <row r="56" spans="1:27" ht="45">
      <c r="A56" s="85" t="s">
        <v>212</v>
      </c>
      <c r="B56" s="85" t="s">
        <v>265</v>
      </c>
      <c r="C56" s="53" t="s">
        <v>1065</v>
      </c>
      <c r="D56" s="54">
        <v>3</v>
      </c>
      <c r="E56" s="66"/>
      <c r="F56" s="55">
        <v>50</v>
      </c>
      <c r="G56" s="53"/>
      <c r="H56" s="57"/>
      <c r="I56" s="56"/>
      <c r="J56" s="56"/>
      <c r="K56" s="36" t="s">
        <v>65</v>
      </c>
      <c r="L56" s="84">
        <v>56</v>
      </c>
      <c r="M56" s="84"/>
      <c r="N56" s="63"/>
      <c r="O56" s="87" t="s">
        <v>304</v>
      </c>
      <c r="P56">
        <v>1</v>
      </c>
      <c r="Q56" s="86" t="str">
        <f>REPLACE(INDEX(GroupVertices[Group],MATCH(Edges[[#This Row],[Vertex 1]],GroupVertices[Vertex],0)),1,1,"")</f>
        <v>1</v>
      </c>
      <c r="R56" s="86" t="str">
        <f>REPLACE(INDEX(GroupVertices[Group],MATCH(Edges[[#This Row],[Vertex 2]],GroupVertices[Vertex],0)),1,1,"")</f>
        <v>1</v>
      </c>
      <c r="S56" s="36"/>
      <c r="T56" s="36"/>
      <c r="U56" s="36"/>
      <c r="V56" s="36"/>
      <c r="W56" s="36"/>
      <c r="X56" s="36"/>
      <c r="Y56" s="36"/>
      <c r="Z56" s="36"/>
      <c r="AA56" s="36"/>
    </row>
    <row r="57" spans="1:27" ht="45">
      <c r="A57" s="85" t="s">
        <v>212</v>
      </c>
      <c r="B57" s="85" t="s">
        <v>266</v>
      </c>
      <c r="C57" s="53" t="s">
        <v>1065</v>
      </c>
      <c r="D57" s="54">
        <v>3</v>
      </c>
      <c r="E57" s="66"/>
      <c r="F57" s="55">
        <v>50</v>
      </c>
      <c r="G57" s="53"/>
      <c r="H57" s="57"/>
      <c r="I57" s="56"/>
      <c r="J57" s="56"/>
      <c r="K57" s="36" t="s">
        <v>65</v>
      </c>
      <c r="L57" s="84">
        <v>57</v>
      </c>
      <c r="M57" s="84"/>
      <c r="N57" s="63"/>
      <c r="O57" s="87" t="s">
        <v>304</v>
      </c>
      <c r="P57">
        <v>1</v>
      </c>
      <c r="Q57" s="86" t="str">
        <f>REPLACE(INDEX(GroupVertices[Group],MATCH(Edges[[#This Row],[Vertex 1]],GroupVertices[Vertex],0)),1,1,"")</f>
        <v>1</v>
      </c>
      <c r="R57" s="86" t="str">
        <f>REPLACE(INDEX(GroupVertices[Group],MATCH(Edges[[#This Row],[Vertex 2]],GroupVertices[Vertex],0)),1,1,"")</f>
        <v>1</v>
      </c>
      <c r="S57" s="36"/>
      <c r="T57" s="36"/>
      <c r="U57" s="36"/>
      <c r="V57" s="36"/>
      <c r="W57" s="36"/>
      <c r="X57" s="36"/>
      <c r="Y57" s="36"/>
      <c r="Z57" s="36"/>
      <c r="AA57" s="36"/>
    </row>
    <row r="58" spans="1:27" ht="45">
      <c r="A58" s="85" t="s">
        <v>212</v>
      </c>
      <c r="B58" s="85" t="s">
        <v>267</v>
      </c>
      <c r="C58" s="53" t="s">
        <v>1065</v>
      </c>
      <c r="D58" s="54">
        <v>3</v>
      </c>
      <c r="E58" s="66"/>
      <c r="F58" s="55">
        <v>50</v>
      </c>
      <c r="G58" s="53"/>
      <c r="H58" s="57"/>
      <c r="I58" s="56"/>
      <c r="J58" s="56"/>
      <c r="K58" s="36" t="s">
        <v>65</v>
      </c>
      <c r="L58" s="84">
        <v>58</v>
      </c>
      <c r="M58" s="84"/>
      <c r="N58" s="63"/>
      <c r="O58" s="87" t="s">
        <v>304</v>
      </c>
      <c r="P58">
        <v>1</v>
      </c>
      <c r="Q58" s="86" t="str">
        <f>REPLACE(INDEX(GroupVertices[Group],MATCH(Edges[[#This Row],[Vertex 1]],GroupVertices[Vertex],0)),1,1,"")</f>
        <v>1</v>
      </c>
      <c r="R58" s="86" t="str">
        <f>REPLACE(INDEX(GroupVertices[Group],MATCH(Edges[[#This Row],[Vertex 2]],GroupVertices[Vertex],0)),1,1,"")</f>
        <v>1</v>
      </c>
      <c r="S58" s="36"/>
      <c r="T58" s="36"/>
      <c r="U58" s="36"/>
      <c r="V58" s="36"/>
      <c r="W58" s="36"/>
      <c r="X58" s="36"/>
      <c r="Y58" s="36"/>
      <c r="Z58" s="36"/>
      <c r="AA58" s="36"/>
    </row>
    <row r="59" spans="1:27" ht="45">
      <c r="A59" s="85" t="s">
        <v>212</v>
      </c>
      <c r="B59" s="85" t="s">
        <v>268</v>
      </c>
      <c r="C59" s="53" t="s">
        <v>1065</v>
      </c>
      <c r="D59" s="54">
        <v>3</v>
      </c>
      <c r="E59" s="66"/>
      <c r="F59" s="55">
        <v>50</v>
      </c>
      <c r="G59" s="53"/>
      <c r="H59" s="57"/>
      <c r="I59" s="56"/>
      <c r="J59" s="56"/>
      <c r="K59" s="36" t="s">
        <v>65</v>
      </c>
      <c r="L59" s="84">
        <v>59</v>
      </c>
      <c r="M59" s="84"/>
      <c r="N59" s="63"/>
      <c r="O59" s="87" t="s">
        <v>304</v>
      </c>
      <c r="P59">
        <v>1</v>
      </c>
      <c r="Q59" s="86" t="str">
        <f>REPLACE(INDEX(GroupVertices[Group],MATCH(Edges[[#This Row],[Vertex 1]],GroupVertices[Vertex],0)),1,1,"")</f>
        <v>1</v>
      </c>
      <c r="R59" s="86" t="str">
        <f>REPLACE(INDEX(GroupVertices[Group],MATCH(Edges[[#This Row],[Vertex 2]],GroupVertices[Vertex],0)),1,1,"")</f>
        <v>1</v>
      </c>
      <c r="S59" s="36"/>
      <c r="T59" s="36"/>
      <c r="U59" s="36"/>
      <c r="V59" s="36"/>
      <c r="W59" s="36"/>
      <c r="X59" s="36"/>
      <c r="Y59" s="36"/>
      <c r="Z59" s="36"/>
      <c r="AA59" s="36"/>
    </row>
    <row r="60" spans="1:27" ht="45">
      <c r="A60" s="85" t="s">
        <v>212</v>
      </c>
      <c r="B60" s="85" t="s">
        <v>269</v>
      </c>
      <c r="C60" s="53" t="s">
        <v>1065</v>
      </c>
      <c r="D60" s="54">
        <v>3</v>
      </c>
      <c r="E60" s="66"/>
      <c r="F60" s="55">
        <v>50</v>
      </c>
      <c r="G60" s="53"/>
      <c r="H60" s="57"/>
      <c r="I60" s="56"/>
      <c r="J60" s="56"/>
      <c r="K60" s="36" t="s">
        <v>65</v>
      </c>
      <c r="L60" s="84">
        <v>60</v>
      </c>
      <c r="M60" s="84"/>
      <c r="N60" s="63"/>
      <c r="O60" s="87" t="s">
        <v>304</v>
      </c>
      <c r="P60">
        <v>1</v>
      </c>
      <c r="Q60" s="86" t="str">
        <f>REPLACE(INDEX(GroupVertices[Group],MATCH(Edges[[#This Row],[Vertex 1]],GroupVertices[Vertex],0)),1,1,"")</f>
        <v>1</v>
      </c>
      <c r="R60" s="86" t="str">
        <f>REPLACE(INDEX(GroupVertices[Group],MATCH(Edges[[#This Row],[Vertex 2]],GroupVertices[Vertex],0)),1,1,"")</f>
        <v>1</v>
      </c>
      <c r="S60" s="36"/>
      <c r="T60" s="36"/>
      <c r="U60" s="36"/>
      <c r="V60" s="36"/>
      <c r="W60" s="36"/>
      <c r="X60" s="36"/>
      <c r="Y60" s="36"/>
      <c r="Z60" s="36"/>
      <c r="AA60" s="36"/>
    </row>
    <row r="61" spans="1:27" ht="45">
      <c r="A61" s="85" t="s">
        <v>212</v>
      </c>
      <c r="B61" s="85" t="s">
        <v>270</v>
      </c>
      <c r="C61" s="53" t="s">
        <v>1065</v>
      </c>
      <c r="D61" s="54">
        <v>3</v>
      </c>
      <c r="E61" s="66"/>
      <c r="F61" s="55">
        <v>50</v>
      </c>
      <c r="G61" s="53"/>
      <c r="H61" s="57"/>
      <c r="I61" s="56"/>
      <c r="J61" s="56"/>
      <c r="K61" s="36" t="s">
        <v>65</v>
      </c>
      <c r="L61" s="84">
        <v>61</v>
      </c>
      <c r="M61" s="84"/>
      <c r="N61" s="63"/>
      <c r="O61" s="87" t="s">
        <v>304</v>
      </c>
      <c r="P61">
        <v>1</v>
      </c>
      <c r="Q61" s="86" t="str">
        <f>REPLACE(INDEX(GroupVertices[Group],MATCH(Edges[[#This Row],[Vertex 1]],GroupVertices[Vertex],0)),1,1,"")</f>
        <v>1</v>
      </c>
      <c r="R61" s="86" t="str">
        <f>REPLACE(INDEX(GroupVertices[Group],MATCH(Edges[[#This Row],[Vertex 2]],GroupVertices[Vertex],0)),1,1,"")</f>
        <v>1</v>
      </c>
      <c r="S61" s="36"/>
      <c r="T61" s="36"/>
      <c r="U61" s="36"/>
      <c r="V61" s="36"/>
      <c r="W61" s="36"/>
      <c r="X61" s="36"/>
      <c r="Y61" s="36"/>
      <c r="Z61" s="36"/>
      <c r="AA61" s="36"/>
    </row>
    <row r="62" spans="1:27" ht="45">
      <c r="A62" s="85" t="s">
        <v>212</v>
      </c>
      <c r="B62" s="85" t="s">
        <v>271</v>
      </c>
      <c r="C62" s="53" t="s">
        <v>1065</v>
      </c>
      <c r="D62" s="54">
        <v>3</v>
      </c>
      <c r="E62" s="66"/>
      <c r="F62" s="55">
        <v>50</v>
      </c>
      <c r="G62" s="53"/>
      <c r="H62" s="57"/>
      <c r="I62" s="56"/>
      <c r="J62" s="56"/>
      <c r="K62" s="36" t="s">
        <v>65</v>
      </c>
      <c r="L62" s="84">
        <v>62</v>
      </c>
      <c r="M62" s="84"/>
      <c r="N62" s="63"/>
      <c r="O62" s="87" t="s">
        <v>304</v>
      </c>
      <c r="P62">
        <v>1</v>
      </c>
      <c r="Q62" s="86" t="str">
        <f>REPLACE(INDEX(GroupVertices[Group],MATCH(Edges[[#This Row],[Vertex 1]],GroupVertices[Vertex],0)),1,1,"")</f>
        <v>1</v>
      </c>
      <c r="R62" s="86" t="str">
        <f>REPLACE(INDEX(GroupVertices[Group],MATCH(Edges[[#This Row],[Vertex 2]],GroupVertices[Vertex],0)),1,1,"")</f>
        <v>1</v>
      </c>
      <c r="S62" s="36"/>
      <c r="T62" s="36"/>
      <c r="U62" s="36"/>
      <c r="V62" s="36"/>
      <c r="W62" s="36"/>
      <c r="X62" s="36"/>
      <c r="Y62" s="36"/>
      <c r="Z62" s="36"/>
      <c r="AA62" s="36"/>
    </row>
    <row r="63" spans="1:27" ht="45">
      <c r="A63" s="85" t="s">
        <v>212</v>
      </c>
      <c r="B63" s="85" t="s">
        <v>272</v>
      </c>
      <c r="C63" s="53" t="s">
        <v>1065</v>
      </c>
      <c r="D63" s="54">
        <v>3</v>
      </c>
      <c r="E63" s="66"/>
      <c r="F63" s="55">
        <v>50</v>
      </c>
      <c r="G63" s="53"/>
      <c r="H63" s="57"/>
      <c r="I63" s="56"/>
      <c r="J63" s="56"/>
      <c r="K63" s="36" t="s">
        <v>65</v>
      </c>
      <c r="L63" s="84">
        <v>63</v>
      </c>
      <c r="M63" s="84"/>
      <c r="N63" s="63"/>
      <c r="O63" s="87" t="s">
        <v>304</v>
      </c>
      <c r="P63">
        <v>1</v>
      </c>
      <c r="Q63" s="86" t="str">
        <f>REPLACE(INDEX(GroupVertices[Group],MATCH(Edges[[#This Row],[Vertex 1]],GroupVertices[Vertex],0)),1,1,"")</f>
        <v>1</v>
      </c>
      <c r="R63" s="86" t="str">
        <f>REPLACE(INDEX(GroupVertices[Group],MATCH(Edges[[#This Row],[Vertex 2]],GroupVertices[Vertex],0)),1,1,"")</f>
        <v>1</v>
      </c>
      <c r="S63" s="36"/>
      <c r="T63" s="36"/>
      <c r="U63" s="36"/>
      <c r="V63" s="36"/>
      <c r="W63" s="36"/>
      <c r="X63" s="36"/>
      <c r="Y63" s="36"/>
      <c r="Z63" s="36"/>
      <c r="AA63" s="36"/>
    </row>
    <row r="64" spans="1:27" ht="45">
      <c r="A64" s="85" t="s">
        <v>212</v>
      </c>
      <c r="B64" s="85" t="s">
        <v>273</v>
      </c>
      <c r="C64" s="53" t="s">
        <v>1065</v>
      </c>
      <c r="D64" s="54">
        <v>3</v>
      </c>
      <c r="E64" s="66"/>
      <c r="F64" s="55">
        <v>50</v>
      </c>
      <c r="G64" s="53"/>
      <c r="H64" s="57"/>
      <c r="I64" s="56"/>
      <c r="J64" s="56"/>
      <c r="K64" s="36" t="s">
        <v>65</v>
      </c>
      <c r="L64" s="84">
        <v>64</v>
      </c>
      <c r="M64" s="84"/>
      <c r="N64" s="63"/>
      <c r="O64" s="87" t="s">
        <v>304</v>
      </c>
      <c r="P64">
        <v>1</v>
      </c>
      <c r="Q64" s="86" t="str">
        <f>REPLACE(INDEX(GroupVertices[Group],MATCH(Edges[[#This Row],[Vertex 1]],GroupVertices[Vertex],0)),1,1,"")</f>
        <v>1</v>
      </c>
      <c r="R64" s="86" t="str">
        <f>REPLACE(INDEX(GroupVertices[Group],MATCH(Edges[[#This Row],[Vertex 2]],GroupVertices[Vertex],0)),1,1,"")</f>
        <v>1</v>
      </c>
      <c r="S64" s="36"/>
      <c r="T64" s="36"/>
      <c r="U64" s="36"/>
      <c r="V64" s="36"/>
      <c r="W64" s="36"/>
      <c r="X64" s="36"/>
      <c r="Y64" s="36"/>
      <c r="Z64" s="36"/>
      <c r="AA64" s="36"/>
    </row>
    <row r="65" spans="1:27" ht="45">
      <c r="A65" s="85" t="s">
        <v>212</v>
      </c>
      <c r="B65" s="85" t="s">
        <v>274</v>
      </c>
      <c r="C65" s="53" t="s">
        <v>1065</v>
      </c>
      <c r="D65" s="54">
        <v>3</v>
      </c>
      <c r="E65" s="66"/>
      <c r="F65" s="55">
        <v>50</v>
      </c>
      <c r="G65" s="53"/>
      <c r="H65" s="57"/>
      <c r="I65" s="56"/>
      <c r="J65" s="56"/>
      <c r="K65" s="36" t="s">
        <v>65</v>
      </c>
      <c r="L65" s="84">
        <v>65</v>
      </c>
      <c r="M65" s="84"/>
      <c r="N65" s="63"/>
      <c r="O65" s="87" t="s">
        <v>304</v>
      </c>
      <c r="P65">
        <v>1</v>
      </c>
      <c r="Q65" s="86" t="str">
        <f>REPLACE(INDEX(GroupVertices[Group],MATCH(Edges[[#This Row],[Vertex 1]],GroupVertices[Vertex],0)),1,1,"")</f>
        <v>1</v>
      </c>
      <c r="R65" s="86" t="str">
        <f>REPLACE(INDEX(GroupVertices[Group],MATCH(Edges[[#This Row],[Vertex 2]],GroupVertices[Vertex],0)),1,1,"")</f>
        <v>1</v>
      </c>
      <c r="S65" s="36"/>
      <c r="T65" s="36"/>
      <c r="U65" s="36"/>
      <c r="V65" s="36"/>
      <c r="W65" s="36"/>
      <c r="X65" s="36"/>
      <c r="Y65" s="36"/>
      <c r="Z65" s="36"/>
      <c r="AA65" s="36"/>
    </row>
    <row r="66" spans="1:27" ht="45">
      <c r="A66" s="85" t="s">
        <v>212</v>
      </c>
      <c r="B66" s="85" t="s">
        <v>275</v>
      </c>
      <c r="C66" s="53" t="s">
        <v>1065</v>
      </c>
      <c r="D66" s="54">
        <v>3</v>
      </c>
      <c r="E66" s="66"/>
      <c r="F66" s="55">
        <v>50</v>
      </c>
      <c r="G66" s="53"/>
      <c r="H66" s="57"/>
      <c r="I66" s="56"/>
      <c r="J66" s="56"/>
      <c r="K66" s="36" t="s">
        <v>65</v>
      </c>
      <c r="L66" s="84">
        <v>66</v>
      </c>
      <c r="M66" s="84"/>
      <c r="N66" s="63"/>
      <c r="O66" s="87" t="s">
        <v>304</v>
      </c>
      <c r="P66">
        <v>1</v>
      </c>
      <c r="Q66" s="86" t="str">
        <f>REPLACE(INDEX(GroupVertices[Group],MATCH(Edges[[#This Row],[Vertex 1]],GroupVertices[Vertex],0)),1,1,"")</f>
        <v>1</v>
      </c>
      <c r="R66" s="86" t="str">
        <f>REPLACE(INDEX(GroupVertices[Group],MATCH(Edges[[#This Row],[Vertex 2]],GroupVertices[Vertex],0)),1,1,"")</f>
        <v>1</v>
      </c>
      <c r="S66" s="36"/>
      <c r="T66" s="36"/>
      <c r="U66" s="36"/>
      <c r="V66" s="36"/>
      <c r="W66" s="36"/>
      <c r="X66" s="36"/>
      <c r="Y66" s="36"/>
      <c r="Z66" s="36"/>
      <c r="AA66" s="36"/>
    </row>
    <row r="67" spans="1:27" ht="45">
      <c r="A67" s="85" t="s">
        <v>212</v>
      </c>
      <c r="B67" s="85" t="s">
        <v>276</v>
      </c>
      <c r="C67" s="53" t="s">
        <v>1065</v>
      </c>
      <c r="D67" s="54">
        <v>3</v>
      </c>
      <c r="E67" s="66"/>
      <c r="F67" s="55">
        <v>50</v>
      </c>
      <c r="G67" s="53"/>
      <c r="H67" s="57"/>
      <c r="I67" s="56"/>
      <c r="J67" s="56"/>
      <c r="K67" s="36" t="s">
        <v>65</v>
      </c>
      <c r="L67" s="84">
        <v>67</v>
      </c>
      <c r="M67" s="84"/>
      <c r="N67" s="63"/>
      <c r="O67" s="87" t="s">
        <v>304</v>
      </c>
      <c r="P67">
        <v>1</v>
      </c>
      <c r="Q67" s="86" t="str">
        <f>REPLACE(INDEX(GroupVertices[Group],MATCH(Edges[[#This Row],[Vertex 1]],GroupVertices[Vertex],0)),1,1,"")</f>
        <v>1</v>
      </c>
      <c r="R67" s="86" t="str">
        <f>REPLACE(INDEX(GroupVertices[Group],MATCH(Edges[[#This Row],[Vertex 2]],GroupVertices[Vertex],0)),1,1,"")</f>
        <v>1</v>
      </c>
      <c r="S67" s="36"/>
      <c r="T67" s="36"/>
      <c r="U67" s="36"/>
      <c r="V67" s="36"/>
      <c r="W67" s="36"/>
      <c r="X67" s="36"/>
      <c r="Y67" s="36"/>
      <c r="Z67" s="36"/>
      <c r="AA67" s="36"/>
    </row>
    <row r="68" spans="1:27" ht="45">
      <c r="A68" s="85" t="s">
        <v>212</v>
      </c>
      <c r="B68" s="85" t="s">
        <v>277</v>
      </c>
      <c r="C68" s="53" t="s">
        <v>1065</v>
      </c>
      <c r="D68" s="54">
        <v>3</v>
      </c>
      <c r="E68" s="66"/>
      <c r="F68" s="55">
        <v>50</v>
      </c>
      <c r="G68" s="53"/>
      <c r="H68" s="57"/>
      <c r="I68" s="56"/>
      <c r="J68" s="56"/>
      <c r="K68" s="36" t="s">
        <v>65</v>
      </c>
      <c r="L68" s="84">
        <v>68</v>
      </c>
      <c r="M68" s="84"/>
      <c r="N68" s="63"/>
      <c r="O68" s="87" t="s">
        <v>304</v>
      </c>
      <c r="P68">
        <v>1</v>
      </c>
      <c r="Q68" s="86" t="str">
        <f>REPLACE(INDEX(GroupVertices[Group],MATCH(Edges[[#This Row],[Vertex 1]],GroupVertices[Vertex],0)),1,1,"")</f>
        <v>1</v>
      </c>
      <c r="R68" s="86" t="str">
        <f>REPLACE(INDEX(GroupVertices[Group],MATCH(Edges[[#This Row],[Vertex 2]],GroupVertices[Vertex],0)),1,1,"")</f>
        <v>1</v>
      </c>
      <c r="S68" s="36"/>
      <c r="T68" s="36"/>
      <c r="U68" s="36"/>
      <c r="V68" s="36"/>
      <c r="W68" s="36"/>
      <c r="X68" s="36"/>
      <c r="Y68" s="36"/>
      <c r="Z68" s="36"/>
      <c r="AA68" s="36"/>
    </row>
    <row r="69" spans="1:27" ht="45">
      <c r="A69" s="85" t="s">
        <v>212</v>
      </c>
      <c r="B69" s="85" t="s">
        <v>278</v>
      </c>
      <c r="C69" s="53" t="s">
        <v>1065</v>
      </c>
      <c r="D69" s="54">
        <v>3</v>
      </c>
      <c r="E69" s="66"/>
      <c r="F69" s="55">
        <v>50</v>
      </c>
      <c r="G69" s="53"/>
      <c r="H69" s="57"/>
      <c r="I69" s="56"/>
      <c r="J69" s="56"/>
      <c r="K69" s="36" t="s">
        <v>65</v>
      </c>
      <c r="L69" s="84">
        <v>69</v>
      </c>
      <c r="M69" s="84"/>
      <c r="N69" s="63"/>
      <c r="O69" s="87" t="s">
        <v>304</v>
      </c>
      <c r="P69">
        <v>1</v>
      </c>
      <c r="Q69" s="86" t="str">
        <f>REPLACE(INDEX(GroupVertices[Group],MATCH(Edges[[#This Row],[Vertex 1]],GroupVertices[Vertex],0)),1,1,"")</f>
        <v>1</v>
      </c>
      <c r="R69" s="86" t="str">
        <f>REPLACE(INDEX(GroupVertices[Group],MATCH(Edges[[#This Row],[Vertex 2]],GroupVertices[Vertex],0)),1,1,"")</f>
        <v>1</v>
      </c>
      <c r="S69" s="36"/>
      <c r="T69" s="36"/>
      <c r="U69" s="36"/>
      <c r="V69" s="36"/>
      <c r="W69" s="36"/>
      <c r="X69" s="36"/>
      <c r="Y69" s="36"/>
      <c r="Z69" s="36"/>
      <c r="AA69" s="36"/>
    </row>
    <row r="70" spans="1:27" ht="45">
      <c r="A70" s="85" t="s">
        <v>212</v>
      </c>
      <c r="B70" s="85" t="s">
        <v>279</v>
      </c>
      <c r="C70" s="53" t="s">
        <v>1065</v>
      </c>
      <c r="D70" s="54">
        <v>3</v>
      </c>
      <c r="E70" s="66"/>
      <c r="F70" s="55">
        <v>50</v>
      </c>
      <c r="G70" s="53"/>
      <c r="H70" s="57"/>
      <c r="I70" s="56"/>
      <c r="J70" s="56"/>
      <c r="K70" s="36" t="s">
        <v>65</v>
      </c>
      <c r="L70" s="84">
        <v>70</v>
      </c>
      <c r="M70" s="84"/>
      <c r="N70" s="63"/>
      <c r="O70" s="87" t="s">
        <v>304</v>
      </c>
      <c r="P70">
        <v>1</v>
      </c>
      <c r="Q70" s="86" t="str">
        <f>REPLACE(INDEX(GroupVertices[Group],MATCH(Edges[[#This Row],[Vertex 1]],GroupVertices[Vertex],0)),1,1,"")</f>
        <v>1</v>
      </c>
      <c r="R70" s="86" t="str">
        <f>REPLACE(INDEX(GroupVertices[Group],MATCH(Edges[[#This Row],[Vertex 2]],GroupVertices[Vertex],0)),1,1,"")</f>
        <v>1</v>
      </c>
      <c r="S70" s="36"/>
      <c r="T70" s="36"/>
      <c r="U70" s="36"/>
      <c r="V70" s="36"/>
      <c r="W70" s="36"/>
      <c r="X70" s="36"/>
      <c r="Y70" s="36"/>
      <c r="Z70" s="36"/>
      <c r="AA70" s="36"/>
    </row>
    <row r="71" spans="1:27" ht="45">
      <c r="A71" s="85" t="s">
        <v>212</v>
      </c>
      <c r="B71" s="85" t="s">
        <v>280</v>
      </c>
      <c r="C71" s="53" t="s">
        <v>1065</v>
      </c>
      <c r="D71" s="54">
        <v>3</v>
      </c>
      <c r="E71" s="66"/>
      <c r="F71" s="55">
        <v>50</v>
      </c>
      <c r="G71" s="53"/>
      <c r="H71" s="57"/>
      <c r="I71" s="56"/>
      <c r="J71" s="56"/>
      <c r="K71" s="36" t="s">
        <v>65</v>
      </c>
      <c r="L71" s="84">
        <v>71</v>
      </c>
      <c r="M71" s="84"/>
      <c r="N71" s="63"/>
      <c r="O71" s="87" t="s">
        <v>304</v>
      </c>
      <c r="P71">
        <v>1</v>
      </c>
      <c r="Q71" s="86" t="str">
        <f>REPLACE(INDEX(GroupVertices[Group],MATCH(Edges[[#This Row],[Vertex 1]],GroupVertices[Vertex],0)),1,1,"")</f>
        <v>1</v>
      </c>
      <c r="R71" s="86" t="str">
        <f>REPLACE(INDEX(GroupVertices[Group],MATCH(Edges[[#This Row],[Vertex 2]],GroupVertices[Vertex],0)),1,1,"")</f>
        <v>1</v>
      </c>
      <c r="S71" s="36"/>
      <c r="T71" s="36"/>
      <c r="U71" s="36"/>
      <c r="V71" s="36"/>
      <c r="W71" s="36"/>
      <c r="X71" s="36"/>
      <c r="Y71" s="36"/>
      <c r="Z71" s="36"/>
      <c r="AA71" s="36"/>
    </row>
    <row r="72" spans="1:27" ht="45">
      <c r="A72" s="85" t="s">
        <v>212</v>
      </c>
      <c r="B72" s="85" t="s">
        <v>281</v>
      </c>
      <c r="C72" s="53" t="s">
        <v>1065</v>
      </c>
      <c r="D72" s="54">
        <v>3</v>
      </c>
      <c r="E72" s="66"/>
      <c r="F72" s="55">
        <v>50</v>
      </c>
      <c r="G72" s="53"/>
      <c r="H72" s="57"/>
      <c r="I72" s="56"/>
      <c r="J72" s="56"/>
      <c r="K72" s="36" t="s">
        <v>65</v>
      </c>
      <c r="L72" s="84">
        <v>72</v>
      </c>
      <c r="M72" s="84"/>
      <c r="N72" s="63"/>
      <c r="O72" s="87" t="s">
        <v>304</v>
      </c>
      <c r="P72">
        <v>1</v>
      </c>
      <c r="Q72" s="86" t="str">
        <f>REPLACE(INDEX(GroupVertices[Group],MATCH(Edges[[#This Row],[Vertex 1]],GroupVertices[Vertex],0)),1,1,"")</f>
        <v>1</v>
      </c>
      <c r="R72" s="86" t="str">
        <f>REPLACE(INDEX(GroupVertices[Group],MATCH(Edges[[#This Row],[Vertex 2]],GroupVertices[Vertex],0)),1,1,"")</f>
        <v>1</v>
      </c>
      <c r="S72" s="36"/>
      <c r="T72" s="36"/>
      <c r="U72" s="36"/>
      <c r="V72" s="36"/>
      <c r="W72" s="36"/>
      <c r="X72" s="36"/>
      <c r="Y72" s="36"/>
      <c r="Z72" s="36"/>
      <c r="AA72" s="36"/>
    </row>
    <row r="73" spans="1:27" ht="45">
      <c r="A73" s="85" t="s">
        <v>212</v>
      </c>
      <c r="B73" s="85" t="s">
        <v>282</v>
      </c>
      <c r="C73" s="53" t="s">
        <v>1065</v>
      </c>
      <c r="D73" s="54">
        <v>3</v>
      </c>
      <c r="E73" s="66"/>
      <c r="F73" s="55">
        <v>50</v>
      </c>
      <c r="G73" s="53"/>
      <c r="H73" s="57"/>
      <c r="I73" s="56"/>
      <c r="J73" s="56"/>
      <c r="K73" s="36" t="s">
        <v>65</v>
      </c>
      <c r="L73" s="84">
        <v>73</v>
      </c>
      <c r="M73" s="84"/>
      <c r="N73" s="63"/>
      <c r="O73" s="87" t="s">
        <v>304</v>
      </c>
      <c r="P73">
        <v>1</v>
      </c>
      <c r="Q73" s="86" t="str">
        <f>REPLACE(INDEX(GroupVertices[Group],MATCH(Edges[[#This Row],[Vertex 1]],GroupVertices[Vertex],0)),1,1,"")</f>
        <v>1</v>
      </c>
      <c r="R73" s="86" t="str">
        <f>REPLACE(INDEX(GroupVertices[Group],MATCH(Edges[[#This Row],[Vertex 2]],GroupVertices[Vertex],0)),1,1,"")</f>
        <v>1</v>
      </c>
      <c r="S73" s="36"/>
      <c r="T73" s="36"/>
      <c r="U73" s="36"/>
      <c r="V73" s="36"/>
      <c r="W73" s="36"/>
      <c r="X73" s="36"/>
      <c r="Y73" s="36"/>
      <c r="Z73" s="36"/>
      <c r="AA73" s="36"/>
    </row>
    <row r="74" spans="1:27" ht="45">
      <c r="A74" s="85" t="s">
        <v>212</v>
      </c>
      <c r="B74" s="85" t="s">
        <v>283</v>
      </c>
      <c r="C74" s="53" t="s">
        <v>1065</v>
      </c>
      <c r="D74" s="54">
        <v>3</v>
      </c>
      <c r="E74" s="66"/>
      <c r="F74" s="55">
        <v>50</v>
      </c>
      <c r="G74" s="53"/>
      <c r="H74" s="57"/>
      <c r="I74" s="56"/>
      <c r="J74" s="56"/>
      <c r="K74" s="36" t="s">
        <v>65</v>
      </c>
      <c r="L74" s="84">
        <v>74</v>
      </c>
      <c r="M74" s="84"/>
      <c r="N74" s="63"/>
      <c r="O74" s="87" t="s">
        <v>304</v>
      </c>
      <c r="P74">
        <v>1</v>
      </c>
      <c r="Q74" s="86" t="str">
        <f>REPLACE(INDEX(GroupVertices[Group],MATCH(Edges[[#This Row],[Vertex 1]],GroupVertices[Vertex],0)),1,1,"")</f>
        <v>1</v>
      </c>
      <c r="R74" s="86" t="str">
        <f>REPLACE(INDEX(GroupVertices[Group],MATCH(Edges[[#This Row],[Vertex 2]],GroupVertices[Vertex],0)),1,1,"")</f>
        <v>1</v>
      </c>
      <c r="S74" s="36"/>
      <c r="T74" s="36"/>
      <c r="U74" s="36"/>
      <c r="V74" s="36"/>
      <c r="W74" s="36"/>
      <c r="X74" s="36"/>
      <c r="Y74" s="36"/>
      <c r="Z74" s="36"/>
      <c r="AA74" s="36"/>
    </row>
    <row r="75" spans="1:27" ht="45">
      <c r="A75" s="85" t="s">
        <v>212</v>
      </c>
      <c r="B75" s="85" t="s">
        <v>284</v>
      </c>
      <c r="C75" s="53" t="s">
        <v>1065</v>
      </c>
      <c r="D75" s="54">
        <v>3</v>
      </c>
      <c r="E75" s="66"/>
      <c r="F75" s="55">
        <v>50</v>
      </c>
      <c r="G75" s="53"/>
      <c r="H75" s="57"/>
      <c r="I75" s="56"/>
      <c r="J75" s="56"/>
      <c r="K75" s="36" t="s">
        <v>65</v>
      </c>
      <c r="L75" s="84">
        <v>75</v>
      </c>
      <c r="M75" s="84"/>
      <c r="N75" s="63"/>
      <c r="O75" s="87" t="s">
        <v>304</v>
      </c>
      <c r="P75">
        <v>1</v>
      </c>
      <c r="Q75" s="86" t="str">
        <f>REPLACE(INDEX(GroupVertices[Group],MATCH(Edges[[#This Row],[Vertex 1]],GroupVertices[Vertex],0)),1,1,"")</f>
        <v>1</v>
      </c>
      <c r="R75" s="86" t="str">
        <f>REPLACE(INDEX(GroupVertices[Group],MATCH(Edges[[#This Row],[Vertex 2]],GroupVertices[Vertex],0)),1,1,"")</f>
        <v>1</v>
      </c>
      <c r="S75" s="36"/>
      <c r="T75" s="36"/>
      <c r="U75" s="36"/>
      <c r="V75" s="36"/>
      <c r="W75" s="36"/>
      <c r="X75" s="36"/>
      <c r="Y75" s="36"/>
      <c r="Z75" s="36"/>
      <c r="AA75" s="36"/>
    </row>
    <row r="76" spans="1:27" ht="45">
      <c r="A76" s="85" t="s">
        <v>212</v>
      </c>
      <c r="B76" s="85" t="s">
        <v>285</v>
      </c>
      <c r="C76" s="53" t="s">
        <v>1065</v>
      </c>
      <c r="D76" s="54">
        <v>3</v>
      </c>
      <c r="E76" s="66"/>
      <c r="F76" s="55">
        <v>50</v>
      </c>
      <c r="G76" s="53"/>
      <c r="H76" s="57"/>
      <c r="I76" s="56"/>
      <c r="J76" s="56"/>
      <c r="K76" s="36" t="s">
        <v>65</v>
      </c>
      <c r="L76" s="84">
        <v>76</v>
      </c>
      <c r="M76" s="84"/>
      <c r="N76" s="63"/>
      <c r="O76" s="87" t="s">
        <v>304</v>
      </c>
      <c r="P76">
        <v>1</v>
      </c>
      <c r="Q76" s="86" t="str">
        <f>REPLACE(INDEX(GroupVertices[Group],MATCH(Edges[[#This Row],[Vertex 1]],GroupVertices[Vertex],0)),1,1,"")</f>
        <v>1</v>
      </c>
      <c r="R76" s="86" t="str">
        <f>REPLACE(INDEX(GroupVertices[Group],MATCH(Edges[[#This Row],[Vertex 2]],GroupVertices[Vertex],0)),1,1,"")</f>
        <v>1</v>
      </c>
      <c r="S76" s="36"/>
      <c r="T76" s="36"/>
      <c r="U76" s="36"/>
      <c r="V76" s="36"/>
      <c r="W76" s="36"/>
      <c r="X76" s="36"/>
      <c r="Y76" s="36"/>
      <c r="Z76" s="36"/>
      <c r="AA76" s="36"/>
    </row>
    <row r="77" spans="1:27" ht="45">
      <c r="A77" s="85" t="s">
        <v>212</v>
      </c>
      <c r="B77" s="85" t="s">
        <v>286</v>
      </c>
      <c r="C77" s="53" t="s">
        <v>1065</v>
      </c>
      <c r="D77" s="54">
        <v>3</v>
      </c>
      <c r="E77" s="66"/>
      <c r="F77" s="55">
        <v>50</v>
      </c>
      <c r="G77" s="53"/>
      <c r="H77" s="57"/>
      <c r="I77" s="56"/>
      <c r="J77" s="56"/>
      <c r="K77" s="36" t="s">
        <v>65</v>
      </c>
      <c r="L77" s="84">
        <v>77</v>
      </c>
      <c r="M77" s="84"/>
      <c r="N77" s="63"/>
      <c r="O77" s="87" t="s">
        <v>304</v>
      </c>
      <c r="P77">
        <v>1</v>
      </c>
      <c r="Q77" s="86" t="str">
        <f>REPLACE(INDEX(GroupVertices[Group],MATCH(Edges[[#This Row],[Vertex 1]],GroupVertices[Vertex],0)),1,1,"")</f>
        <v>1</v>
      </c>
      <c r="R77" s="86" t="str">
        <f>REPLACE(INDEX(GroupVertices[Group],MATCH(Edges[[#This Row],[Vertex 2]],GroupVertices[Vertex],0)),1,1,"")</f>
        <v>1</v>
      </c>
      <c r="S77" s="36"/>
      <c r="T77" s="36"/>
      <c r="U77" s="36"/>
      <c r="V77" s="36"/>
      <c r="W77" s="36"/>
      <c r="X77" s="36"/>
      <c r="Y77" s="36"/>
      <c r="Z77" s="36"/>
      <c r="AA77" s="36"/>
    </row>
    <row r="78" spans="1:27" ht="45">
      <c r="A78" s="85" t="s">
        <v>212</v>
      </c>
      <c r="B78" s="85" t="s">
        <v>287</v>
      </c>
      <c r="C78" s="53" t="s">
        <v>1065</v>
      </c>
      <c r="D78" s="54">
        <v>3</v>
      </c>
      <c r="E78" s="66"/>
      <c r="F78" s="55">
        <v>50</v>
      </c>
      <c r="G78" s="53"/>
      <c r="H78" s="57"/>
      <c r="I78" s="56"/>
      <c r="J78" s="56"/>
      <c r="K78" s="36" t="s">
        <v>65</v>
      </c>
      <c r="L78" s="84">
        <v>78</v>
      </c>
      <c r="M78" s="84"/>
      <c r="N78" s="63"/>
      <c r="O78" s="87" t="s">
        <v>304</v>
      </c>
      <c r="P78">
        <v>1</v>
      </c>
      <c r="Q78" s="86" t="str">
        <f>REPLACE(INDEX(GroupVertices[Group],MATCH(Edges[[#This Row],[Vertex 1]],GroupVertices[Vertex],0)),1,1,"")</f>
        <v>1</v>
      </c>
      <c r="R78" s="86" t="str">
        <f>REPLACE(INDEX(GroupVertices[Group],MATCH(Edges[[#This Row],[Vertex 2]],GroupVertices[Vertex],0)),1,1,"")</f>
        <v>1</v>
      </c>
      <c r="S78" s="36"/>
      <c r="T78" s="36"/>
      <c r="U78" s="36"/>
      <c r="V78" s="36"/>
      <c r="W78" s="36"/>
      <c r="X78" s="36"/>
      <c r="Y78" s="36"/>
      <c r="Z78" s="36"/>
      <c r="AA78" s="36"/>
    </row>
    <row r="79" spans="1:27" ht="45">
      <c r="A79" s="85" t="s">
        <v>212</v>
      </c>
      <c r="B79" s="85" t="s">
        <v>288</v>
      </c>
      <c r="C79" s="53" t="s">
        <v>1065</v>
      </c>
      <c r="D79" s="54">
        <v>3</v>
      </c>
      <c r="E79" s="66"/>
      <c r="F79" s="55">
        <v>50</v>
      </c>
      <c r="G79" s="53"/>
      <c r="H79" s="57"/>
      <c r="I79" s="56"/>
      <c r="J79" s="56"/>
      <c r="K79" s="36" t="s">
        <v>65</v>
      </c>
      <c r="L79" s="84">
        <v>79</v>
      </c>
      <c r="M79" s="84"/>
      <c r="N79" s="63"/>
      <c r="O79" s="87" t="s">
        <v>304</v>
      </c>
      <c r="P79">
        <v>1</v>
      </c>
      <c r="Q79" s="86" t="str">
        <f>REPLACE(INDEX(GroupVertices[Group],MATCH(Edges[[#This Row],[Vertex 1]],GroupVertices[Vertex],0)),1,1,"")</f>
        <v>1</v>
      </c>
      <c r="R79" s="86" t="str">
        <f>REPLACE(INDEX(GroupVertices[Group],MATCH(Edges[[#This Row],[Vertex 2]],GroupVertices[Vertex],0)),1,1,"")</f>
        <v>1</v>
      </c>
      <c r="S79" s="36"/>
      <c r="T79" s="36"/>
      <c r="U79" s="36"/>
      <c r="V79" s="36"/>
      <c r="W79" s="36"/>
      <c r="X79" s="36"/>
      <c r="Y79" s="36"/>
      <c r="Z79" s="36"/>
      <c r="AA79" s="36"/>
    </row>
    <row r="80" spans="1:27" ht="45">
      <c r="A80" s="85" t="s">
        <v>212</v>
      </c>
      <c r="B80" s="85" t="s">
        <v>289</v>
      </c>
      <c r="C80" s="53" t="s">
        <v>1065</v>
      </c>
      <c r="D80" s="54">
        <v>3</v>
      </c>
      <c r="E80" s="66"/>
      <c r="F80" s="55">
        <v>50</v>
      </c>
      <c r="G80" s="53"/>
      <c r="H80" s="57"/>
      <c r="I80" s="56"/>
      <c r="J80" s="56"/>
      <c r="K80" s="36" t="s">
        <v>65</v>
      </c>
      <c r="L80" s="84">
        <v>80</v>
      </c>
      <c r="M80" s="84"/>
      <c r="N80" s="63"/>
      <c r="O80" s="87" t="s">
        <v>304</v>
      </c>
      <c r="P80">
        <v>1</v>
      </c>
      <c r="Q80" s="86" t="str">
        <f>REPLACE(INDEX(GroupVertices[Group],MATCH(Edges[[#This Row],[Vertex 1]],GroupVertices[Vertex],0)),1,1,"")</f>
        <v>1</v>
      </c>
      <c r="R80" s="86" t="str">
        <f>REPLACE(INDEX(GroupVertices[Group],MATCH(Edges[[#This Row],[Vertex 2]],GroupVertices[Vertex],0)),1,1,"")</f>
        <v>1</v>
      </c>
      <c r="S80" s="36"/>
      <c r="T80" s="36"/>
      <c r="U80" s="36"/>
      <c r="V80" s="36"/>
      <c r="W80" s="36"/>
      <c r="X80" s="36"/>
      <c r="Y80" s="36"/>
      <c r="Z80" s="36"/>
      <c r="AA80" s="36"/>
    </row>
    <row r="81" spans="1:27" ht="45">
      <c r="A81" s="85" t="s">
        <v>212</v>
      </c>
      <c r="B81" s="85" t="s">
        <v>290</v>
      </c>
      <c r="C81" s="53" t="s">
        <v>1065</v>
      </c>
      <c r="D81" s="54">
        <v>3</v>
      </c>
      <c r="E81" s="66"/>
      <c r="F81" s="55">
        <v>50</v>
      </c>
      <c r="G81" s="53"/>
      <c r="H81" s="57"/>
      <c r="I81" s="56"/>
      <c r="J81" s="56"/>
      <c r="K81" s="36" t="s">
        <v>65</v>
      </c>
      <c r="L81" s="84">
        <v>81</v>
      </c>
      <c r="M81" s="84"/>
      <c r="N81" s="63"/>
      <c r="O81" s="87" t="s">
        <v>304</v>
      </c>
      <c r="P81">
        <v>1</v>
      </c>
      <c r="Q81" s="86" t="str">
        <f>REPLACE(INDEX(GroupVertices[Group],MATCH(Edges[[#This Row],[Vertex 1]],GroupVertices[Vertex],0)),1,1,"")</f>
        <v>1</v>
      </c>
      <c r="R81" s="86" t="str">
        <f>REPLACE(INDEX(GroupVertices[Group],MATCH(Edges[[#This Row],[Vertex 2]],GroupVertices[Vertex],0)),1,1,"")</f>
        <v>1</v>
      </c>
      <c r="S81" s="36"/>
      <c r="T81" s="36"/>
      <c r="U81" s="36"/>
      <c r="V81" s="36"/>
      <c r="W81" s="36"/>
      <c r="X81" s="36"/>
      <c r="Y81" s="36"/>
      <c r="Z81" s="36"/>
      <c r="AA81" s="36"/>
    </row>
    <row r="82" spans="1:27" ht="45">
      <c r="A82" s="85" t="s">
        <v>212</v>
      </c>
      <c r="B82" s="85" t="s">
        <v>291</v>
      </c>
      <c r="C82" s="53" t="s">
        <v>1065</v>
      </c>
      <c r="D82" s="54">
        <v>3</v>
      </c>
      <c r="E82" s="66"/>
      <c r="F82" s="55">
        <v>50</v>
      </c>
      <c r="G82" s="53"/>
      <c r="H82" s="57"/>
      <c r="I82" s="56"/>
      <c r="J82" s="56"/>
      <c r="K82" s="36" t="s">
        <v>65</v>
      </c>
      <c r="L82" s="84">
        <v>82</v>
      </c>
      <c r="M82" s="84"/>
      <c r="N82" s="63"/>
      <c r="O82" s="87" t="s">
        <v>304</v>
      </c>
      <c r="P82">
        <v>1</v>
      </c>
      <c r="Q82" s="86" t="str">
        <f>REPLACE(INDEX(GroupVertices[Group],MATCH(Edges[[#This Row],[Vertex 1]],GroupVertices[Vertex],0)),1,1,"")</f>
        <v>1</v>
      </c>
      <c r="R82" s="86" t="str">
        <f>REPLACE(INDEX(GroupVertices[Group],MATCH(Edges[[#This Row],[Vertex 2]],GroupVertices[Vertex],0)),1,1,"")</f>
        <v>1</v>
      </c>
      <c r="S82" s="36"/>
      <c r="T82" s="36"/>
      <c r="U82" s="36"/>
      <c r="V82" s="36"/>
      <c r="W82" s="36"/>
      <c r="X82" s="36"/>
      <c r="Y82" s="36"/>
      <c r="Z82" s="36"/>
      <c r="AA82" s="36"/>
    </row>
    <row r="83" spans="1:27" ht="45">
      <c r="A83" s="85" t="s">
        <v>212</v>
      </c>
      <c r="B83" s="85" t="s">
        <v>292</v>
      </c>
      <c r="C83" s="53" t="s">
        <v>1065</v>
      </c>
      <c r="D83" s="54">
        <v>3</v>
      </c>
      <c r="E83" s="66"/>
      <c r="F83" s="55">
        <v>50</v>
      </c>
      <c r="G83" s="53"/>
      <c r="H83" s="57"/>
      <c r="I83" s="56"/>
      <c r="J83" s="56"/>
      <c r="K83" s="36" t="s">
        <v>65</v>
      </c>
      <c r="L83" s="84">
        <v>83</v>
      </c>
      <c r="M83" s="84"/>
      <c r="N83" s="63"/>
      <c r="O83" s="87" t="s">
        <v>304</v>
      </c>
      <c r="P83">
        <v>1</v>
      </c>
      <c r="Q83" s="86" t="str">
        <f>REPLACE(INDEX(GroupVertices[Group],MATCH(Edges[[#This Row],[Vertex 1]],GroupVertices[Vertex],0)),1,1,"")</f>
        <v>1</v>
      </c>
      <c r="R83" s="86" t="str">
        <f>REPLACE(INDEX(GroupVertices[Group],MATCH(Edges[[#This Row],[Vertex 2]],GroupVertices[Vertex],0)),1,1,"")</f>
        <v>1</v>
      </c>
      <c r="S83" s="36"/>
      <c r="T83" s="36"/>
      <c r="U83" s="36"/>
      <c r="V83" s="36"/>
      <c r="W83" s="36"/>
      <c r="X83" s="36"/>
      <c r="Y83" s="36"/>
      <c r="Z83" s="36"/>
      <c r="AA83" s="36"/>
    </row>
    <row r="84" spans="1:27" ht="45">
      <c r="A84" s="85" t="s">
        <v>212</v>
      </c>
      <c r="B84" s="85" t="s">
        <v>293</v>
      </c>
      <c r="C84" s="53" t="s">
        <v>1065</v>
      </c>
      <c r="D84" s="54">
        <v>3</v>
      </c>
      <c r="E84" s="66"/>
      <c r="F84" s="55">
        <v>50</v>
      </c>
      <c r="G84" s="53"/>
      <c r="H84" s="57"/>
      <c r="I84" s="56"/>
      <c r="J84" s="56"/>
      <c r="K84" s="36" t="s">
        <v>65</v>
      </c>
      <c r="L84" s="84">
        <v>84</v>
      </c>
      <c r="M84" s="84"/>
      <c r="N84" s="63"/>
      <c r="O84" s="87" t="s">
        <v>304</v>
      </c>
      <c r="P84">
        <v>1</v>
      </c>
      <c r="Q84" s="86" t="str">
        <f>REPLACE(INDEX(GroupVertices[Group],MATCH(Edges[[#This Row],[Vertex 1]],GroupVertices[Vertex],0)),1,1,"")</f>
        <v>1</v>
      </c>
      <c r="R84" s="86" t="str">
        <f>REPLACE(INDEX(GroupVertices[Group],MATCH(Edges[[#This Row],[Vertex 2]],GroupVertices[Vertex],0)),1,1,"")</f>
        <v>1</v>
      </c>
      <c r="S84" s="36"/>
      <c r="T84" s="36"/>
      <c r="U84" s="36"/>
      <c r="V84" s="36"/>
      <c r="W84" s="36"/>
      <c r="X84" s="36"/>
      <c r="Y84" s="36"/>
      <c r="Z84" s="36"/>
      <c r="AA84" s="36"/>
    </row>
    <row r="85" spans="1:27" ht="45">
      <c r="A85" s="85" t="s">
        <v>212</v>
      </c>
      <c r="B85" s="85" t="s">
        <v>294</v>
      </c>
      <c r="C85" s="53" t="s">
        <v>1065</v>
      </c>
      <c r="D85" s="54">
        <v>3</v>
      </c>
      <c r="E85" s="66"/>
      <c r="F85" s="55">
        <v>50</v>
      </c>
      <c r="G85" s="53"/>
      <c r="H85" s="57"/>
      <c r="I85" s="56"/>
      <c r="J85" s="56"/>
      <c r="K85" s="36" t="s">
        <v>65</v>
      </c>
      <c r="L85" s="84">
        <v>85</v>
      </c>
      <c r="M85" s="84"/>
      <c r="N85" s="63"/>
      <c r="O85" s="87" t="s">
        <v>304</v>
      </c>
      <c r="P85">
        <v>1</v>
      </c>
      <c r="Q85" s="86" t="str">
        <f>REPLACE(INDEX(GroupVertices[Group],MATCH(Edges[[#This Row],[Vertex 1]],GroupVertices[Vertex],0)),1,1,"")</f>
        <v>1</v>
      </c>
      <c r="R85" s="86" t="str">
        <f>REPLACE(INDEX(GroupVertices[Group],MATCH(Edges[[#This Row],[Vertex 2]],GroupVertices[Vertex],0)),1,1,"")</f>
        <v>1</v>
      </c>
      <c r="S85" s="36"/>
      <c r="T85" s="36"/>
      <c r="U85" s="36"/>
      <c r="V85" s="36"/>
      <c r="W85" s="36"/>
      <c r="X85" s="36"/>
      <c r="Y85" s="36"/>
      <c r="Z85" s="36"/>
      <c r="AA85" s="36"/>
    </row>
    <row r="86" spans="1:27" ht="45">
      <c r="A86" s="85" t="s">
        <v>212</v>
      </c>
      <c r="B86" s="85" t="s">
        <v>295</v>
      </c>
      <c r="C86" s="53" t="s">
        <v>1065</v>
      </c>
      <c r="D86" s="54">
        <v>3</v>
      </c>
      <c r="E86" s="66"/>
      <c r="F86" s="55">
        <v>50</v>
      </c>
      <c r="G86" s="53"/>
      <c r="H86" s="57"/>
      <c r="I86" s="56"/>
      <c r="J86" s="56"/>
      <c r="K86" s="36" t="s">
        <v>65</v>
      </c>
      <c r="L86" s="84">
        <v>86</v>
      </c>
      <c r="M86" s="84"/>
      <c r="N86" s="63"/>
      <c r="O86" s="87" t="s">
        <v>304</v>
      </c>
      <c r="P86">
        <v>1</v>
      </c>
      <c r="Q86" s="86" t="str">
        <f>REPLACE(INDEX(GroupVertices[Group],MATCH(Edges[[#This Row],[Vertex 1]],GroupVertices[Vertex],0)),1,1,"")</f>
        <v>1</v>
      </c>
      <c r="R86" s="86" t="str">
        <f>REPLACE(INDEX(GroupVertices[Group],MATCH(Edges[[#This Row],[Vertex 2]],GroupVertices[Vertex],0)),1,1,"")</f>
        <v>1</v>
      </c>
      <c r="S86" s="36"/>
      <c r="T86" s="36"/>
      <c r="U86" s="36"/>
      <c r="V86" s="36"/>
      <c r="W86" s="36"/>
      <c r="X86" s="36"/>
      <c r="Y86" s="36"/>
      <c r="Z86" s="36"/>
      <c r="AA86" s="36"/>
    </row>
    <row r="87" spans="1:27" ht="45">
      <c r="A87" s="85" t="s">
        <v>212</v>
      </c>
      <c r="B87" s="85" t="s">
        <v>296</v>
      </c>
      <c r="C87" s="53" t="s">
        <v>1065</v>
      </c>
      <c r="D87" s="54">
        <v>3</v>
      </c>
      <c r="E87" s="66"/>
      <c r="F87" s="55">
        <v>50</v>
      </c>
      <c r="G87" s="53"/>
      <c r="H87" s="57"/>
      <c r="I87" s="56"/>
      <c r="J87" s="56"/>
      <c r="K87" s="36" t="s">
        <v>65</v>
      </c>
      <c r="L87" s="84">
        <v>87</v>
      </c>
      <c r="M87" s="84"/>
      <c r="N87" s="63"/>
      <c r="O87" s="87" t="s">
        <v>304</v>
      </c>
      <c r="P87">
        <v>1</v>
      </c>
      <c r="Q87" s="86" t="str">
        <f>REPLACE(INDEX(GroupVertices[Group],MATCH(Edges[[#This Row],[Vertex 1]],GroupVertices[Vertex],0)),1,1,"")</f>
        <v>1</v>
      </c>
      <c r="R87" s="86" t="str">
        <f>REPLACE(INDEX(GroupVertices[Group],MATCH(Edges[[#This Row],[Vertex 2]],GroupVertices[Vertex],0)),1,1,"")</f>
        <v>1</v>
      </c>
      <c r="S87" s="36"/>
      <c r="T87" s="36"/>
      <c r="U87" s="36"/>
      <c r="V87" s="36"/>
      <c r="W87" s="36"/>
      <c r="X87" s="36"/>
      <c r="Y87" s="36"/>
      <c r="Z87" s="36"/>
      <c r="AA87" s="36"/>
    </row>
    <row r="88" spans="1:27" ht="45">
      <c r="A88" s="85" t="s">
        <v>212</v>
      </c>
      <c r="B88" s="85" t="s">
        <v>297</v>
      </c>
      <c r="C88" s="53" t="s">
        <v>1065</v>
      </c>
      <c r="D88" s="54">
        <v>3</v>
      </c>
      <c r="E88" s="66"/>
      <c r="F88" s="55">
        <v>50</v>
      </c>
      <c r="G88" s="53"/>
      <c r="H88" s="57"/>
      <c r="I88" s="56"/>
      <c r="J88" s="56"/>
      <c r="K88" s="36" t="s">
        <v>65</v>
      </c>
      <c r="L88" s="84">
        <v>88</v>
      </c>
      <c r="M88" s="84"/>
      <c r="N88" s="63"/>
      <c r="O88" s="87" t="s">
        <v>304</v>
      </c>
      <c r="P88">
        <v>1</v>
      </c>
      <c r="Q88" s="86" t="str">
        <f>REPLACE(INDEX(GroupVertices[Group],MATCH(Edges[[#This Row],[Vertex 1]],GroupVertices[Vertex],0)),1,1,"")</f>
        <v>1</v>
      </c>
      <c r="R88" s="86" t="str">
        <f>REPLACE(INDEX(GroupVertices[Group],MATCH(Edges[[#This Row],[Vertex 2]],GroupVertices[Vertex],0)),1,1,"")</f>
        <v>1</v>
      </c>
      <c r="S88" s="36"/>
      <c r="T88" s="36"/>
      <c r="U88" s="36"/>
      <c r="V88" s="36"/>
      <c r="W88" s="36"/>
      <c r="X88" s="36"/>
      <c r="Y88" s="36"/>
      <c r="Z88" s="36"/>
      <c r="AA88" s="36"/>
    </row>
    <row r="89" spans="1:27" ht="45">
      <c r="A89" s="85" t="s">
        <v>212</v>
      </c>
      <c r="B89" s="85" t="s">
        <v>298</v>
      </c>
      <c r="C89" s="53" t="s">
        <v>1065</v>
      </c>
      <c r="D89" s="54">
        <v>3</v>
      </c>
      <c r="E89" s="66"/>
      <c r="F89" s="55">
        <v>50</v>
      </c>
      <c r="G89" s="53"/>
      <c r="H89" s="57"/>
      <c r="I89" s="56"/>
      <c r="J89" s="56"/>
      <c r="K89" s="36" t="s">
        <v>65</v>
      </c>
      <c r="L89" s="84">
        <v>89</v>
      </c>
      <c r="M89" s="84"/>
      <c r="N89" s="63"/>
      <c r="O89" s="87" t="s">
        <v>304</v>
      </c>
      <c r="P89">
        <v>1</v>
      </c>
      <c r="Q89" s="86" t="str">
        <f>REPLACE(INDEX(GroupVertices[Group],MATCH(Edges[[#This Row],[Vertex 1]],GroupVertices[Vertex],0)),1,1,"")</f>
        <v>1</v>
      </c>
      <c r="R89" s="86" t="str">
        <f>REPLACE(INDEX(GroupVertices[Group],MATCH(Edges[[#This Row],[Vertex 2]],GroupVertices[Vertex],0)),1,1,"")</f>
        <v>1</v>
      </c>
      <c r="S89" s="36"/>
      <c r="T89" s="36"/>
      <c r="U89" s="36"/>
      <c r="V89" s="36"/>
      <c r="W89" s="36"/>
      <c r="X89" s="36"/>
      <c r="Y89" s="36"/>
      <c r="Z89" s="36"/>
      <c r="AA89" s="36"/>
    </row>
    <row r="90" spans="1:27" ht="45">
      <c r="A90" s="85" t="s">
        <v>212</v>
      </c>
      <c r="B90" s="85" t="s">
        <v>299</v>
      </c>
      <c r="C90" s="53" t="s">
        <v>1065</v>
      </c>
      <c r="D90" s="54">
        <v>3</v>
      </c>
      <c r="E90" s="66"/>
      <c r="F90" s="55">
        <v>50</v>
      </c>
      <c r="G90" s="53"/>
      <c r="H90" s="57"/>
      <c r="I90" s="56"/>
      <c r="J90" s="56"/>
      <c r="K90" s="36" t="s">
        <v>65</v>
      </c>
      <c r="L90" s="84">
        <v>90</v>
      </c>
      <c r="M90" s="84"/>
      <c r="N90" s="63"/>
      <c r="O90" s="87" t="s">
        <v>304</v>
      </c>
      <c r="P90">
        <v>1</v>
      </c>
      <c r="Q90" s="86" t="str">
        <f>REPLACE(INDEX(GroupVertices[Group],MATCH(Edges[[#This Row],[Vertex 1]],GroupVertices[Vertex],0)),1,1,"")</f>
        <v>1</v>
      </c>
      <c r="R90" s="86" t="str">
        <f>REPLACE(INDEX(GroupVertices[Group],MATCH(Edges[[#This Row],[Vertex 2]],GroupVertices[Vertex],0)),1,1,"")</f>
        <v>1</v>
      </c>
      <c r="S90" s="36"/>
      <c r="T90" s="36"/>
      <c r="U90" s="36"/>
      <c r="V90" s="36"/>
      <c r="W90" s="36"/>
      <c r="X90" s="36"/>
      <c r="Y90" s="36"/>
      <c r="Z90" s="36"/>
      <c r="AA90" s="36"/>
    </row>
    <row r="91" spans="1:27" ht="45">
      <c r="A91" s="85" t="s">
        <v>212</v>
      </c>
      <c r="B91" s="85" t="s">
        <v>300</v>
      </c>
      <c r="C91" s="53" t="s">
        <v>1065</v>
      </c>
      <c r="D91" s="54">
        <v>3</v>
      </c>
      <c r="E91" s="66"/>
      <c r="F91" s="55">
        <v>50</v>
      </c>
      <c r="G91" s="53"/>
      <c r="H91" s="57"/>
      <c r="I91" s="56"/>
      <c r="J91" s="56"/>
      <c r="K91" s="36" t="s">
        <v>65</v>
      </c>
      <c r="L91" s="84">
        <v>91</v>
      </c>
      <c r="M91" s="84"/>
      <c r="N91" s="63"/>
      <c r="O91" s="87" t="s">
        <v>304</v>
      </c>
      <c r="P91">
        <v>1</v>
      </c>
      <c r="Q91" s="86" t="str">
        <f>REPLACE(INDEX(GroupVertices[Group],MATCH(Edges[[#This Row],[Vertex 1]],GroupVertices[Vertex],0)),1,1,"")</f>
        <v>1</v>
      </c>
      <c r="R91" s="86" t="str">
        <f>REPLACE(INDEX(GroupVertices[Group],MATCH(Edges[[#This Row],[Vertex 2]],GroupVertices[Vertex],0)),1,1,"")</f>
        <v>1</v>
      </c>
      <c r="S91" s="36"/>
      <c r="T91" s="36"/>
      <c r="U91" s="36"/>
      <c r="V91" s="36"/>
      <c r="W91" s="36"/>
      <c r="X91" s="36"/>
      <c r="Y91" s="36"/>
      <c r="Z91" s="36"/>
      <c r="AA91" s="36"/>
    </row>
    <row r="92" spans="1:27" ht="45">
      <c r="A92" s="85" t="s">
        <v>212</v>
      </c>
      <c r="B92" s="85" t="s">
        <v>301</v>
      </c>
      <c r="C92" s="53" t="s">
        <v>1065</v>
      </c>
      <c r="D92" s="54">
        <v>3</v>
      </c>
      <c r="E92" s="66"/>
      <c r="F92" s="55">
        <v>50</v>
      </c>
      <c r="G92" s="53"/>
      <c r="H92" s="57"/>
      <c r="I92" s="56"/>
      <c r="J92" s="56"/>
      <c r="K92" s="36" t="s">
        <v>65</v>
      </c>
      <c r="L92" s="84">
        <v>92</v>
      </c>
      <c r="M92" s="84"/>
      <c r="N92" s="63"/>
      <c r="O92" s="87" t="s">
        <v>304</v>
      </c>
      <c r="P92">
        <v>1</v>
      </c>
      <c r="Q92" s="86" t="str">
        <f>REPLACE(INDEX(GroupVertices[Group],MATCH(Edges[[#This Row],[Vertex 1]],GroupVertices[Vertex],0)),1,1,"")</f>
        <v>1</v>
      </c>
      <c r="R92" s="86" t="str">
        <f>REPLACE(INDEX(GroupVertices[Group],MATCH(Edges[[#This Row],[Vertex 2]],GroupVertices[Vertex],0)),1,1,"")</f>
        <v>1</v>
      </c>
      <c r="S92" s="36"/>
      <c r="T92" s="36"/>
      <c r="U92" s="36"/>
      <c r="V92" s="36"/>
      <c r="W92" s="36"/>
      <c r="X92" s="36"/>
      <c r="Y92" s="36"/>
      <c r="Z92" s="36"/>
      <c r="AA92" s="36"/>
    </row>
    <row r="93" spans="1:27" ht="45">
      <c r="A93" s="85" t="s">
        <v>212</v>
      </c>
      <c r="B93" s="85" t="s">
        <v>302</v>
      </c>
      <c r="C93" s="53" t="s">
        <v>1065</v>
      </c>
      <c r="D93" s="54">
        <v>3</v>
      </c>
      <c r="E93" s="66"/>
      <c r="F93" s="55">
        <v>50</v>
      </c>
      <c r="G93" s="53"/>
      <c r="H93" s="57"/>
      <c r="I93" s="56"/>
      <c r="J93" s="56"/>
      <c r="K93" s="36" t="s">
        <v>65</v>
      </c>
      <c r="L93" s="84">
        <v>93</v>
      </c>
      <c r="M93" s="84"/>
      <c r="N93" s="63"/>
      <c r="O93" s="87" t="s">
        <v>304</v>
      </c>
      <c r="P93">
        <v>1</v>
      </c>
      <c r="Q93" s="86" t="str">
        <f>REPLACE(INDEX(GroupVertices[Group],MATCH(Edges[[#This Row],[Vertex 1]],GroupVertices[Vertex],0)),1,1,"")</f>
        <v>1</v>
      </c>
      <c r="R93" s="86" t="str">
        <f>REPLACE(INDEX(GroupVertices[Group],MATCH(Edges[[#This Row],[Vertex 2]],GroupVertices[Vertex],0)),1,1,"")</f>
        <v>1</v>
      </c>
      <c r="S93" s="36"/>
      <c r="T93" s="36"/>
      <c r="U93" s="36"/>
      <c r="V93" s="36"/>
      <c r="W93" s="36"/>
      <c r="X93" s="36"/>
      <c r="Y93" s="36"/>
      <c r="Z93" s="36"/>
      <c r="AA93" s="3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ErrorMessage="1" sqref="N2:N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Color" prompt="To select an optional edge color, right-click and select Select Color on the right-click menu." sqref="C3:C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Opacity" prompt="Enter an optional edge opacity between 0 (transparent) and 100 (opaque)." errorTitle="Invalid Edge Opacity" error="The optional edge opacity must be a whole number between 0 and 10." sqref="F3:F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showErrorMessage="1" promptTitle="Vertex 1 Name" prompt="Enter the name of the edge's first vertex." sqref="A3:A93"/>
    <dataValidation allowBlank="1" showInputMessage="1" showErrorMessage="1" promptTitle="Vertex 2 Name" prompt="Enter the name of the edge's second vertex." sqref="B3:B93"/>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4DAC6-AE01-4813-ACDE-341B34F149C6}">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1006</v>
      </c>
      <c r="B2" s="131" t="s">
        <v>1007</v>
      </c>
      <c r="C2" s="68" t="s">
        <v>1008</v>
      </c>
    </row>
    <row r="3" spans="1:3" ht="15">
      <c r="A3" s="130" t="s">
        <v>701</v>
      </c>
      <c r="B3" s="130" t="s">
        <v>701</v>
      </c>
      <c r="C3" s="36">
        <v>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BDEB5-D6C5-44B8-B561-4F59FB6E6E7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1026</v>
      </c>
      <c r="B1" s="13" t="s">
        <v>17</v>
      </c>
    </row>
    <row r="2" spans="1:2" ht="15">
      <c r="A2" s="86" t="s">
        <v>1027</v>
      </c>
      <c r="B2" s="86" t="s">
        <v>1033</v>
      </c>
    </row>
    <row r="3" spans="1:2" ht="15">
      <c r="A3" s="86" t="s">
        <v>1028</v>
      </c>
      <c r="B3" s="86" t="s">
        <v>1034</v>
      </c>
    </row>
    <row r="4" spans="1:2" ht="15">
      <c r="A4" s="86" t="s">
        <v>1029</v>
      </c>
      <c r="B4" s="86" t="s">
        <v>1035</v>
      </c>
    </row>
    <row r="5" spans="1:2" ht="15">
      <c r="A5" s="86" t="s">
        <v>1030</v>
      </c>
      <c r="B5" s="86" t="s">
        <v>1036</v>
      </c>
    </row>
    <row r="6" spans="1:2" ht="15">
      <c r="A6" s="86" t="s">
        <v>1031</v>
      </c>
      <c r="B6" s="86" t="s">
        <v>1037</v>
      </c>
    </row>
    <row r="7" spans="1:2" ht="15">
      <c r="A7" s="86" t="s">
        <v>1032</v>
      </c>
      <c r="B7" s="86"/>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A83F8-B91E-4A39-8A21-7AD5A6E92E0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1038</v>
      </c>
      <c r="B1" s="13" t="s">
        <v>34</v>
      </c>
    </row>
    <row r="2" spans="1:2" ht="15">
      <c r="A2" s="124" t="s">
        <v>212</v>
      </c>
      <c r="B2" s="86">
        <v>8190</v>
      </c>
    </row>
    <row r="3" spans="1:2" ht="15">
      <c r="A3" s="124" t="s">
        <v>272</v>
      </c>
      <c r="B3" s="86">
        <v>0</v>
      </c>
    </row>
    <row r="4" spans="1:2" ht="15">
      <c r="A4" s="124" t="s">
        <v>273</v>
      </c>
      <c r="B4" s="86">
        <v>0</v>
      </c>
    </row>
    <row r="5" spans="1:2" ht="15">
      <c r="A5" s="124" t="s">
        <v>271</v>
      </c>
      <c r="B5" s="86">
        <v>0</v>
      </c>
    </row>
    <row r="6" spans="1:2" ht="15">
      <c r="A6" s="124" t="s">
        <v>269</v>
      </c>
      <c r="B6" s="86">
        <v>0</v>
      </c>
    </row>
    <row r="7" spans="1:2" ht="15">
      <c r="A7" s="124" t="s">
        <v>270</v>
      </c>
      <c r="B7" s="86">
        <v>0</v>
      </c>
    </row>
    <row r="8" spans="1:2" ht="15">
      <c r="A8" s="124" t="s">
        <v>274</v>
      </c>
      <c r="B8" s="86">
        <v>0</v>
      </c>
    </row>
    <row r="9" spans="1:2" ht="15">
      <c r="A9" s="124" t="s">
        <v>278</v>
      </c>
      <c r="B9" s="86">
        <v>0</v>
      </c>
    </row>
    <row r="10" spans="1:2" ht="15">
      <c r="A10" s="124" t="s">
        <v>279</v>
      </c>
      <c r="B10" s="86">
        <v>0</v>
      </c>
    </row>
    <row r="11" spans="1:2" ht="15">
      <c r="A11" s="124" t="s">
        <v>277</v>
      </c>
      <c r="B11" s="86">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1C5-5D79-44BB-AB21-4DC65E78293E}">
  <dimension ref="A1:D2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s>
  <sheetData>
    <row r="1" spans="1:4" ht="15" customHeight="1">
      <c r="A1" s="13" t="s">
        <v>1039</v>
      </c>
      <c r="B1" s="13" t="s">
        <v>1040</v>
      </c>
      <c r="C1" s="13" t="s">
        <v>1041</v>
      </c>
      <c r="D1" s="13" t="s">
        <v>1042</v>
      </c>
    </row>
    <row r="2" spans="1:4" ht="15">
      <c r="A2" s="126" t="s">
        <v>715</v>
      </c>
      <c r="B2" s="126">
        <v>322</v>
      </c>
      <c r="C2" s="126" t="s">
        <v>715</v>
      </c>
      <c r="D2" s="126">
        <v>322</v>
      </c>
    </row>
    <row r="3" spans="1:4" ht="15">
      <c r="A3" s="126" t="s">
        <v>716</v>
      </c>
      <c r="B3" s="126">
        <v>158</v>
      </c>
      <c r="C3" s="126" t="s">
        <v>716</v>
      </c>
      <c r="D3" s="126">
        <v>158</v>
      </c>
    </row>
    <row r="4" spans="1:4" ht="15">
      <c r="A4" s="126" t="s">
        <v>717</v>
      </c>
      <c r="B4" s="126">
        <v>107</v>
      </c>
      <c r="C4" s="126" t="s">
        <v>717</v>
      </c>
      <c r="D4" s="126">
        <v>107</v>
      </c>
    </row>
    <row r="5" spans="1:4" ht="15">
      <c r="A5" s="126" t="s">
        <v>718</v>
      </c>
      <c r="B5" s="126">
        <v>105</v>
      </c>
      <c r="C5" s="126" t="s">
        <v>718</v>
      </c>
      <c r="D5" s="126">
        <v>105</v>
      </c>
    </row>
    <row r="6" spans="1:4" ht="15">
      <c r="A6" s="126" t="s">
        <v>719</v>
      </c>
      <c r="B6" s="126">
        <v>71</v>
      </c>
      <c r="C6" s="126" t="s">
        <v>719</v>
      </c>
      <c r="D6" s="126">
        <v>71</v>
      </c>
    </row>
    <row r="7" spans="1:4" ht="15">
      <c r="A7" s="126" t="s">
        <v>720</v>
      </c>
      <c r="B7" s="126">
        <v>50</v>
      </c>
      <c r="C7" s="126" t="s">
        <v>720</v>
      </c>
      <c r="D7" s="126">
        <v>50</v>
      </c>
    </row>
    <row r="8" spans="1:4" ht="15">
      <c r="A8" s="126" t="s">
        <v>721</v>
      </c>
      <c r="B8" s="126">
        <v>36</v>
      </c>
      <c r="C8" s="126" t="s">
        <v>721</v>
      </c>
      <c r="D8" s="126">
        <v>36</v>
      </c>
    </row>
    <row r="9" spans="1:4" ht="15">
      <c r="A9" s="126" t="s">
        <v>722</v>
      </c>
      <c r="B9" s="126">
        <v>36</v>
      </c>
      <c r="C9" s="126" t="s">
        <v>722</v>
      </c>
      <c r="D9" s="126">
        <v>36</v>
      </c>
    </row>
    <row r="10" spans="1:4" ht="15">
      <c r="A10" s="126" t="s">
        <v>723</v>
      </c>
      <c r="B10" s="126">
        <v>29</v>
      </c>
      <c r="C10" s="126" t="s">
        <v>723</v>
      </c>
      <c r="D10" s="126">
        <v>29</v>
      </c>
    </row>
    <row r="11" spans="1:4" ht="15">
      <c r="A11" s="126" t="s">
        <v>724</v>
      </c>
      <c r="B11" s="126">
        <v>29</v>
      </c>
      <c r="C11" s="126" t="s">
        <v>724</v>
      </c>
      <c r="D11" s="126">
        <v>29</v>
      </c>
    </row>
    <row r="14" spans="1:4" ht="15" customHeight="1">
      <c r="A14" s="13" t="s">
        <v>1045</v>
      </c>
      <c r="B14" s="13" t="s">
        <v>1040</v>
      </c>
      <c r="C14" s="13" t="s">
        <v>1056</v>
      </c>
      <c r="D14" s="13" t="s">
        <v>1042</v>
      </c>
    </row>
    <row r="15" spans="1:4" ht="15">
      <c r="A15" s="126" t="s">
        <v>1046</v>
      </c>
      <c r="B15" s="126">
        <v>91</v>
      </c>
      <c r="C15" s="126" t="s">
        <v>1046</v>
      </c>
      <c r="D15" s="126">
        <v>91</v>
      </c>
    </row>
    <row r="16" spans="1:4" ht="15">
      <c r="A16" s="126" t="s">
        <v>1047</v>
      </c>
      <c r="B16" s="126">
        <v>49</v>
      </c>
      <c r="C16" s="126" t="s">
        <v>1047</v>
      </c>
      <c r="D16" s="126">
        <v>49</v>
      </c>
    </row>
    <row r="17" spans="1:4" ht="15">
      <c r="A17" s="126" t="s">
        <v>1048</v>
      </c>
      <c r="B17" s="126">
        <v>35</v>
      </c>
      <c r="C17" s="126" t="s">
        <v>1049</v>
      </c>
      <c r="D17" s="126">
        <v>35</v>
      </c>
    </row>
    <row r="18" spans="1:4" ht="15">
      <c r="A18" s="126" t="s">
        <v>1049</v>
      </c>
      <c r="B18" s="126">
        <v>35</v>
      </c>
      <c r="C18" s="126" t="s">
        <v>1048</v>
      </c>
      <c r="D18" s="126">
        <v>35</v>
      </c>
    </row>
    <row r="19" spans="1:4" ht="15">
      <c r="A19" s="126" t="s">
        <v>1050</v>
      </c>
      <c r="B19" s="126">
        <v>33</v>
      </c>
      <c r="C19" s="126" t="s">
        <v>1050</v>
      </c>
      <c r="D19" s="126">
        <v>33</v>
      </c>
    </row>
    <row r="20" spans="1:4" ht="15">
      <c r="A20" s="126" t="s">
        <v>1051</v>
      </c>
      <c r="B20" s="126">
        <v>30</v>
      </c>
      <c r="C20" s="126" t="s">
        <v>1051</v>
      </c>
      <c r="D20" s="126">
        <v>30</v>
      </c>
    </row>
    <row r="21" spans="1:4" ht="15">
      <c r="A21" s="126" t="s">
        <v>1052</v>
      </c>
      <c r="B21" s="126">
        <v>27</v>
      </c>
      <c r="C21" s="126" t="s">
        <v>1052</v>
      </c>
      <c r="D21" s="126">
        <v>27</v>
      </c>
    </row>
    <row r="22" spans="1:4" ht="15">
      <c r="A22" s="126" t="s">
        <v>1053</v>
      </c>
      <c r="B22" s="126">
        <v>24</v>
      </c>
      <c r="C22" s="126" t="s">
        <v>1053</v>
      </c>
      <c r="D22" s="126">
        <v>24</v>
      </c>
    </row>
    <row r="23" spans="1:4" ht="15">
      <c r="A23" s="126" t="s">
        <v>1054</v>
      </c>
      <c r="B23" s="126">
        <v>20</v>
      </c>
      <c r="C23" s="126" t="s">
        <v>1057</v>
      </c>
      <c r="D23" s="126">
        <v>20</v>
      </c>
    </row>
    <row r="24" spans="1:4" ht="15">
      <c r="A24" s="126" t="s">
        <v>1055</v>
      </c>
      <c r="B24" s="126">
        <v>20</v>
      </c>
      <c r="C24" s="126" t="s">
        <v>1055</v>
      </c>
      <c r="D24" s="126">
        <v>20</v>
      </c>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94"/>
  <sheetViews>
    <sheetView tabSelected="1" workbookViewId="0" topLeftCell="A1">
      <pane xSplit="1" ySplit="2" topLeftCell="AE66" activePane="bottomRight" state="frozen"/>
      <selection pane="topRight" activeCell="B1" sqref="B1"/>
      <selection pane="bottomLeft" activeCell="A3" sqref="A3"/>
      <selection pane="bottomRight" activeCell="A2" sqref="A2"/>
    </sheetView>
  </sheetViews>
  <sheetFormatPr defaultColWidth="9.140625" defaultRowHeight="15"/>
  <cols>
    <col min="1" max="1" width="20.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 min="48" max="48" width="18.57421875" style="0" bestFit="1" customWidth="1"/>
    <col min="49" max="49" width="22.28125" style="0" bestFit="1" customWidth="1"/>
    <col min="50" max="50" width="17.421875" style="0" bestFit="1" customWidth="1"/>
    <col min="51" max="51" width="15.57421875" style="0" bestFit="1" customWidth="1"/>
    <col min="52" max="53" width="17.7109375" style="0" bestFit="1" customWidth="1"/>
    <col min="54" max="54" width="1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305</v>
      </c>
      <c r="AE2" s="13" t="s">
        <v>306</v>
      </c>
      <c r="AF2" s="13" t="s">
        <v>307</v>
      </c>
      <c r="AG2" s="13" t="s">
        <v>308</v>
      </c>
      <c r="AH2" s="13" t="s">
        <v>309</v>
      </c>
      <c r="AI2" s="13" t="s">
        <v>310</v>
      </c>
      <c r="AJ2" s="13" t="s">
        <v>311</v>
      </c>
      <c r="AK2" s="13" t="s">
        <v>312</v>
      </c>
      <c r="AL2" s="13" t="s">
        <v>313</v>
      </c>
      <c r="AM2" s="13" t="s">
        <v>314</v>
      </c>
      <c r="AN2" s="13" t="s">
        <v>315</v>
      </c>
      <c r="AO2" s="13" t="s">
        <v>703</v>
      </c>
      <c r="AP2" s="129" t="s">
        <v>995</v>
      </c>
      <c r="AQ2" s="129" t="s">
        <v>996</v>
      </c>
      <c r="AR2" s="129" t="s">
        <v>997</v>
      </c>
      <c r="AS2" s="129" t="s">
        <v>998</v>
      </c>
      <c r="AT2" s="129" t="s">
        <v>999</v>
      </c>
      <c r="AU2" s="129" t="s">
        <v>1000</v>
      </c>
      <c r="AV2" s="129" t="s">
        <v>1001</v>
      </c>
      <c r="AW2" s="129" t="s">
        <v>1002</v>
      </c>
      <c r="AX2" s="129" t="s">
        <v>1004</v>
      </c>
      <c r="AY2" s="129" t="s">
        <v>1060</v>
      </c>
      <c r="AZ2" s="129" t="s">
        <v>1062</v>
      </c>
      <c r="BA2" s="129" t="s">
        <v>1063</v>
      </c>
      <c r="BB2" s="129" t="s">
        <v>1064</v>
      </c>
      <c r="BC2" s="3"/>
      <c r="BD2" s="3"/>
    </row>
    <row r="3" spans="1:56" ht="15" customHeight="1">
      <c r="A3" s="14" t="s">
        <v>279</v>
      </c>
      <c r="B3" s="15"/>
      <c r="C3" s="15"/>
      <c r="D3" s="88">
        <v>151.95867240162988</v>
      </c>
      <c r="E3" s="82"/>
      <c r="F3" s="109" t="str">
        <f>HYPERLINK("https://i.ytimg.com/vi/4JgDzkhtivU/default.jpg")</f>
        <v>https://i.ytimg.com/vi/4JgDzkhtivU/default.jpg</v>
      </c>
      <c r="G3" s="15"/>
      <c r="H3" s="16" t="s">
        <v>382</v>
      </c>
      <c r="I3" s="67"/>
      <c r="J3" s="67"/>
      <c r="K3" s="107" t="s">
        <v>382</v>
      </c>
      <c r="L3" s="89">
        <v>9739.283860730357</v>
      </c>
      <c r="M3" s="90">
        <v>7668.60205078125</v>
      </c>
      <c r="N3" s="90">
        <v>4999.5</v>
      </c>
      <c r="O3" s="78"/>
      <c r="P3" s="91"/>
      <c r="Q3" s="91"/>
      <c r="R3" s="92"/>
      <c r="S3" s="51">
        <v>1</v>
      </c>
      <c r="T3" s="51">
        <v>0</v>
      </c>
      <c r="U3" s="52">
        <v>0</v>
      </c>
      <c r="V3" s="52">
        <v>0.005525</v>
      </c>
      <c r="W3" s="52">
        <v>0.01087</v>
      </c>
      <c r="X3" s="52">
        <v>0.545586</v>
      </c>
      <c r="Y3" s="52">
        <v>0</v>
      </c>
      <c r="Z3" s="52">
        <v>0</v>
      </c>
      <c r="AA3" s="83">
        <v>3</v>
      </c>
      <c r="AB3" s="83"/>
      <c r="AC3" s="93"/>
      <c r="AD3" s="86" t="s">
        <v>382</v>
      </c>
      <c r="AE3" s="86" t="s">
        <v>460</v>
      </c>
      <c r="AF3" s="86"/>
      <c r="AG3" s="86" t="s">
        <v>595</v>
      </c>
      <c r="AH3" s="86" t="s">
        <v>674</v>
      </c>
      <c r="AI3" s="86">
        <v>66421</v>
      </c>
      <c r="AJ3" s="86">
        <v>1897</v>
      </c>
      <c r="AK3" s="86">
        <v>1512</v>
      </c>
      <c r="AL3" s="86">
        <v>739</v>
      </c>
      <c r="AM3" s="86" t="s">
        <v>699</v>
      </c>
      <c r="AN3" s="111" t="str">
        <f>HYPERLINK("https://www.youtube.com/watch?v=4JgDzkhtivU")</f>
        <v>https://www.youtube.com/watch?v=4JgDzkhtivU</v>
      </c>
      <c r="AO3" s="86" t="str">
        <f>REPLACE(INDEX(GroupVertices[Group],MATCH(Vertices[[#This Row],[Vertex]],GroupVertices[Vertex],0)),1,1,"")</f>
        <v>1</v>
      </c>
      <c r="AP3" s="51"/>
      <c r="AQ3" s="52"/>
      <c r="AR3" s="51"/>
      <c r="AS3" s="52"/>
      <c r="AT3" s="51"/>
      <c r="AU3" s="52"/>
      <c r="AV3" s="51"/>
      <c r="AW3" s="52"/>
      <c r="AX3" s="51"/>
      <c r="AY3" s="51"/>
      <c r="AZ3" s="51"/>
      <c r="BA3" s="51"/>
      <c r="BB3" s="51"/>
      <c r="BC3" s="3"/>
      <c r="BD3" s="3"/>
    </row>
    <row r="4" spans="1:59" ht="15">
      <c r="A4" s="14" t="s">
        <v>229</v>
      </c>
      <c r="B4" s="15"/>
      <c r="C4" s="15"/>
      <c r="D4" s="88">
        <v>80</v>
      </c>
      <c r="E4" s="82"/>
      <c r="F4" s="109" t="str">
        <f>HYPERLINK("https://i.ytimg.com/vi/Qg3dpLcMFbQ/default.jpg")</f>
        <v>https://i.ytimg.com/vi/Qg3dpLcMFbQ/default.jpg</v>
      </c>
      <c r="G4" s="15"/>
      <c r="H4" s="16" t="s">
        <v>333</v>
      </c>
      <c r="I4" s="67"/>
      <c r="J4" s="67"/>
      <c r="K4" s="107" t="s">
        <v>333</v>
      </c>
      <c r="L4" s="89">
        <v>9999</v>
      </c>
      <c r="M4" s="90">
        <v>3220.0986328125</v>
      </c>
      <c r="N4" s="90">
        <v>683.93896484375</v>
      </c>
      <c r="O4" s="78"/>
      <c r="P4" s="91"/>
      <c r="Q4" s="91"/>
      <c r="R4" s="92"/>
      <c r="S4" s="51">
        <v>1</v>
      </c>
      <c r="T4" s="51">
        <v>0</v>
      </c>
      <c r="U4" s="52">
        <v>0</v>
      </c>
      <c r="V4" s="52">
        <v>0.005525</v>
      </c>
      <c r="W4" s="52">
        <v>0.01087</v>
      </c>
      <c r="X4" s="52">
        <v>0.545586</v>
      </c>
      <c r="Y4" s="52">
        <v>0</v>
      </c>
      <c r="Z4" s="52">
        <v>0</v>
      </c>
      <c r="AA4" s="83">
        <v>4</v>
      </c>
      <c r="AB4" s="83"/>
      <c r="AC4" s="93"/>
      <c r="AD4" s="86" t="s">
        <v>333</v>
      </c>
      <c r="AE4" s="86" t="s">
        <v>421</v>
      </c>
      <c r="AF4" s="86" t="s">
        <v>494</v>
      </c>
      <c r="AG4" s="86" t="s">
        <v>567</v>
      </c>
      <c r="AH4" s="86" t="s">
        <v>624</v>
      </c>
      <c r="AI4" s="86">
        <v>120</v>
      </c>
      <c r="AJ4" s="86">
        <v>0</v>
      </c>
      <c r="AK4" s="86">
        <v>3</v>
      </c>
      <c r="AL4" s="86">
        <v>1</v>
      </c>
      <c r="AM4" s="86" t="s">
        <v>699</v>
      </c>
      <c r="AN4" s="111" t="str">
        <f>HYPERLINK("https://www.youtube.com/watch?v=Qg3dpLcMFbQ")</f>
        <v>https://www.youtube.com/watch?v=Qg3dpLcMFbQ</v>
      </c>
      <c r="AO4" s="86" t="str">
        <f>REPLACE(INDEX(GroupVertices[Group],MATCH(Vertices[[#This Row],[Vertex]],GroupVertices[Vertex],0)),1,1,"")</f>
        <v>1</v>
      </c>
      <c r="AP4" s="51">
        <v>0</v>
      </c>
      <c r="AQ4" s="52">
        <v>0</v>
      </c>
      <c r="AR4" s="51">
        <v>1</v>
      </c>
      <c r="AS4" s="52">
        <v>1.8518518518518519</v>
      </c>
      <c r="AT4" s="51">
        <v>0</v>
      </c>
      <c r="AU4" s="52">
        <v>0</v>
      </c>
      <c r="AV4" s="51">
        <v>53</v>
      </c>
      <c r="AW4" s="52">
        <v>98.14814814814815</v>
      </c>
      <c r="AX4" s="51">
        <v>54</v>
      </c>
      <c r="AY4" s="51"/>
      <c r="AZ4" s="51"/>
      <c r="BA4" s="51"/>
      <c r="BB4" s="51"/>
      <c r="BC4" s="2"/>
      <c r="BD4" s="3"/>
      <c r="BE4" s="3"/>
      <c r="BF4" s="3"/>
      <c r="BG4" s="3"/>
    </row>
    <row r="5" spans="1:59" ht="15">
      <c r="A5" s="14" t="s">
        <v>248</v>
      </c>
      <c r="B5" s="15"/>
      <c r="C5" s="15"/>
      <c r="D5" s="88">
        <v>286.21763760726515</v>
      </c>
      <c r="E5" s="82"/>
      <c r="F5" s="109" t="str">
        <f>HYPERLINK("https://i.ytimg.com/vi/2SGpHBidKWg/default.jpg")</f>
        <v>https://i.ytimg.com/vi/2SGpHBidKWg/default.jpg</v>
      </c>
      <c r="G5" s="15"/>
      <c r="H5" s="16" t="s">
        <v>351</v>
      </c>
      <c r="I5" s="67"/>
      <c r="J5" s="67"/>
      <c r="K5" s="107" t="s">
        <v>351</v>
      </c>
      <c r="L5" s="89">
        <v>9254.710994920299</v>
      </c>
      <c r="M5" s="90">
        <v>4109.79931640625</v>
      </c>
      <c r="N5" s="90">
        <v>6078.39013671875</v>
      </c>
      <c r="O5" s="78"/>
      <c r="P5" s="91"/>
      <c r="Q5" s="91"/>
      <c r="R5" s="92"/>
      <c r="S5" s="51">
        <v>1</v>
      </c>
      <c r="T5" s="51">
        <v>0</v>
      </c>
      <c r="U5" s="52">
        <v>0</v>
      </c>
      <c r="V5" s="52">
        <v>0.005525</v>
      </c>
      <c r="W5" s="52">
        <v>0.01087</v>
      </c>
      <c r="X5" s="52">
        <v>0.545586</v>
      </c>
      <c r="Y5" s="52">
        <v>0</v>
      </c>
      <c r="Z5" s="52">
        <v>0</v>
      </c>
      <c r="AA5" s="83">
        <v>5</v>
      </c>
      <c r="AB5" s="83"/>
      <c r="AC5" s="93"/>
      <c r="AD5" s="86" t="s">
        <v>351</v>
      </c>
      <c r="AE5" s="86" t="s">
        <v>430</v>
      </c>
      <c r="AF5" s="86" t="s">
        <v>505</v>
      </c>
      <c r="AG5" s="86" t="s">
        <v>572</v>
      </c>
      <c r="AH5" s="86" t="s">
        <v>643</v>
      </c>
      <c r="AI5" s="86">
        <v>190124</v>
      </c>
      <c r="AJ5" s="86">
        <v>4362</v>
      </c>
      <c r="AK5" s="86">
        <v>1980</v>
      </c>
      <c r="AL5" s="86">
        <v>821</v>
      </c>
      <c r="AM5" s="86" t="s">
        <v>699</v>
      </c>
      <c r="AN5" s="111" t="str">
        <f>HYPERLINK("https://www.youtube.com/watch?v=2SGpHBidKWg")</f>
        <v>https://www.youtube.com/watch?v=2SGpHBidKWg</v>
      </c>
      <c r="AO5" s="86" t="str">
        <f>REPLACE(INDEX(GroupVertices[Group],MATCH(Vertices[[#This Row],[Vertex]],GroupVertices[Vertex],0)),1,1,"")</f>
        <v>1</v>
      </c>
      <c r="AP5" s="51">
        <v>0</v>
      </c>
      <c r="AQ5" s="52">
        <v>0</v>
      </c>
      <c r="AR5" s="51">
        <v>0</v>
      </c>
      <c r="AS5" s="52">
        <v>0</v>
      </c>
      <c r="AT5" s="51">
        <v>0</v>
      </c>
      <c r="AU5" s="52">
        <v>0</v>
      </c>
      <c r="AV5" s="51">
        <v>19</v>
      </c>
      <c r="AW5" s="52">
        <v>100</v>
      </c>
      <c r="AX5" s="51">
        <v>19</v>
      </c>
      <c r="AY5" s="51"/>
      <c r="AZ5" s="51"/>
      <c r="BA5" s="51"/>
      <c r="BB5" s="51"/>
      <c r="BC5" s="2"/>
      <c r="BD5" s="3"/>
      <c r="BE5" s="3"/>
      <c r="BF5" s="3"/>
      <c r="BG5" s="3"/>
    </row>
    <row r="6" spans="1:59" ht="15">
      <c r="A6" s="14" t="s">
        <v>242</v>
      </c>
      <c r="B6" s="15"/>
      <c r="C6" s="15"/>
      <c r="D6" s="88">
        <v>109.59377868169774</v>
      </c>
      <c r="E6" s="82"/>
      <c r="F6" s="109" t="str">
        <f>HYPERLINK("https://i.ytimg.com/vi/6bqvGXGN4DA/default.jpg")</f>
        <v>https://i.ytimg.com/vi/6bqvGXGN4DA/default.jpg</v>
      </c>
      <c r="G6" s="15"/>
      <c r="H6" s="16" t="s">
        <v>345</v>
      </c>
      <c r="I6" s="67"/>
      <c r="J6" s="67"/>
      <c r="K6" s="107" t="s">
        <v>345</v>
      </c>
      <c r="L6" s="89">
        <v>9892.188941803814</v>
      </c>
      <c r="M6" s="90">
        <v>8558.302734375</v>
      </c>
      <c r="N6" s="90">
        <v>3920.60986328125</v>
      </c>
      <c r="O6" s="78"/>
      <c r="P6" s="91"/>
      <c r="Q6" s="91"/>
      <c r="R6" s="92"/>
      <c r="S6" s="51">
        <v>1</v>
      </c>
      <c r="T6" s="51">
        <v>0</v>
      </c>
      <c r="U6" s="52">
        <v>0</v>
      </c>
      <c r="V6" s="52">
        <v>0.005525</v>
      </c>
      <c r="W6" s="52">
        <v>0.01087</v>
      </c>
      <c r="X6" s="52">
        <v>0.545586</v>
      </c>
      <c r="Y6" s="52">
        <v>0</v>
      </c>
      <c r="Z6" s="52">
        <v>0</v>
      </c>
      <c r="AA6" s="83">
        <v>6</v>
      </c>
      <c r="AB6" s="83"/>
      <c r="AC6" s="93"/>
      <c r="AD6" s="86" t="s">
        <v>345</v>
      </c>
      <c r="AE6" s="86" t="s">
        <v>427</v>
      </c>
      <c r="AF6" s="86" t="s">
        <v>501</v>
      </c>
      <c r="AG6" s="86" t="s">
        <v>570</v>
      </c>
      <c r="AH6" s="86" t="s">
        <v>637</v>
      </c>
      <c r="AI6" s="86">
        <v>27387</v>
      </c>
      <c r="AJ6" s="86">
        <v>88</v>
      </c>
      <c r="AK6" s="86">
        <v>66</v>
      </c>
      <c r="AL6" s="86">
        <v>43</v>
      </c>
      <c r="AM6" s="86" t="s">
        <v>699</v>
      </c>
      <c r="AN6" s="111" t="str">
        <f>HYPERLINK("https://www.youtube.com/watch?v=6bqvGXGN4DA")</f>
        <v>https://www.youtube.com/watch?v=6bqvGXGN4DA</v>
      </c>
      <c r="AO6" s="86" t="str">
        <f>REPLACE(INDEX(GroupVertices[Group],MATCH(Vertices[[#This Row],[Vertex]],GroupVertices[Vertex],0)),1,1,"")</f>
        <v>1</v>
      </c>
      <c r="AP6" s="51">
        <v>0</v>
      </c>
      <c r="AQ6" s="52">
        <v>0</v>
      </c>
      <c r="AR6" s="51">
        <v>0</v>
      </c>
      <c r="AS6" s="52">
        <v>0</v>
      </c>
      <c r="AT6" s="51">
        <v>0</v>
      </c>
      <c r="AU6" s="52">
        <v>0</v>
      </c>
      <c r="AV6" s="51">
        <v>8</v>
      </c>
      <c r="AW6" s="52">
        <v>100</v>
      </c>
      <c r="AX6" s="51">
        <v>8</v>
      </c>
      <c r="AY6" s="51"/>
      <c r="AZ6" s="51"/>
      <c r="BA6" s="51"/>
      <c r="BB6" s="51"/>
      <c r="BC6" s="2"/>
      <c r="BD6" s="3"/>
      <c r="BE6" s="3"/>
      <c r="BF6" s="3"/>
      <c r="BG6" s="3"/>
    </row>
    <row r="7" spans="1:59" ht="15">
      <c r="A7" s="14" t="s">
        <v>226</v>
      </c>
      <c r="B7" s="15"/>
      <c r="C7" s="15"/>
      <c r="D7" s="88">
        <v>1000</v>
      </c>
      <c r="E7" s="82"/>
      <c r="F7" s="109" t="str">
        <f>HYPERLINK("https://i.ytimg.com/vi/Qjf12D3GRQ4/default.jpg")</f>
        <v>https://i.ytimg.com/vi/Qjf12D3GRQ4/default.jpg</v>
      </c>
      <c r="G7" s="15"/>
      <c r="H7" s="16" t="s">
        <v>330</v>
      </c>
      <c r="I7" s="67"/>
      <c r="J7" s="67"/>
      <c r="K7" s="107" t="s">
        <v>330</v>
      </c>
      <c r="L7" s="89">
        <v>6479.895474108799</v>
      </c>
      <c r="M7" s="90">
        <v>1440.6976318359375</v>
      </c>
      <c r="N7" s="90">
        <v>8236.1708984375</v>
      </c>
      <c r="O7" s="78"/>
      <c r="P7" s="91"/>
      <c r="Q7" s="91"/>
      <c r="R7" s="92"/>
      <c r="S7" s="51">
        <v>1</v>
      </c>
      <c r="T7" s="51">
        <v>0</v>
      </c>
      <c r="U7" s="52">
        <v>0</v>
      </c>
      <c r="V7" s="52">
        <v>0.005525</v>
      </c>
      <c r="W7" s="52">
        <v>0.01087</v>
      </c>
      <c r="X7" s="52">
        <v>0.545586</v>
      </c>
      <c r="Y7" s="52">
        <v>0</v>
      </c>
      <c r="Z7" s="52">
        <v>0</v>
      </c>
      <c r="AA7" s="83">
        <v>7</v>
      </c>
      <c r="AB7" s="83"/>
      <c r="AC7" s="93"/>
      <c r="AD7" s="86" t="s">
        <v>330</v>
      </c>
      <c r="AE7" s="86" t="s">
        <v>418</v>
      </c>
      <c r="AF7" s="86" t="s">
        <v>491</v>
      </c>
      <c r="AG7" s="86" t="s">
        <v>564</v>
      </c>
      <c r="AH7" s="86" t="s">
        <v>621</v>
      </c>
      <c r="AI7" s="86">
        <v>898486</v>
      </c>
      <c r="AJ7" s="86">
        <v>2948</v>
      </c>
      <c r="AK7" s="86">
        <v>133465</v>
      </c>
      <c r="AL7" s="86">
        <v>997</v>
      </c>
      <c r="AM7" s="86" t="s">
        <v>699</v>
      </c>
      <c r="AN7" s="111" t="str">
        <f>HYPERLINK("https://www.youtube.com/watch?v=Qjf12D3GRQ4")</f>
        <v>https://www.youtube.com/watch?v=Qjf12D3GRQ4</v>
      </c>
      <c r="AO7" s="86" t="str">
        <f>REPLACE(INDEX(GroupVertices[Group],MATCH(Vertices[[#This Row],[Vertex]],GroupVertices[Vertex],0)),1,1,"")</f>
        <v>1</v>
      </c>
      <c r="AP7" s="51">
        <v>0</v>
      </c>
      <c r="AQ7" s="52">
        <v>0</v>
      </c>
      <c r="AR7" s="51">
        <v>0</v>
      </c>
      <c r="AS7" s="52">
        <v>0</v>
      </c>
      <c r="AT7" s="51">
        <v>0</v>
      </c>
      <c r="AU7" s="52">
        <v>0</v>
      </c>
      <c r="AV7" s="51">
        <v>9</v>
      </c>
      <c r="AW7" s="52">
        <v>100</v>
      </c>
      <c r="AX7" s="51">
        <v>9</v>
      </c>
      <c r="AY7" s="51"/>
      <c r="AZ7" s="51"/>
      <c r="BA7" s="51"/>
      <c r="BB7" s="51"/>
      <c r="BC7" s="2"/>
      <c r="BD7" s="3"/>
      <c r="BE7" s="3"/>
      <c r="BF7" s="3"/>
      <c r="BG7" s="3"/>
    </row>
    <row r="8" spans="1:59" ht="15">
      <c r="A8" s="14" t="s">
        <v>223</v>
      </c>
      <c r="B8" s="15"/>
      <c r="C8" s="15"/>
      <c r="D8" s="88">
        <v>88.62622778311268</v>
      </c>
      <c r="E8" s="82"/>
      <c r="F8" s="109" t="str">
        <f>HYPERLINK("https://i.ytimg.com/vi/U55duP7QG7s/default.jpg")</f>
        <v>https://i.ytimg.com/vi/U55duP7QG7s/default.jpg</v>
      </c>
      <c r="G8" s="15"/>
      <c r="H8" s="16" t="s">
        <v>327</v>
      </c>
      <c r="I8" s="67"/>
      <c r="J8" s="67"/>
      <c r="K8" s="107" t="s">
        <v>327</v>
      </c>
      <c r="L8" s="89">
        <v>9967.865871179694</v>
      </c>
      <c r="M8" s="90">
        <v>7668.60205078125</v>
      </c>
      <c r="N8" s="90">
        <v>2841.719482421875</v>
      </c>
      <c r="O8" s="78"/>
      <c r="P8" s="91"/>
      <c r="Q8" s="91"/>
      <c r="R8" s="92"/>
      <c r="S8" s="51">
        <v>1</v>
      </c>
      <c r="T8" s="51">
        <v>0</v>
      </c>
      <c r="U8" s="52">
        <v>0</v>
      </c>
      <c r="V8" s="52">
        <v>0.005525</v>
      </c>
      <c r="W8" s="52">
        <v>0.01087</v>
      </c>
      <c r="X8" s="52">
        <v>0.545586</v>
      </c>
      <c r="Y8" s="52">
        <v>0</v>
      </c>
      <c r="Z8" s="52">
        <v>0</v>
      </c>
      <c r="AA8" s="83">
        <v>8</v>
      </c>
      <c r="AB8" s="83"/>
      <c r="AC8" s="93"/>
      <c r="AD8" s="86" t="s">
        <v>327</v>
      </c>
      <c r="AE8" s="86"/>
      <c r="AF8" s="86" t="s">
        <v>489</v>
      </c>
      <c r="AG8" s="86" t="s">
        <v>561</v>
      </c>
      <c r="AH8" s="86" t="s">
        <v>618</v>
      </c>
      <c r="AI8" s="86">
        <v>8068</v>
      </c>
      <c r="AJ8" s="86">
        <v>9</v>
      </c>
      <c r="AK8" s="86">
        <v>58</v>
      </c>
      <c r="AL8" s="86">
        <v>5</v>
      </c>
      <c r="AM8" s="86" t="s">
        <v>699</v>
      </c>
      <c r="AN8" s="111" t="str">
        <f>HYPERLINK("https://www.youtube.com/watch?v=U55duP7QG7s")</f>
        <v>https://www.youtube.com/watch?v=U55duP7QG7s</v>
      </c>
      <c r="AO8" s="86" t="str">
        <f>REPLACE(INDEX(GroupVertices[Group],MATCH(Vertices[[#This Row],[Vertex]],GroupVertices[Vertex],0)),1,1,"")</f>
        <v>1</v>
      </c>
      <c r="AP8" s="51">
        <v>0</v>
      </c>
      <c r="AQ8" s="52">
        <v>0</v>
      </c>
      <c r="AR8" s="51">
        <v>0</v>
      </c>
      <c r="AS8" s="52">
        <v>0</v>
      </c>
      <c r="AT8" s="51">
        <v>0</v>
      </c>
      <c r="AU8" s="52">
        <v>0</v>
      </c>
      <c r="AV8" s="51">
        <v>15</v>
      </c>
      <c r="AW8" s="52">
        <v>100</v>
      </c>
      <c r="AX8" s="51">
        <v>15</v>
      </c>
      <c r="AY8" s="51"/>
      <c r="AZ8" s="51"/>
      <c r="BA8" s="51"/>
      <c r="BB8" s="51"/>
      <c r="BC8" s="2"/>
      <c r="BD8" s="3"/>
      <c r="BE8" s="3"/>
      <c r="BF8" s="3"/>
      <c r="BG8" s="3"/>
    </row>
    <row r="9" spans="1:59" ht="15">
      <c r="A9" s="14" t="s">
        <v>262</v>
      </c>
      <c r="B9" s="15"/>
      <c r="C9" s="15"/>
      <c r="D9" s="88">
        <v>130.4343456031031</v>
      </c>
      <c r="E9" s="82"/>
      <c r="F9" s="109" t="str">
        <f>HYPERLINK("https://i.ytimg.com/vi/jmzgw0fEmcc/default.jpg")</f>
        <v>https://i.ytimg.com/vi/jmzgw0fEmcc/default.jpg</v>
      </c>
      <c r="G9" s="15"/>
      <c r="H9" s="16" t="s">
        <v>365</v>
      </c>
      <c r="I9" s="67"/>
      <c r="J9" s="67"/>
      <c r="K9" s="107" t="s">
        <v>365</v>
      </c>
      <c r="L9" s="89">
        <v>9816.970328113888</v>
      </c>
      <c r="M9" s="90">
        <v>2330.398193359375</v>
      </c>
      <c r="N9" s="90">
        <v>3920.60986328125</v>
      </c>
      <c r="O9" s="78"/>
      <c r="P9" s="91"/>
      <c r="Q9" s="91"/>
      <c r="R9" s="92"/>
      <c r="S9" s="51">
        <v>1</v>
      </c>
      <c r="T9" s="51">
        <v>0</v>
      </c>
      <c r="U9" s="52">
        <v>0</v>
      </c>
      <c r="V9" s="52">
        <v>0.005525</v>
      </c>
      <c r="W9" s="52">
        <v>0.01087</v>
      </c>
      <c r="X9" s="52">
        <v>0.545586</v>
      </c>
      <c r="Y9" s="52">
        <v>0</v>
      </c>
      <c r="Z9" s="52">
        <v>0</v>
      </c>
      <c r="AA9" s="83">
        <v>9</v>
      </c>
      <c r="AB9" s="83"/>
      <c r="AC9" s="93"/>
      <c r="AD9" s="86" t="s">
        <v>365</v>
      </c>
      <c r="AE9" s="86" t="s">
        <v>443</v>
      </c>
      <c r="AF9" s="86" t="s">
        <v>516</v>
      </c>
      <c r="AG9" s="86" t="s">
        <v>579</v>
      </c>
      <c r="AH9" s="86" t="s">
        <v>657</v>
      </c>
      <c r="AI9" s="86">
        <v>46589</v>
      </c>
      <c r="AJ9" s="86">
        <v>276</v>
      </c>
      <c r="AK9" s="86">
        <v>786</v>
      </c>
      <c r="AL9" s="86">
        <v>515</v>
      </c>
      <c r="AM9" s="86" t="s">
        <v>699</v>
      </c>
      <c r="AN9" s="111" t="str">
        <f>HYPERLINK("https://www.youtube.com/watch?v=jmzgw0fEmcc")</f>
        <v>https://www.youtube.com/watch?v=jmzgw0fEmcc</v>
      </c>
      <c r="AO9" s="86" t="str">
        <f>REPLACE(INDEX(GroupVertices[Group],MATCH(Vertices[[#This Row],[Vertex]],GroupVertices[Vertex],0)),1,1,"")</f>
        <v>1</v>
      </c>
      <c r="AP9" s="51">
        <v>0</v>
      </c>
      <c r="AQ9" s="52">
        <v>0</v>
      </c>
      <c r="AR9" s="51">
        <v>2</v>
      </c>
      <c r="AS9" s="52">
        <v>2.7027027027027026</v>
      </c>
      <c r="AT9" s="51">
        <v>0</v>
      </c>
      <c r="AU9" s="52">
        <v>0</v>
      </c>
      <c r="AV9" s="51">
        <v>72</v>
      </c>
      <c r="AW9" s="52">
        <v>97.29729729729729</v>
      </c>
      <c r="AX9" s="51">
        <v>74</v>
      </c>
      <c r="AY9" s="51"/>
      <c r="AZ9" s="51"/>
      <c r="BA9" s="51"/>
      <c r="BB9" s="51"/>
      <c r="BC9" s="2"/>
      <c r="BD9" s="3"/>
      <c r="BE9" s="3"/>
      <c r="BF9" s="3"/>
      <c r="BG9" s="3"/>
    </row>
    <row r="10" spans="1:59" ht="15">
      <c r="A10" s="14" t="s">
        <v>259</v>
      </c>
      <c r="B10" s="15"/>
      <c r="C10" s="15"/>
      <c r="D10" s="88">
        <v>91.24947797835468</v>
      </c>
      <c r="E10" s="82"/>
      <c r="F10" s="109" t="str">
        <f>HYPERLINK("https://i.ytimg.com/vi/FFqnvZj89Fc/default.jpg")</f>
        <v>https://i.ytimg.com/vi/FFqnvZj89Fc/default.jpg</v>
      </c>
      <c r="G10" s="15"/>
      <c r="H10" s="16" t="s">
        <v>362</v>
      </c>
      <c r="I10" s="67"/>
      <c r="J10" s="67"/>
      <c r="K10" s="107" t="s">
        <v>362</v>
      </c>
      <c r="L10" s="89">
        <v>9958.397930898027</v>
      </c>
      <c r="M10" s="90">
        <v>4999.5</v>
      </c>
      <c r="N10" s="90">
        <v>2841.719482421875</v>
      </c>
      <c r="O10" s="78"/>
      <c r="P10" s="91"/>
      <c r="Q10" s="91"/>
      <c r="R10" s="92"/>
      <c r="S10" s="51">
        <v>1</v>
      </c>
      <c r="T10" s="51">
        <v>0</v>
      </c>
      <c r="U10" s="52">
        <v>0</v>
      </c>
      <c r="V10" s="52">
        <v>0.005525</v>
      </c>
      <c r="W10" s="52">
        <v>0.01087</v>
      </c>
      <c r="X10" s="52">
        <v>0.545586</v>
      </c>
      <c r="Y10" s="52">
        <v>0</v>
      </c>
      <c r="Z10" s="52">
        <v>0</v>
      </c>
      <c r="AA10" s="83">
        <v>10</v>
      </c>
      <c r="AB10" s="83"/>
      <c r="AC10" s="93"/>
      <c r="AD10" s="86" t="s">
        <v>362</v>
      </c>
      <c r="AE10" s="86" t="s">
        <v>440</v>
      </c>
      <c r="AF10" s="86" t="s">
        <v>513</v>
      </c>
      <c r="AG10" s="86" t="s">
        <v>579</v>
      </c>
      <c r="AH10" s="86" t="s">
        <v>654</v>
      </c>
      <c r="AI10" s="86">
        <v>10485</v>
      </c>
      <c r="AJ10" s="86">
        <v>156</v>
      </c>
      <c r="AK10" s="86">
        <v>110</v>
      </c>
      <c r="AL10" s="86">
        <v>30</v>
      </c>
      <c r="AM10" s="86" t="s">
        <v>699</v>
      </c>
      <c r="AN10" s="111" t="str">
        <f>HYPERLINK("https://www.youtube.com/watch?v=FFqnvZj89Fc")</f>
        <v>https://www.youtube.com/watch?v=FFqnvZj89Fc</v>
      </c>
      <c r="AO10" s="86" t="str">
        <f>REPLACE(INDEX(GroupVertices[Group],MATCH(Vertices[[#This Row],[Vertex]],GroupVertices[Vertex],0)),1,1,"")</f>
        <v>1</v>
      </c>
      <c r="AP10" s="51">
        <v>0</v>
      </c>
      <c r="AQ10" s="52">
        <v>0</v>
      </c>
      <c r="AR10" s="51">
        <v>0</v>
      </c>
      <c r="AS10" s="52">
        <v>0</v>
      </c>
      <c r="AT10" s="51">
        <v>0</v>
      </c>
      <c r="AU10" s="52">
        <v>0</v>
      </c>
      <c r="AV10" s="51">
        <v>73</v>
      </c>
      <c r="AW10" s="52">
        <v>100</v>
      </c>
      <c r="AX10" s="51">
        <v>73</v>
      </c>
      <c r="AY10" s="51"/>
      <c r="AZ10" s="51"/>
      <c r="BA10" s="51"/>
      <c r="BB10" s="51"/>
      <c r="BC10" s="2"/>
      <c r="BD10" s="3"/>
      <c r="BE10" s="3"/>
      <c r="BF10" s="3"/>
      <c r="BG10" s="3"/>
    </row>
    <row r="11" spans="1:59" ht="15">
      <c r="A11" s="14" t="s">
        <v>234</v>
      </c>
      <c r="B11" s="15"/>
      <c r="C11" s="15"/>
      <c r="D11" s="88">
        <v>148.12419042405853</v>
      </c>
      <c r="E11" s="82"/>
      <c r="F11" s="109" t="str">
        <f>HYPERLINK("https://i.ytimg.com/vi/-VSnGanEY3I/default.jpg")</f>
        <v>https://i.ytimg.com/vi/-VSnGanEY3I/default.jpg</v>
      </c>
      <c r="G11" s="15"/>
      <c r="H11" s="16" t="s">
        <v>337</v>
      </c>
      <c r="I11" s="67"/>
      <c r="J11" s="67"/>
      <c r="K11" s="107" t="s">
        <v>337</v>
      </c>
      <c r="L11" s="89">
        <v>9753.123427554985</v>
      </c>
      <c r="M11" s="90">
        <v>8558.302734375</v>
      </c>
      <c r="N11" s="90">
        <v>4999.5</v>
      </c>
      <c r="O11" s="78"/>
      <c r="P11" s="91"/>
      <c r="Q11" s="91"/>
      <c r="R11" s="92"/>
      <c r="S11" s="51">
        <v>1</v>
      </c>
      <c r="T11" s="51">
        <v>0</v>
      </c>
      <c r="U11" s="52">
        <v>0</v>
      </c>
      <c r="V11" s="52">
        <v>0.005525</v>
      </c>
      <c r="W11" s="52">
        <v>0.01087</v>
      </c>
      <c r="X11" s="52">
        <v>0.545586</v>
      </c>
      <c r="Y11" s="52">
        <v>0</v>
      </c>
      <c r="Z11" s="52">
        <v>0</v>
      </c>
      <c r="AA11" s="83">
        <v>11</v>
      </c>
      <c r="AB11" s="83"/>
      <c r="AC11" s="93"/>
      <c r="AD11" s="86" t="s">
        <v>337</v>
      </c>
      <c r="AE11" s="86"/>
      <c r="AF11" s="86"/>
      <c r="AG11" s="86" t="s">
        <v>568</v>
      </c>
      <c r="AH11" s="86" t="s">
        <v>629</v>
      </c>
      <c r="AI11" s="86">
        <v>62888</v>
      </c>
      <c r="AJ11" s="86">
        <v>270</v>
      </c>
      <c r="AK11" s="86">
        <v>3649</v>
      </c>
      <c r="AL11" s="86">
        <v>71</v>
      </c>
      <c r="AM11" s="86" t="s">
        <v>699</v>
      </c>
      <c r="AN11" s="111" t="str">
        <f>HYPERLINK("https://www.youtube.com/watch?v=-VSnGanEY3I")</f>
        <v>https://www.youtube.com/watch?v=-VSnGanEY3I</v>
      </c>
      <c r="AO11" s="86" t="str">
        <f>REPLACE(INDEX(GroupVertices[Group],MATCH(Vertices[[#This Row],[Vertex]],GroupVertices[Vertex],0)),1,1,"")</f>
        <v>1</v>
      </c>
      <c r="AP11" s="51"/>
      <c r="AQ11" s="52"/>
      <c r="AR11" s="51"/>
      <c r="AS11" s="52"/>
      <c r="AT11" s="51"/>
      <c r="AU11" s="52"/>
      <c r="AV11" s="51"/>
      <c r="AW11" s="52"/>
      <c r="AX11" s="51"/>
      <c r="AY11" s="51"/>
      <c r="AZ11" s="51"/>
      <c r="BA11" s="51"/>
      <c r="BB11" s="51"/>
      <c r="BC11" s="2"/>
      <c r="BD11" s="3"/>
      <c r="BE11" s="3"/>
      <c r="BF11" s="3"/>
      <c r="BG11" s="3"/>
    </row>
    <row r="12" spans="1:59" ht="15">
      <c r="A12" s="14" t="s">
        <v>274</v>
      </c>
      <c r="B12" s="15"/>
      <c r="C12" s="15"/>
      <c r="D12" s="88">
        <v>1000</v>
      </c>
      <c r="E12" s="82"/>
      <c r="F12" s="109" t="str">
        <f>HYPERLINK("https://i.ytimg.com/vi/SShwjUbTgAE/default.jpg")</f>
        <v>https://i.ytimg.com/vi/SShwjUbTgAE/default.jpg</v>
      </c>
      <c r="G12" s="15"/>
      <c r="H12" s="16" t="s">
        <v>377</v>
      </c>
      <c r="I12" s="67"/>
      <c r="J12" s="67"/>
      <c r="K12" s="107" t="s">
        <v>377</v>
      </c>
      <c r="L12" s="89">
        <v>5087.403151648601</v>
      </c>
      <c r="M12" s="90">
        <v>5889.20068359375</v>
      </c>
      <c r="N12" s="90">
        <v>9315.060546875</v>
      </c>
      <c r="O12" s="78"/>
      <c r="P12" s="91"/>
      <c r="Q12" s="91"/>
      <c r="R12" s="92"/>
      <c r="S12" s="51">
        <v>1</v>
      </c>
      <c r="T12" s="51">
        <v>0</v>
      </c>
      <c r="U12" s="52">
        <v>0</v>
      </c>
      <c r="V12" s="52">
        <v>0.005525</v>
      </c>
      <c r="W12" s="52">
        <v>0.01087</v>
      </c>
      <c r="X12" s="52">
        <v>0.545586</v>
      </c>
      <c r="Y12" s="52">
        <v>0</v>
      </c>
      <c r="Z12" s="52">
        <v>0</v>
      </c>
      <c r="AA12" s="83">
        <v>12</v>
      </c>
      <c r="AB12" s="83"/>
      <c r="AC12" s="93"/>
      <c r="AD12" s="86" t="s">
        <v>377</v>
      </c>
      <c r="AE12" s="86" t="s">
        <v>455</v>
      </c>
      <c r="AF12" s="86" t="s">
        <v>527</v>
      </c>
      <c r="AG12" s="86" t="s">
        <v>590</v>
      </c>
      <c r="AH12" s="86" t="s">
        <v>669</v>
      </c>
      <c r="AI12" s="86">
        <v>1253965</v>
      </c>
      <c r="AJ12" s="86">
        <v>13799</v>
      </c>
      <c r="AK12" s="86">
        <v>38018</v>
      </c>
      <c r="AL12" s="86">
        <v>1482</v>
      </c>
      <c r="AM12" s="86" t="s">
        <v>699</v>
      </c>
      <c r="AN12" s="111" t="str">
        <f>HYPERLINK("https://www.youtube.com/watch?v=SShwjUbTgAE")</f>
        <v>https://www.youtube.com/watch?v=SShwjUbTgAE</v>
      </c>
      <c r="AO12" s="86" t="str">
        <f>REPLACE(INDEX(GroupVertices[Group],MATCH(Vertices[[#This Row],[Vertex]],GroupVertices[Vertex],0)),1,1,"")</f>
        <v>1</v>
      </c>
      <c r="AP12" s="51">
        <v>0</v>
      </c>
      <c r="AQ12" s="52">
        <v>0</v>
      </c>
      <c r="AR12" s="51">
        <v>0</v>
      </c>
      <c r="AS12" s="52">
        <v>0</v>
      </c>
      <c r="AT12" s="51">
        <v>0</v>
      </c>
      <c r="AU12" s="52">
        <v>0</v>
      </c>
      <c r="AV12" s="51">
        <v>30</v>
      </c>
      <c r="AW12" s="52">
        <v>100</v>
      </c>
      <c r="AX12" s="51">
        <v>30</v>
      </c>
      <c r="AY12" s="51"/>
      <c r="AZ12" s="51"/>
      <c r="BA12" s="51"/>
      <c r="BB12" s="51"/>
      <c r="BC12" s="2"/>
      <c r="BD12" s="3"/>
      <c r="BE12" s="3"/>
      <c r="BF12" s="3"/>
      <c r="BG12" s="3"/>
    </row>
    <row r="13" spans="1:59" ht="15">
      <c r="A13" s="14" t="s">
        <v>265</v>
      </c>
      <c r="B13" s="15"/>
      <c r="C13" s="15"/>
      <c r="D13" s="88">
        <v>104.58496624849882</v>
      </c>
      <c r="E13" s="82"/>
      <c r="F13" s="109" t="str">
        <f>HYPERLINK("https://i.ytimg.com/vi/L5O-P_jrM1M/default.jpg")</f>
        <v>https://i.ytimg.com/vi/L5O-P_jrM1M/default.jpg</v>
      </c>
      <c r="G13" s="15"/>
      <c r="H13" s="16" t="s">
        <v>368</v>
      </c>
      <c r="I13" s="67"/>
      <c r="J13" s="67"/>
      <c r="K13" s="107" t="s">
        <v>368</v>
      </c>
      <c r="L13" s="89">
        <v>9910.26694941651</v>
      </c>
      <c r="M13" s="90">
        <v>1440.6976318359375</v>
      </c>
      <c r="N13" s="90">
        <v>2841.719482421875</v>
      </c>
      <c r="O13" s="78"/>
      <c r="P13" s="91"/>
      <c r="Q13" s="91"/>
      <c r="R13" s="92"/>
      <c r="S13" s="51">
        <v>1</v>
      </c>
      <c r="T13" s="51">
        <v>0</v>
      </c>
      <c r="U13" s="52">
        <v>0</v>
      </c>
      <c r="V13" s="52">
        <v>0.005525</v>
      </c>
      <c r="W13" s="52">
        <v>0.01087</v>
      </c>
      <c r="X13" s="52">
        <v>0.545586</v>
      </c>
      <c r="Y13" s="52">
        <v>0</v>
      </c>
      <c r="Z13" s="52">
        <v>0</v>
      </c>
      <c r="AA13" s="83">
        <v>13</v>
      </c>
      <c r="AB13" s="83"/>
      <c r="AC13" s="93"/>
      <c r="AD13" s="86" t="s">
        <v>368</v>
      </c>
      <c r="AE13" s="86" t="s">
        <v>446</v>
      </c>
      <c r="AF13" s="86" t="s">
        <v>519</v>
      </c>
      <c r="AG13" s="86" t="s">
        <v>583</v>
      </c>
      <c r="AH13" s="86" t="s">
        <v>660</v>
      </c>
      <c r="AI13" s="86">
        <v>22772</v>
      </c>
      <c r="AJ13" s="86">
        <v>0</v>
      </c>
      <c r="AK13" s="86">
        <v>306</v>
      </c>
      <c r="AL13" s="86">
        <v>97</v>
      </c>
      <c r="AM13" s="86" t="s">
        <v>699</v>
      </c>
      <c r="AN13" s="111" t="str">
        <f>HYPERLINK("https://www.youtube.com/watch?v=L5O-P_jrM1M")</f>
        <v>https://www.youtube.com/watch?v=L5O-P_jrM1M</v>
      </c>
      <c r="AO13" s="86" t="str">
        <f>REPLACE(INDEX(GroupVertices[Group],MATCH(Vertices[[#This Row],[Vertex]],GroupVertices[Vertex],0)),1,1,"")</f>
        <v>1</v>
      </c>
      <c r="AP13" s="51">
        <v>0</v>
      </c>
      <c r="AQ13" s="52">
        <v>0</v>
      </c>
      <c r="AR13" s="51">
        <v>0</v>
      </c>
      <c r="AS13" s="52">
        <v>0</v>
      </c>
      <c r="AT13" s="51">
        <v>0</v>
      </c>
      <c r="AU13" s="52">
        <v>0</v>
      </c>
      <c r="AV13" s="51">
        <v>12</v>
      </c>
      <c r="AW13" s="52">
        <v>100</v>
      </c>
      <c r="AX13" s="51">
        <v>12</v>
      </c>
      <c r="AY13" s="51"/>
      <c r="AZ13" s="51"/>
      <c r="BA13" s="51"/>
      <c r="BB13" s="51"/>
      <c r="BC13" s="2"/>
      <c r="BD13" s="3"/>
      <c r="BE13" s="3"/>
      <c r="BF13" s="3"/>
      <c r="BG13" s="3"/>
    </row>
    <row r="14" spans="1:59" ht="15">
      <c r="A14" s="14" t="s">
        <v>296</v>
      </c>
      <c r="B14" s="15"/>
      <c r="C14" s="15"/>
      <c r="D14" s="88">
        <v>248.3666444094726</v>
      </c>
      <c r="E14" s="82"/>
      <c r="F14" s="109" t="str">
        <f>HYPERLINK("https://i.ytimg.com/vi/gqGIAKrCABQ/default.jpg")</f>
        <v>https://i.ytimg.com/vi/gqGIAKrCABQ/default.jpg</v>
      </c>
      <c r="G14" s="15"/>
      <c r="H14" s="16" t="s">
        <v>399</v>
      </c>
      <c r="I14" s="67"/>
      <c r="J14" s="67"/>
      <c r="K14" s="107" t="s">
        <v>399</v>
      </c>
      <c r="L14" s="89">
        <v>9391.32432438786</v>
      </c>
      <c r="M14" s="90">
        <v>6778.9013671875</v>
      </c>
      <c r="N14" s="90">
        <v>6078.39013671875</v>
      </c>
      <c r="O14" s="78"/>
      <c r="P14" s="91"/>
      <c r="Q14" s="91"/>
      <c r="R14" s="92"/>
      <c r="S14" s="51">
        <v>1</v>
      </c>
      <c r="T14" s="51">
        <v>0</v>
      </c>
      <c r="U14" s="52">
        <v>0</v>
      </c>
      <c r="V14" s="52">
        <v>0.005525</v>
      </c>
      <c r="W14" s="52">
        <v>0.01087</v>
      </c>
      <c r="X14" s="52">
        <v>0.545586</v>
      </c>
      <c r="Y14" s="52">
        <v>0</v>
      </c>
      <c r="Z14" s="52">
        <v>0</v>
      </c>
      <c r="AA14" s="83">
        <v>14</v>
      </c>
      <c r="AB14" s="83"/>
      <c r="AC14" s="93"/>
      <c r="AD14" s="86" t="s">
        <v>399</v>
      </c>
      <c r="AE14" s="86" t="s">
        <v>475</v>
      </c>
      <c r="AF14" s="86" t="s">
        <v>545</v>
      </c>
      <c r="AG14" s="86" t="s">
        <v>584</v>
      </c>
      <c r="AH14" s="86" t="s">
        <v>691</v>
      </c>
      <c r="AI14" s="86">
        <v>155249</v>
      </c>
      <c r="AJ14" s="86">
        <v>1754</v>
      </c>
      <c r="AK14" s="86">
        <v>2324</v>
      </c>
      <c r="AL14" s="86">
        <v>904</v>
      </c>
      <c r="AM14" s="86" t="s">
        <v>699</v>
      </c>
      <c r="AN14" s="111" t="str">
        <f>HYPERLINK("https://www.youtube.com/watch?v=gqGIAKrCABQ")</f>
        <v>https://www.youtube.com/watch?v=gqGIAKrCABQ</v>
      </c>
      <c r="AO14" s="86" t="str">
        <f>REPLACE(INDEX(GroupVertices[Group],MATCH(Vertices[[#This Row],[Vertex]],GroupVertices[Vertex],0)),1,1,"")</f>
        <v>1</v>
      </c>
      <c r="AP14" s="51">
        <v>1</v>
      </c>
      <c r="AQ14" s="52">
        <v>2.7027027027027026</v>
      </c>
      <c r="AR14" s="51">
        <v>0</v>
      </c>
      <c r="AS14" s="52">
        <v>0</v>
      </c>
      <c r="AT14" s="51">
        <v>0</v>
      </c>
      <c r="AU14" s="52">
        <v>0</v>
      </c>
      <c r="AV14" s="51">
        <v>36</v>
      </c>
      <c r="AW14" s="52">
        <v>97.29729729729729</v>
      </c>
      <c r="AX14" s="51">
        <v>37</v>
      </c>
      <c r="AY14" s="51"/>
      <c r="AZ14" s="51"/>
      <c r="BA14" s="51"/>
      <c r="BB14" s="51"/>
      <c r="BC14" s="2"/>
      <c r="BD14" s="3"/>
      <c r="BE14" s="3"/>
      <c r="BF14" s="3"/>
      <c r="BG14" s="3"/>
    </row>
    <row r="15" spans="1:59" ht="15">
      <c r="A15" s="14" t="s">
        <v>266</v>
      </c>
      <c r="B15" s="15"/>
      <c r="C15" s="15"/>
      <c r="D15" s="88">
        <v>166.62912043186822</v>
      </c>
      <c r="E15" s="82"/>
      <c r="F15" s="109" t="str">
        <f>HYPERLINK("https://i.ytimg.com/vi/LBBVkrfaquM/default.jpg")</f>
        <v>https://i.ytimg.com/vi/LBBVkrfaquM/default.jpg</v>
      </c>
      <c r="G15" s="15"/>
      <c r="H15" s="16" t="s">
        <v>369</v>
      </c>
      <c r="I15" s="67"/>
      <c r="J15" s="67"/>
      <c r="K15" s="107" t="s">
        <v>369</v>
      </c>
      <c r="L15" s="89">
        <v>9686.334688704177</v>
      </c>
      <c r="M15" s="90">
        <v>4109.79931640625</v>
      </c>
      <c r="N15" s="90">
        <v>4999.5</v>
      </c>
      <c r="O15" s="78"/>
      <c r="P15" s="91"/>
      <c r="Q15" s="91"/>
      <c r="R15" s="92"/>
      <c r="S15" s="51">
        <v>1</v>
      </c>
      <c r="T15" s="51">
        <v>0</v>
      </c>
      <c r="U15" s="52">
        <v>0</v>
      </c>
      <c r="V15" s="52">
        <v>0.005525</v>
      </c>
      <c r="W15" s="52">
        <v>0.01087</v>
      </c>
      <c r="X15" s="52">
        <v>0.545586</v>
      </c>
      <c r="Y15" s="52">
        <v>0</v>
      </c>
      <c r="Z15" s="52">
        <v>0</v>
      </c>
      <c r="AA15" s="83">
        <v>15</v>
      </c>
      <c r="AB15" s="83"/>
      <c r="AC15" s="93"/>
      <c r="AD15" s="86" t="s">
        <v>369</v>
      </c>
      <c r="AE15" s="86" t="s">
        <v>447</v>
      </c>
      <c r="AF15" s="86" t="s">
        <v>520</v>
      </c>
      <c r="AG15" s="86" t="s">
        <v>584</v>
      </c>
      <c r="AH15" s="86" t="s">
        <v>661</v>
      </c>
      <c r="AI15" s="86">
        <v>79938</v>
      </c>
      <c r="AJ15" s="86">
        <v>1577</v>
      </c>
      <c r="AK15" s="86">
        <v>1026</v>
      </c>
      <c r="AL15" s="86">
        <v>585</v>
      </c>
      <c r="AM15" s="86" t="s">
        <v>699</v>
      </c>
      <c r="AN15" s="111" t="str">
        <f>HYPERLINK("https://www.youtube.com/watch?v=LBBVkrfaquM")</f>
        <v>https://www.youtube.com/watch?v=LBBVkrfaquM</v>
      </c>
      <c r="AO15" s="86" t="str">
        <f>REPLACE(INDEX(GroupVertices[Group],MATCH(Vertices[[#This Row],[Vertex]],GroupVertices[Vertex],0)),1,1,"")</f>
        <v>1</v>
      </c>
      <c r="AP15" s="51">
        <v>0</v>
      </c>
      <c r="AQ15" s="52">
        <v>0</v>
      </c>
      <c r="AR15" s="51">
        <v>0</v>
      </c>
      <c r="AS15" s="52">
        <v>0</v>
      </c>
      <c r="AT15" s="51">
        <v>0</v>
      </c>
      <c r="AU15" s="52">
        <v>0</v>
      </c>
      <c r="AV15" s="51">
        <v>35</v>
      </c>
      <c r="AW15" s="52">
        <v>100</v>
      </c>
      <c r="AX15" s="51">
        <v>35</v>
      </c>
      <c r="AY15" s="51"/>
      <c r="AZ15" s="51"/>
      <c r="BA15" s="51"/>
      <c r="BB15" s="51"/>
      <c r="BC15" s="2"/>
      <c r="BD15" s="3"/>
      <c r="BE15" s="3"/>
      <c r="BF15" s="3"/>
      <c r="BG15" s="3"/>
    </row>
    <row r="16" spans="1:59" ht="15">
      <c r="A16" s="14" t="s">
        <v>267</v>
      </c>
      <c r="B16" s="15"/>
      <c r="C16" s="15"/>
      <c r="D16" s="88">
        <v>177.47919581533293</v>
      </c>
      <c r="E16" s="82"/>
      <c r="F16" s="109" t="str">
        <f>HYPERLINK("https://i.ytimg.com/vi/wwn5gXA5ih8/default.jpg")</f>
        <v>https://i.ytimg.com/vi/wwn5gXA5ih8/default.jpg</v>
      </c>
      <c r="G16" s="15"/>
      <c r="H16" s="16" t="s">
        <v>370</v>
      </c>
      <c r="I16" s="67"/>
      <c r="J16" s="67"/>
      <c r="K16" s="107" t="s">
        <v>370</v>
      </c>
      <c r="L16" s="89">
        <v>9647.174159537517</v>
      </c>
      <c r="M16" s="90">
        <v>1440.6976318359375</v>
      </c>
      <c r="N16" s="90">
        <v>4999.5</v>
      </c>
      <c r="O16" s="78"/>
      <c r="P16" s="91"/>
      <c r="Q16" s="91"/>
      <c r="R16" s="92"/>
      <c r="S16" s="51">
        <v>1</v>
      </c>
      <c r="T16" s="51">
        <v>0</v>
      </c>
      <c r="U16" s="52">
        <v>0</v>
      </c>
      <c r="V16" s="52">
        <v>0.005525</v>
      </c>
      <c r="W16" s="52">
        <v>0.01087</v>
      </c>
      <c r="X16" s="52">
        <v>0.545586</v>
      </c>
      <c r="Y16" s="52">
        <v>0</v>
      </c>
      <c r="Z16" s="52">
        <v>0</v>
      </c>
      <c r="AA16" s="83">
        <v>16</v>
      </c>
      <c r="AB16" s="83"/>
      <c r="AC16" s="93"/>
      <c r="AD16" s="86" t="s">
        <v>370</v>
      </c>
      <c r="AE16" s="86" t="s">
        <v>448</v>
      </c>
      <c r="AF16" s="86" t="s">
        <v>521</v>
      </c>
      <c r="AG16" s="86" t="s">
        <v>584</v>
      </c>
      <c r="AH16" s="86" t="s">
        <v>662</v>
      </c>
      <c r="AI16" s="86">
        <v>89935</v>
      </c>
      <c r="AJ16" s="86">
        <v>950</v>
      </c>
      <c r="AK16" s="86">
        <v>1092</v>
      </c>
      <c r="AL16" s="86">
        <v>577</v>
      </c>
      <c r="AM16" s="86" t="s">
        <v>699</v>
      </c>
      <c r="AN16" s="111" t="str">
        <f>HYPERLINK("https://www.youtube.com/watch?v=wwn5gXA5ih8")</f>
        <v>https://www.youtube.com/watch?v=wwn5gXA5ih8</v>
      </c>
      <c r="AO16" s="86" t="str">
        <f>REPLACE(INDEX(GroupVertices[Group],MATCH(Vertices[[#This Row],[Vertex]],GroupVertices[Vertex],0)),1,1,"")</f>
        <v>1</v>
      </c>
      <c r="AP16" s="51">
        <v>1</v>
      </c>
      <c r="AQ16" s="52">
        <v>10</v>
      </c>
      <c r="AR16" s="51">
        <v>0</v>
      </c>
      <c r="AS16" s="52">
        <v>0</v>
      </c>
      <c r="AT16" s="51">
        <v>0</v>
      </c>
      <c r="AU16" s="52">
        <v>0</v>
      </c>
      <c r="AV16" s="51">
        <v>9</v>
      </c>
      <c r="AW16" s="52">
        <v>90</v>
      </c>
      <c r="AX16" s="51">
        <v>10</v>
      </c>
      <c r="AY16" s="51"/>
      <c r="AZ16" s="51"/>
      <c r="BA16" s="51"/>
      <c r="BB16" s="51"/>
      <c r="BC16" s="2"/>
      <c r="BD16" s="3"/>
      <c r="BE16" s="3"/>
      <c r="BF16" s="3"/>
      <c r="BG16" s="3"/>
    </row>
    <row r="17" spans="1:59" ht="15">
      <c r="A17" s="14" t="s">
        <v>280</v>
      </c>
      <c r="B17" s="15"/>
      <c r="C17" s="15"/>
      <c r="D17" s="88">
        <v>563.7611983965382</v>
      </c>
      <c r="E17" s="82"/>
      <c r="F17" s="109" t="str">
        <f>HYPERLINK("https://i.ytimg.com/vi/1Ftu3U5n0ls/default.jpg")</f>
        <v>https://i.ytimg.com/vi/1Ftu3U5n0ls/default.jpg</v>
      </c>
      <c r="G17" s="15"/>
      <c r="H17" s="16" t="s">
        <v>383</v>
      </c>
      <c r="I17" s="67"/>
      <c r="J17" s="67"/>
      <c r="K17" s="107" t="s">
        <v>383</v>
      </c>
      <c r="L17" s="89">
        <v>8252.98959454456</v>
      </c>
      <c r="M17" s="90">
        <v>9448.0029296875</v>
      </c>
      <c r="N17" s="90">
        <v>8236.1708984375</v>
      </c>
      <c r="O17" s="78"/>
      <c r="P17" s="91"/>
      <c r="Q17" s="91"/>
      <c r="R17" s="92"/>
      <c r="S17" s="51">
        <v>1</v>
      </c>
      <c r="T17" s="51">
        <v>0</v>
      </c>
      <c r="U17" s="52">
        <v>0</v>
      </c>
      <c r="V17" s="52">
        <v>0.005525</v>
      </c>
      <c r="W17" s="52">
        <v>0.01087</v>
      </c>
      <c r="X17" s="52">
        <v>0.545586</v>
      </c>
      <c r="Y17" s="52">
        <v>0</v>
      </c>
      <c r="Z17" s="52">
        <v>0</v>
      </c>
      <c r="AA17" s="83">
        <v>17</v>
      </c>
      <c r="AB17" s="83"/>
      <c r="AC17" s="93"/>
      <c r="AD17" s="86" t="s">
        <v>383</v>
      </c>
      <c r="AE17" s="86" t="s">
        <v>461</v>
      </c>
      <c r="AF17" s="86" t="s">
        <v>532</v>
      </c>
      <c r="AG17" s="86" t="s">
        <v>596</v>
      </c>
      <c r="AH17" s="86" t="s">
        <v>675</v>
      </c>
      <c r="AI17" s="86">
        <v>445846</v>
      </c>
      <c r="AJ17" s="86">
        <v>6978</v>
      </c>
      <c r="AK17" s="86">
        <v>5204</v>
      </c>
      <c r="AL17" s="86">
        <v>5767</v>
      </c>
      <c r="AM17" s="86" t="s">
        <v>699</v>
      </c>
      <c r="AN17" s="111" t="str">
        <f>HYPERLINK("https://www.youtube.com/watch?v=1Ftu3U5n0ls")</f>
        <v>https://www.youtube.com/watch?v=1Ftu3U5n0ls</v>
      </c>
      <c r="AO17" s="86" t="str">
        <f>REPLACE(INDEX(GroupVertices[Group],MATCH(Vertices[[#This Row],[Vertex]],GroupVertices[Vertex],0)),1,1,"")</f>
        <v>1</v>
      </c>
      <c r="AP17" s="51">
        <v>1</v>
      </c>
      <c r="AQ17" s="52">
        <v>1.7857142857142858</v>
      </c>
      <c r="AR17" s="51">
        <v>3</v>
      </c>
      <c r="AS17" s="52">
        <v>5.357142857142857</v>
      </c>
      <c r="AT17" s="51">
        <v>0</v>
      </c>
      <c r="AU17" s="52">
        <v>0</v>
      </c>
      <c r="AV17" s="51">
        <v>52</v>
      </c>
      <c r="AW17" s="52">
        <v>92.85714285714286</v>
      </c>
      <c r="AX17" s="51">
        <v>56</v>
      </c>
      <c r="AY17" s="51"/>
      <c r="AZ17" s="51"/>
      <c r="BA17" s="51"/>
      <c r="BB17" s="51"/>
      <c r="BC17" s="2"/>
      <c r="BD17" s="3"/>
      <c r="BE17" s="3"/>
      <c r="BF17" s="3"/>
      <c r="BG17" s="3"/>
    </row>
    <row r="18" spans="1:59" ht="15">
      <c r="A18" s="14" t="s">
        <v>289</v>
      </c>
      <c r="B18" s="15"/>
      <c r="C18" s="15"/>
      <c r="D18" s="88">
        <v>1000</v>
      </c>
      <c r="E18" s="82"/>
      <c r="F18" s="109" t="str">
        <f>HYPERLINK("https://i.ytimg.com/vi/HkSD1JAvWmQ/default.jpg")</f>
        <v>https://i.ytimg.com/vi/HkSD1JAvWmQ/default.jpg</v>
      </c>
      <c r="G18" s="15"/>
      <c r="H18" s="16" t="s">
        <v>392</v>
      </c>
      <c r="I18" s="67"/>
      <c r="J18" s="67"/>
      <c r="K18" s="107" t="s">
        <v>392</v>
      </c>
      <c r="L18" s="89">
        <v>4490.879824394716</v>
      </c>
      <c r="M18" s="90">
        <v>4109.79931640625</v>
      </c>
      <c r="N18" s="90">
        <v>9315.060546875</v>
      </c>
      <c r="O18" s="78"/>
      <c r="P18" s="91"/>
      <c r="Q18" s="91"/>
      <c r="R18" s="92"/>
      <c r="S18" s="51">
        <v>1</v>
      </c>
      <c r="T18" s="51">
        <v>0</v>
      </c>
      <c r="U18" s="52">
        <v>0</v>
      </c>
      <c r="V18" s="52">
        <v>0.005525</v>
      </c>
      <c r="W18" s="52">
        <v>0.01087</v>
      </c>
      <c r="X18" s="52">
        <v>0.545586</v>
      </c>
      <c r="Y18" s="52">
        <v>0</v>
      </c>
      <c r="Z18" s="52">
        <v>0</v>
      </c>
      <c r="AA18" s="83">
        <v>18</v>
      </c>
      <c r="AB18" s="83"/>
      <c r="AC18" s="93"/>
      <c r="AD18" s="86" t="s">
        <v>392</v>
      </c>
      <c r="AE18" s="86" t="s">
        <v>468</v>
      </c>
      <c r="AF18" s="86" t="s">
        <v>538</v>
      </c>
      <c r="AG18" s="86" t="s">
        <v>577</v>
      </c>
      <c r="AH18" s="86" t="s">
        <v>684</v>
      </c>
      <c r="AI18" s="86">
        <v>1406247</v>
      </c>
      <c r="AJ18" s="86">
        <v>13569</v>
      </c>
      <c r="AK18" s="86">
        <v>19958</v>
      </c>
      <c r="AL18" s="86">
        <v>4342</v>
      </c>
      <c r="AM18" s="86" t="s">
        <v>699</v>
      </c>
      <c r="AN18" s="111" t="str">
        <f>HYPERLINK("https://www.youtube.com/watch?v=HkSD1JAvWmQ")</f>
        <v>https://www.youtube.com/watch?v=HkSD1JAvWmQ</v>
      </c>
      <c r="AO18" s="86" t="str">
        <f>REPLACE(INDEX(GroupVertices[Group],MATCH(Vertices[[#This Row],[Vertex]],GroupVertices[Vertex],0)),1,1,"")</f>
        <v>1</v>
      </c>
      <c r="AP18" s="51">
        <v>1</v>
      </c>
      <c r="AQ18" s="52">
        <v>8.333333333333334</v>
      </c>
      <c r="AR18" s="51">
        <v>0</v>
      </c>
      <c r="AS18" s="52">
        <v>0</v>
      </c>
      <c r="AT18" s="51">
        <v>0</v>
      </c>
      <c r="AU18" s="52">
        <v>0</v>
      </c>
      <c r="AV18" s="51">
        <v>11</v>
      </c>
      <c r="AW18" s="52">
        <v>91.66666666666667</v>
      </c>
      <c r="AX18" s="51">
        <v>12</v>
      </c>
      <c r="AY18" s="51"/>
      <c r="AZ18" s="51"/>
      <c r="BA18" s="51"/>
      <c r="BB18" s="51"/>
      <c r="BC18" s="2"/>
      <c r="BD18" s="3"/>
      <c r="BE18" s="3"/>
      <c r="BF18" s="3"/>
      <c r="BG18" s="3"/>
    </row>
    <row r="19" spans="1:59" ht="15">
      <c r="A19" s="14" t="s">
        <v>295</v>
      </c>
      <c r="B19" s="15"/>
      <c r="C19" s="15"/>
      <c r="D19" s="88">
        <v>1000</v>
      </c>
      <c r="E19" s="82"/>
      <c r="F19" s="109" t="str">
        <f>HYPERLINK("https://i.ytimg.com/vi/TkYgH3AeqUI/default.jpg")</f>
        <v>https://i.ytimg.com/vi/TkYgH3AeqUI/default.jpg</v>
      </c>
      <c r="G19" s="15"/>
      <c r="H19" s="16" t="s">
        <v>398</v>
      </c>
      <c r="I19" s="67"/>
      <c r="J19" s="67"/>
      <c r="K19" s="107" t="s">
        <v>398</v>
      </c>
      <c r="L19" s="89">
        <v>5067.60548090655</v>
      </c>
      <c r="M19" s="90">
        <v>4999.5</v>
      </c>
      <c r="N19" s="90">
        <v>9315.060546875</v>
      </c>
      <c r="O19" s="78"/>
      <c r="P19" s="91"/>
      <c r="Q19" s="91"/>
      <c r="R19" s="92"/>
      <c r="S19" s="51">
        <v>1</v>
      </c>
      <c r="T19" s="51">
        <v>0</v>
      </c>
      <c r="U19" s="52">
        <v>0</v>
      </c>
      <c r="V19" s="52">
        <v>0.005525</v>
      </c>
      <c r="W19" s="52">
        <v>0.01087</v>
      </c>
      <c r="X19" s="52">
        <v>0.545586</v>
      </c>
      <c r="Y19" s="52">
        <v>0</v>
      </c>
      <c r="Z19" s="52">
        <v>0</v>
      </c>
      <c r="AA19" s="83">
        <v>19</v>
      </c>
      <c r="AB19" s="83"/>
      <c r="AC19" s="93"/>
      <c r="AD19" s="86" t="s">
        <v>398</v>
      </c>
      <c r="AE19" s="86" t="s">
        <v>474</v>
      </c>
      <c r="AF19" s="86" t="s">
        <v>544</v>
      </c>
      <c r="AG19" s="86" t="s">
        <v>577</v>
      </c>
      <c r="AH19" s="86" t="s">
        <v>690</v>
      </c>
      <c r="AI19" s="86">
        <v>1259019</v>
      </c>
      <c r="AJ19" s="86">
        <v>15581</v>
      </c>
      <c r="AK19" s="86">
        <v>18550</v>
      </c>
      <c r="AL19" s="86">
        <v>3360</v>
      </c>
      <c r="AM19" s="86" t="s">
        <v>699</v>
      </c>
      <c r="AN19" s="111" t="str">
        <f>HYPERLINK("https://www.youtube.com/watch?v=TkYgH3AeqUI")</f>
        <v>https://www.youtube.com/watch?v=TkYgH3AeqUI</v>
      </c>
      <c r="AO19" s="86" t="str">
        <f>REPLACE(INDEX(GroupVertices[Group],MATCH(Vertices[[#This Row],[Vertex]],GroupVertices[Vertex],0)),1,1,"")</f>
        <v>1</v>
      </c>
      <c r="AP19" s="51">
        <v>0</v>
      </c>
      <c r="AQ19" s="52">
        <v>0</v>
      </c>
      <c r="AR19" s="51">
        <v>0</v>
      </c>
      <c r="AS19" s="52">
        <v>0</v>
      </c>
      <c r="AT19" s="51">
        <v>0</v>
      </c>
      <c r="AU19" s="52">
        <v>0</v>
      </c>
      <c r="AV19" s="51">
        <v>11</v>
      </c>
      <c r="AW19" s="52">
        <v>100</v>
      </c>
      <c r="AX19" s="51">
        <v>11</v>
      </c>
      <c r="AY19" s="51"/>
      <c r="AZ19" s="51"/>
      <c r="BA19" s="51"/>
      <c r="BB19" s="51"/>
      <c r="BC19" s="2"/>
      <c r="BD19" s="3"/>
      <c r="BE19" s="3"/>
      <c r="BF19" s="3"/>
      <c r="BG19" s="3"/>
    </row>
    <row r="20" spans="1:59" ht="15">
      <c r="A20" s="14" t="s">
        <v>253</v>
      </c>
      <c r="B20" s="15"/>
      <c r="C20" s="15"/>
      <c r="D20" s="88">
        <v>946.8816255459108</v>
      </c>
      <c r="E20" s="82"/>
      <c r="F20" s="109" t="str">
        <f>HYPERLINK("https://i.ytimg.com/vi/aSHhEpgrFfI/default.jpg")</f>
        <v>https://i.ytimg.com/vi/aSHhEpgrFfI/default.jpg</v>
      </c>
      <c r="G20" s="15"/>
      <c r="H20" s="16" t="s">
        <v>356</v>
      </c>
      <c r="I20" s="67"/>
      <c r="J20" s="67"/>
      <c r="K20" s="107" t="s">
        <v>356</v>
      </c>
      <c r="L20" s="89">
        <v>6870.2159149634745</v>
      </c>
      <c r="M20" s="90">
        <v>3220.0986328125</v>
      </c>
      <c r="N20" s="90">
        <v>8236.1708984375</v>
      </c>
      <c r="O20" s="78"/>
      <c r="P20" s="91"/>
      <c r="Q20" s="91"/>
      <c r="R20" s="92"/>
      <c r="S20" s="51">
        <v>1</v>
      </c>
      <c r="T20" s="51">
        <v>0</v>
      </c>
      <c r="U20" s="52">
        <v>0</v>
      </c>
      <c r="V20" s="52">
        <v>0.005525</v>
      </c>
      <c r="W20" s="52">
        <v>0.01087</v>
      </c>
      <c r="X20" s="52">
        <v>0.545586</v>
      </c>
      <c r="Y20" s="52">
        <v>0</v>
      </c>
      <c r="Z20" s="52">
        <v>0</v>
      </c>
      <c r="AA20" s="83">
        <v>20</v>
      </c>
      <c r="AB20" s="83"/>
      <c r="AC20" s="93"/>
      <c r="AD20" s="86" t="s">
        <v>356</v>
      </c>
      <c r="AE20" s="86" t="s">
        <v>435</v>
      </c>
      <c r="AF20" s="86" t="s">
        <v>509</v>
      </c>
      <c r="AG20" s="86" t="s">
        <v>577</v>
      </c>
      <c r="AH20" s="86" t="s">
        <v>648</v>
      </c>
      <c r="AI20" s="86">
        <v>798844</v>
      </c>
      <c r="AJ20" s="86">
        <v>14250</v>
      </c>
      <c r="AK20" s="86">
        <v>9723</v>
      </c>
      <c r="AL20" s="86">
        <v>3219</v>
      </c>
      <c r="AM20" s="86" t="s">
        <v>699</v>
      </c>
      <c r="AN20" s="111" t="str">
        <f>HYPERLINK("https://www.youtube.com/watch?v=aSHhEpgrFfI")</f>
        <v>https://www.youtube.com/watch?v=aSHhEpgrFfI</v>
      </c>
      <c r="AO20" s="86" t="str">
        <f>REPLACE(INDEX(GroupVertices[Group],MATCH(Vertices[[#This Row],[Vertex]],GroupVertices[Vertex],0)),1,1,"")</f>
        <v>1</v>
      </c>
      <c r="AP20" s="51">
        <v>0</v>
      </c>
      <c r="AQ20" s="52">
        <v>0</v>
      </c>
      <c r="AR20" s="51">
        <v>0</v>
      </c>
      <c r="AS20" s="52">
        <v>0</v>
      </c>
      <c r="AT20" s="51">
        <v>0</v>
      </c>
      <c r="AU20" s="52">
        <v>0</v>
      </c>
      <c r="AV20" s="51">
        <v>10</v>
      </c>
      <c r="AW20" s="52">
        <v>100</v>
      </c>
      <c r="AX20" s="51">
        <v>10</v>
      </c>
      <c r="AY20" s="51"/>
      <c r="AZ20" s="51"/>
      <c r="BA20" s="51"/>
      <c r="BB20" s="51"/>
      <c r="BC20" s="2"/>
      <c r="BD20" s="3"/>
      <c r="BE20" s="3"/>
      <c r="BF20" s="3"/>
      <c r="BG20" s="3"/>
    </row>
    <row r="21" spans="1:59" ht="15">
      <c r="A21" s="14" t="s">
        <v>272</v>
      </c>
      <c r="B21" s="15"/>
      <c r="C21" s="15"/>
      <c r="D21" s="88">
        <v>1000</v>
      </c>
      <c r="E21" s="82"/>
      <c r="F21" s="109" t="str">
        <f>HYPERLINK("https://i.ytimg.com/vi/1P6O2hYRvT0/default.jpg")</f>
        <v>https://i.ytimg.com/vi/1P6O2hYRvT0/default.jpg</v>
      </c>
      <c r="G21" s="15"/>
      <c r="H21" s="16" t="s">
        <v>375</v>
      </c>
      <c r="I21" s="67"/>
      <c r="J21" s="67"/>
      <c r="K21" s="107" t="s">
        <v>375</v>
      </c>
      <c r="L21" s="89">
        <v>6678.498938022933</v>
      </c>
      <c r="M21" s="90">
        <v>2330.398193359375</v>
      </c>
      <c r="N21" s="90">
        <v>8236.1708984375</v>
      </c>
      <c r="O21" s="78"/>
      <c r="P21" s="91"/>
      <c r="Q21" s="91"/>
      <c r="R21" s="92"/>
      <c r="S21" s="51">
        <v>1</v>
      </c>
      <c r="T21" s="51">
        <v>0</v>
      </c>
      <c r="U21" s="52">
        <v>0</v>
      </c>
      <c r="V21" s="52">
        <v>0.005525</v>
      </c>
      <c r="W21" s="52">
        <v>0.01087</v>
      </c>
      <c r="X21" s="52">
        <v>0.545586</v>
      </c>
      <c r="Y21" s="52">
        <v>0</v>
      </c>
      <c r="Z21" s="52">
        <v>0</v>
      </c>
      <c r="AA21" s="83">
        <v>21</v>
      </c>
      <c r="AB21" s="83"/>
      <c r="AC21" s="93"/>
      <c r="AD21" s="86" t="s">
        <v>375</v>
      </c>
      <c r="AE21" s="86" t="s">
        <v>453</v>
      </c>
      <c r="AF21" s="86" t="s">
        <v>525</v>
      </c>
      <c r="AG21" s="86" t="s">
        <v>577</v>
      </c>
      <c r="AH21" s="86" t="s">
        <v>667</v>
      </c>
      <c r="AI21" s="86">
        <v>847786</v>
      </c>
      <c r="AJ21" s="86">
        <v>5859</v>
      </c>
      <c r="AK21" s="86">
        <v>10873</v>
      </c>
      <c r="AL21" s="86">
        <v>960</v>
      </c>
      <c r="AM21" s="86" t="s">
        <v>699</v>
      </c>
      <c r="AN21" s="111" t="str">
        <f>HYPERLINK("https://www.youtube.com/watch?v=1P6O2hYRvT0")</f>
        <v>https://www.youtube.com/watch?v=1P6O2hYRvT0</v>
      </c>
      <c r="AO21" s="86" t="str">
        <f>REPLACE(INDEX(GroupVertices[Group],MATCH(Vertices[[#This Row],[Vertex]],GroupVertices[Vertex],0)),1,1,"")</f>
        <v>1</v>
      </c>
      <c r="AP21" s="51">
        <v>0</v>
      </c>
      <c r="AQ21" s="52">
        <v>0</v>
      </c>
      <c r="AR21" s="51">
        <v>0</v>
      </c>
      <c r="AS21" s="52">
        <v>0</v>
      </c>
      <c r="AT21" s="51">
        <v>0</v>
      </c>
      <c r="AU21" s="52">
        <v>0</v>
      </c>
      <c r="AV21" s="51">
        <v>36</v>
      </c>
      <c r="AW21" s="52">
        <v>100</v>
      </c>
      <c r="AX21" s="51">
        <v>36</v>
      </c>
      <c r="AY21" s="51"/>
      <c r="AZ21" s="51"/>
      <c r="BA21" s="51"/>
      <c r="BB21" s="51"/>
      <c r="BC21" s="2"/>
      <c r="BD21" s="3"/>
      <c r="BE21" s="3"/>
      <c r="BF21" s="3"/>
      <c r="BG21" s="3"/>
    </row>
    <row r="22" spans="1:59" ht="15">
      <c r="A22" s="14" t="s">
        <v>255</v>
      </c>
      <c r="B22" s="15"/>
      <c r="C22" s="15"/>
      <c r="D22" s="88">
        <v>241.4530723185783</v>
      </c>
      <c r="E22" s="82"/>
      <c r="F22" s="109" t="str">
        <f>HYPERLINK("https://i.ytimg.com/vi/0bb-QzC6mvs/default.jpg")</f>
        <v>https://i.ytimg.com/vi/0bb-QzC6mvs/default.jpg</v>
      </c>
      <c r="G22" s="15"/>
      <c r="H22" s="16" t="s">
        <v>358</v>
      </c>
      <c r="I22" s="67"/>
      <c r="J22" s="67"/>
      <c r="K22" s="107" t="s">
        <v>358</v>
      </c>
      <c r="L22" s="89">
        <v>9416.277067289891</v>
      </c>
      <c r="M22" s="90">
        <v>7668.60205078125</v>
      </c>
      <c r="N22" s="90">
        <v>6078.39013671875</v>
      </c>
      <c r="O22" s="78"/>
      <c r="P22" s="91"/>
      <c r="Q22" s="91"/>
      <c r="R22" s="92"/>
      <c r="S22" s="51">
        <v>1</v>
      </c>
      <c r="T22" s="51">
        <v>0</v>
      </c>
      <c r="U22" s="52">
        <v>0</v>
      </c>
      <c r="V22" s="52">
        <v>0.005525</v>
      </c>
      <c r="W22" s="52">
        <v>0.01087</v>
      </c>
      <c r="X22" s="52">
        <v>0.545586</v>
      </c>
      <c r="Y22" s="52">
        <v>0</v>
      </c>
      <c r="Z22" s="52">
        <v>0</v>
      </c>
      <c r="AA22" s="83">
        <v>22</v>
      </c>
      <c r="AB22" s="83"/>
      <c r="AC22" s="93"/>
      <c r="AD22" s="86" t="s">
        <v>358</v>
      </c>
      <c r="AE22" s="86" t="s">
        <v>437</v>
      </c>
      <c r="AF22" s="86" t="s">
        <v>511</v>
      </c>
      <c r="AG22" s="86" t="s">
        <v>577</v>
      </c>
      <c r="AH22" s="86" t="s">
        <v>650</v>
      </c>
      <c r="AI22" s="86">
        <v>148879</v>
      </c>
      <c r="AJ22" s="86">
        <v>2071</v>
      </c>
      <c r="AK22" s="86">
        <v>1299</v>
      </c>
      <c r="AL22" s="86">
        <v>582</v>
      </c>
      <c r="AM22" s="86" t="s">
        <v>699</v>
      </c>
      <c r="AN22" s="111" t="str">
        <f>HYPERLINK("https://www.youtube.com/watch?v=0bb-QzC6mvs")</f>
        <v>https://www.youtube.com/watch?v=0bb-QzC6mvs</v>
      </c>
      <c r="AO22" s="86" t="str">
        <f>REPLACE(INDEX(GroupVertices[Group],MATCH(Vertices[[#This Row],[Vertex]],GroupVertices[Vertex],0)),1,1,"")</f>
        <v>1</v>
      </c>
      <c r="AP22" s="51">
        <v>0</v>
      </c>
      <c r="AQ22" s="52">
        <v>0</v>
      </c>
      <c r="AR22" s="51">
        <v>0</v>
      </c>
      <c r="AS22" s="52">
        <v>0</v>
      </c>
      <c r="AT22" s="51">
        <v>0</v>
      </c>
      <c r="AU22" s="52">
        <v>0</v>
      </c>
      <c r="AV22" s="51">
        <v>8</v>
      </c>
      <c r="AW22" s="52">
        <v>100</v>
      </c>
      <c r="AX22" s="51">
        <v>8</v>
      </c>
      <c r="AY22" s="51"/>
      <c r="AZ22" s="51"/>
      <c r="BA22" s="51"/>
      <c r="BB22" s="51"/>
      <c r="BC22" s="2"/>
      <c r="BD22" s="3"/>
      <c r="BE22" s="3"/>
      <c r="BF22" s="3"/>
      <c r="BG22" s="3"/>
    </row>
    <row r="23" spans="1:59" ht="15">
      <c r="A23" s="14" t="s">
        <v>294</v>
      </c>
      <c r="B23" s="15"/>
      <c r="C23" s="15"/>
      <c r="D23" s="88">
        <v>351.6404338501249</v>
      </c>
      <c r="E23" s="82"/>
      <c r="F23" s="109" t="str">
        <f>HYPERLINK("https://i.ytimg.com/vi/8AbbWrdl4KI/default.jpg")</f>
        <v>https://i.ytimg.com/vi/8AbbWrdl4KI/default.jpg</v>
      </c>
      <c r="G23" s="15"/>
      <c r="H23" s="16" t="s">
        <v>397</v>
      </c>
      <c r="I23" s="67"/>
      <c r="J23" s="67"/>
      <c r="K23" s="107" t="s">
        <v>397</v>
      </c>
      <c r="L23" s="89">
        <v>9018.584403179075</v>
      </c>
      <c r="M23" s="90">
        <v>1440.6976318359375</v>
      </c>
      <c r="N23" s="90">
        <v>6078.39013671875</v>
      </c>
      <c r="O23" s="78"/>
      <c r="P23" s="91"/>
      <c r="Q23" s="91"/>
      <c r="R23" s="92"/>
      <c r="S23" s="51">
        <v>1</v>
      </c>
      <c r="T23" s="51">
        <v>0</v>
      </c>
      <c r="U23" s="52">
        <v>0</v>
      </c>
      <c r="V23" s="52">
        <v>0.005525</v>
      </c>
      <c r="W23" s="52">
        <v>0.01087</v>
      </c>
      <c r="X23" s="52">
        <v>0.545586</v>
      </c>
      <c r="Y23" s="52">
        <v>0</v>
      </c>
      <c r="Z23" s="52">
        <v>0</v>
      </c>
      <c r="AA23" s="83">
        <v>23</v>
      </c>
      <c r="AB23" s="83"/>
      <c r="AC23" s="93"/>
      <c r="AD23" s="86" t="s">
        <v>397</v>
      </c>
      <c r="AE23" s="86" t="s">
        <v>473</v>
      </c>
      <c r="AF23" s="86" t="s">
        <v>543</v>
      </c>
      <c r="AG23" s="86" t="s">
        <v>577</v>
      </c>
      <c r="AH23" s="86" t="s">
        <v>689</v>
      </c>
      <c r="AI23" s="86">
        <v>250403</v>
      </c>
      <c r="AJ23" s="86">
        <v>2684</v>
      </c>
      <c r="AK23" s="86">
        <v>3727</v>
      </c>
      <c r="AL23" s="86">
        <v>349</v>
      </c>
      <c r="AM23" s="86" t="s">
        <v>699</v>
      </c>
      <c r="AN23" s="111" t="str">
        <f>HYPERLINK("https://www.youtube.com/watch?v=8AbbWrdl4KI")</f>
        <v>https://www.youtube.com/watch?v=8AbbWrdl4KI</v>
      </c>
      <c r="AO23" s="86" t="str">
        <f>REPLACE(INDEX(GroupVertices[Group],MATCH(Vertices[[#This Row],[Vertex]],GroupVertices[Vertex],0)),1,1,"")</f>
        <v>1</v>
      </c>
      <c r="AP23" s="51">
        <v>0</v>
      </c>
      <c r="AQ23" s="52">
        <v>0</v>
      </c>
      <c r="AR23" s="51">
        <v>0</v>
      </c>
      <c r="AS23" s="52">
        <v>0</v>
      </c>
      <c r="AT23" s="51">
        <v>0</v>
      </c>
      <c r="AU23" s="52">
        <v>0</v>
      </c>
      <c r="AV23" s="51">
        <v>15</v>
      </c>
      <c r="AW23" s="52">
        <v>100</v>
      </c>
      <c r="AX23" s="51">
        <v>15</v>
      </c>
      <c r="AY23" s="51"/>
      <c r="AZ23" s="51"/>
      <c r="BA23" s="51"/>
      <c r="BB23" s="51"/>
      <c r="BC23" s="2"/>
      <c r="BD23" s="3"/>
      <c r="BE23" s="3"/>
      <c r="BF23" s="3"/>
      <c r="BG23" s="3"/>
    </row>
    <row r="24" spans="1:59" ht="15">
      <c r="A24" s="14" t="s">
        <v>227</v>
      </c>
      <c r="B24" s="15"/>
      <c r="C24" s="15"/>
      <c r="D24" s="88">
        <v>137.91988825787516</v>
      </c>
      <c r="E24" s="82"/>
      <c r="F24" s="109" t="str">
        <f>HYPERLINK("https://i.ytimg.com/vi/r4n5bjMRXaA/default.jpg")</f>
        <v>https://i.ytimg.com/vi/r4n5bjMRXaA/default.jpg</v>
      </c>
      <c r="G24" s="15"/>
      <c r="H24" s="16" t="s">
        <v>331</v>
      </c>
      <c r="I24" s="67"/>
      <c r="J24" s="67"/>
      <c r="K24" s="107" t="s">
        <v>331</v>
      </c>
      <c r="L24" s="89">
        <v>9789.953206011014</v>
      </c>
      <c r="M24" s="90">
        <v>550.996826171875</v>
      </c>
      <c r="N24" s="90">
        <v>3920.60986328125</v>
      </c>
      <c r="O24" s="78"/>
      <c r="P24" s="91"/>
      <c r="Q24" s="91"/>
      <c r="R24" s="92"/>
      <c r="S24" s="51">
        <v>1</v>
      </c>
      <c r="T24" s="51">
        <v>0</v>
      </c>
      <c r="U24" s="52">
        <v>0</v>
      </c>
      <c r="V24" s="52">
        <v>0.005525</v>
      </c>
      <c r="W24" s="52">
        <v>0.01087</v>
      </c>
      <c r="X24" s="52">
        <v>0.545586</v>
      </c>
      <c r="Y24" s="52">
        <v>0</v>
      </c>
      <c r="Z24" s="52">
        <v>0</v>
      </c>
      <c r="AA24" s="83">
        <v>24</v>
      </c>
      <c r="AB24" s="83"/>
      <c r="AC24" s="93"/>
      <c r="AD24" s="86" t="s">
        <v>331</v>
      </c>
      <c r="AE24" s="86" t="s">
        <v>419</v>
      </c>
      <c r="AF24" s="86" t="s">
        <v>492</v>
      </c>
      <c r="AG24" s="86" t="s">
        <v>565</v>
      </c>
      <c r="AH24" s="86" t="s">
        <v>622</v>
      </c>
      <c r="AI24" s="86">
        <v>53486</v>
      </c>
      <c r="AJ24" s="86">
        <v>174</v>
      </c>
      <c r="AK24" s="86">
        <v>2730</v>
      </c>
      <c r="AL24" s="86">
        <v>69</v>
      </c>
      <c r="AM24" s="86" t="s">
        <v>699</v>
      </c>
      <c r="AN24" s="111" t="str">
        <f>HYPERLINK("https://www.youtube.com/watch?v=r4n5bjMRXaA")</f>
        <v>https://www.youtube.com/watch?v=r4n5bjMRXaA</v>
      </c>
      <c r="AO24" s="86" t="str">
        <f>REPLACE(INDEX(GroupVertices[Group],MATCH(Vertices[[#This Row],[Vertex]],GroupVertices[Vertex],0)),1,1,"")</f>
        <v>1</v>
      </c>
      <c r="AP24" s="51">
        <v>1</v>
      </c>
      <c r="AQ24" s="52">
        <v>7.6923076923076925</v>
      </c>
      <c r="AR24" s="51">
        <v>0</v>
      </c>
      <c r="AS24" s="52">
        <v>0</v>
      </c>
      <c r="AT24" s="51">
        <v>0</v>
      </c>
      <c r="AU24" s="52">
        <v>0</v>
      </c>
      <c r="AV24" s="51">
        <v>12</v>
      </c>
      <c r="AW24" s="52">
        <v>92.3076923076923</v>
      </c>
      <c r="AX24" s="51">
        <v>13</v>
      </c>
      <c r="AY24" s="51"/>
      <c r="AZ24" s="51"/>
      <c r="BA24" s="51"/>
      <c r="BB24" s="51"/>
      <c r="BC24" s="2"/>
      <c r="BD24" s="3"/>
      <c r="BE24" s="3"/>
      <c r="BF24" s="3"/>
      <c r="BG24" s="3"/>
    </row>
    <row r="25" spans="1:59" ht="15">
      <c r="A25" s="14" t="s">
        <v>281</v>
      </c>
      <c r="B25" s="15"/>
      <c r="C25" s="15"/>
      <c r="D25" s="88">
        <v>80.0727173202653</v>
      </c>
      <c r="E25" s="82"/>
      <c r="F25" s="109" t="str">
        <f>HYPERLINK("https://i.ytimg.com/vi/QrVTvXTeR-g/default.jpg")</f>
        <v>https://i.ytimg.com/vi/QrVTvXTeR-g/default.jpg</v>
      </c>
      <c r="G25" s="15"/>
      <c r="H25" s="16" t="s">
        <v>384</v>
      </c>
      <c r="I25" s="67"/>
      <c r="J25" s="67"/>
      <c r="K25" s="107" t="s">
        <v>384</v>
      </c>
      <c r="L25" s="89">
        <v>9998.737545718299</v>
      </c>
      <c r="M25" s="90">
        <v>2330.398193359375</v>
      </c>
      <c r="N25" s="90">
        <v>683.93896484375</v>
      </c>
      <c r="O25" s="78"/>
      <c r="P25" s="91"/>
      <c r="Q25" s="91"/>
      <c r="R25" s="92"/>
      <c r="S25" s="51">
        <v>1</v>
      </c>
      <c r="T25" s="51">
        <v>0</v>
      </c>
      <c r="U25" s="52">
        <v>0</v>
      </c>
      <c r="V25" s="52">
        <v>0.005525</v>
      </c>
      <c r="W25" s="52">
        <v>0.01087</v>
      </c>
      <c r="X25" s="52">
        <v>0.545586</v>
      </c>
      <c r="Y25" s="52">
        <v>0</v>
      </c>
      <c r="Z25" s="52">
        <v>0</v>
      </c>
      <c r="AA25" s="83">
        <v>25</v>
      </c>
      <c r="AB25" s="83"/>
      <c r="AC25" s="93"/>
      <c r="AD25" s="86" t="s">
        <v>384</v>
      </c>
      <c r="AE25" s="86"/>
      <c r="AF25" s="86"/>
      <c r="AG25" s="86" t="s">
        <v>597</v>
      </c>
      <c r="AH25" s="86" t="s">
        <v>676</v>
      </c>
      <c r="AI25" s="86">
        <v>187</v>
      </c>
      <c r="AJ25" s="86">
        <v>0</v>
      </c>
      <c r="AK25" s="86">
        <v>7</v>
      </c>
      <c r="AL25" s="86">
        <v>2</v>
      </c>
      <c r="AM25" s="86" t="s">
        <v>699</v>
      </c>
      <c r="AN25" s="111" t="str">
        <f>HYPERLINK("https://www.youtube.com/watch?v=QrVTvXTeR-g")</f>
        <v>https://www.youtube.com/watch?v=QrVTvXTeR-g</v>
      </c>
      <c r="AO25" s="86" t="str">
        <f>REPLACE(INDEX(GroupVertices[Group],MATCH(Vertices[[#This Row],[Vertex]],GroupVertices[Vertex],0)),1,1,"")</f>
        <v>1</v>
      </c>
      <c r="AP25" s="51"/>
      <c r="AQ25" s="52"/>
      <c r="AR25" s="51"/>
      <c r="AS25" s="52"/>
      <c r="AT25" s="51"/>
      <c r="AU25" s="52"/>
      <c r="AV25" s="51"/>
      <c r="AW25" s="52"/>
      <c r="AX25" s="51"/>
      <c r="AY25" s="51"/>
      <c r="AZ25" s="51"/>
      <c r="BA25" s="51"/>
      <c r="BB25" s="51"/>
      <c r="BC25" s="2"/>
      <c r="BD25" s="3"/>
      <c r="BE25" s="3"/>
      <c r="BF25" s="3"/>
      <c r="BG25" s="3"/>
    </row>
    <row r="26" spans="1:59" ht="15">
      <c r="A26" s="14" t="s">
        <v>288</v>
      </c>
      <c r="B26" s="15"/>
      <c r="C26" s="15"/>
      <c r="D26" s="88">
        <v>379.12758091040575</v>
      </c>
      <c r="E26" s="82"/>
      <c r="F26" s="109" t="str">
        <f>HYPERLINK("https://i.ytimg.com/vi/9CBReIcgQYw/default.jpg")</f>
        <v>https://i.ytimg.com/vi/9CBReIcgQYw/default.jpg</v>
      </c>
      <c r="G26" s="15"/>
      <c r="H26" s="16" t="s">
        <v>391</v>
      </c>
      <c r="I26" s="67"/>
      <c r="J26" s="67"/>
      <c r="K26" s="107" t="s">
        <v>391</v>
      </c>
      <c r="L26" s="89">
        <v>8919.37668469605</v>
      </c>
      <c r="M26" s="90">
        <v>7668.60205078125</v>
      </c>
      <c r="N26" s="90">
        <v>7157.2802734375</v>
      </c>
      <c r="O26" s="78"/>
      <c r="P26" s="91"/>
      <c r="Q26" s="91"/>
      <c r="R26" s="92"/>
      <c r="S26" s="51">
        <v>1</v>
      </c>
      <c r="T26" s="51">
        <v>0</v>
      </c>
      <c r="U26" s="52">
        <v>0</v>
      </c>
      <c r="V26" s="52">
        <v>0.005525</v>
      </c>
      <c r="W26" s="52">
        <v>0.01087</v>
      </c>
      <c r="X26" s="52">
        <v>0.545586</v>
      </c>
      <c r="Y26" s="52">
        <v>0</v>
      </c>
      <c r="Z26" s="52">
        <v>0</v>
      </c>
      <c r="AA26" s="83">
        <v>26</v>
      </c>
      <c r="AB26" s="83"/>
      <c r="AC26" s="93"/>
      <c r="AD26" s="86" t="s">
        <v>391</v>
      </c>
      <c r="AE26" s="86" t="s">
        <v>431</v>
      </c>
      <c r="AF26" s="86"/>
      <c r="AG26" s="86" t="s">
        <v>573</v>
      </c>
      <c r="AH26" s="86" t="s">
        <v>683</v>
      </c>
      <c r="AI26" s="86">
        <v>275729</v>
      </c>
      <c r="AJ26" s="86">
        <v>5211</v>
      </c>
      <c r="AK26" s="86">
        <v>24553</v>
      </c>
      <c r="AL26" s="86">
        <v>1782</v>
      </c>
      <c r="AM26" s="86" t="s">
        <v>699</v>
      </c>
      <c r="AN26" s="111" t="str">
        <f>HYPERLINK("https://www.youtube.com/watch?v=9CBReIcgQYw")</f>
        <v>https://www.youtube.com/watch?v=9CBReIcgQYw</v>
      </c>
      <c r="AO26" s="86" t="str">
        <f>REPLACE(INDEX(GroupVertices[Group],MATCH(Vertices[[#This Row],[Vertex]],GroupVertices[Vertex],0)),1,1,"")</f>
        <v>1</v>
      </c>
      <c r="AP26" s="51"/>
      <c r="AQ26" s="52"/>
      <c r="AR26" s="51"/>
      <c r="AS26" s="52"/>
      <c r="AT26" s="51"/>
      <c r="AU26" s="52"/>
      <c r="AV26" s="51"/>
      <c r="AW26" s="52"/>
      <c r="AX26" s="51"/>
      <c r="AY26" s="51"/>
      <c r="AZ26" s="51"/>
      <c r="BA26" s="51"/>
      <c r="BB26" s="51"/>
      <c r="BC26" s="2"/>
      <c r="BD26" s="3"/>
      <c r="BE26" s="3"/>
      <c r="BF26" s="3"/>
      <c r="BG26" s="3"/>
    </row>
    <row r="27" spans="1:59" ht="15">
      <c r="A27" s="14" t="s">
        <v>249</v>
      </c>
      <c r="B27" s="15"/>
      <c r="C27" s="15"/>
      <c r="D27" s="88">
        <v>302.2632027237143</v>
      </c>
      <c r="E27" s="82"/>
      <c r="F27" s="109" t="str">
        <f>HYPERLINK("https://i.ytimg.com/vi/YZKW5sbHHlA/default.jpg")</f>
        <v>https://i.ytimg.com/vi/YZKW5sbHHlA/default.jpg</v>
      </c>
      <c r="G27" s="15"/>
      <c r="H27" s="16" t="s">
        <v>352</v>
      </c>
      <c r="I27" s="67"/>
      <c r="J27" s="67"/>
      <c r="K27" s="107" t="s">
        <v>352</v>
      </c>
      <c r="L27" s="89">
        <v>9196.798694910307</v>
      </c>
      <c r="M27" s="90">
        <v>3220.0986328125</v>
      </c>
      <c r="N27" s="90">
        <v>6078.39013671875</v>
      </c>
      <c r="O27" s="78"/>
      <c r="P27" s="91"/>
      <c r="Q27" s="91"/>
      <c r="R27" s="92"/>
      <c r="S27" s="51">
        <v>1</v>
      </c>
      <c r="T27" s="51">
        <v>0</v>
      </c>
      <c r="U27" s="52">
        <v>0</v>
      </c>
      <c r="V27" s="52">
        <v>0.005525</v>
      </c>
      <c r="W27" s="52">
        <v>0.01087</v>
      </c>
      <c r="X27" s="52">
        <v>0.545586</v>
      </c>
      <c r="Y27" s="52">
        <v>0</v>
      </c>
      <c r="Z27" s="52">
        <v>0</v>
      </c>
      <c r="AA27" s="83">
        <v>27</v>
      </c>
      <c r="AB27" s="83"/>
      <c r="AC27" s="93"/>
      <c r="AD27" s="86" t="s">
        <v>352</v>
      </c>
      <c r="AE27" s="86" t="s">
        <v>431</v>
      </c>
      <c r="AF27" s="86"/>
      <c r="AG27" s="86" t="s">
        <v>573</v>
      </c>
      <c r="AH27" s="86" t="s">
        <v>644</v>
      </c>
      <c r="AI27" s="86">
        <v>204908</v>
      </c>
      <c r="AJ27" s="86">
        <v>1213</v>
      </c>
      <c r="AK27" s="86">
        <v>9970</v>
      </c>
      <c r="AL27" s="86">
        <v>623</v>
      </c>
      <c r="AM27" s="86" t="s">
        <v>699</v>
      </c>
      <c r="AN27" s="111" t="str">
        <f>HYPERLINK("https://www.youtube.com/watch?v=YZKW5sbHHlA")</f>
        <v>https://www.youtube.com/watch?v=YZKW5sbHHlA</v>
      </c>
      <c r="AO27" s="86" t="str">
        <f>REPLACE(INDEX(GroupVertices[Group],MATCH(Vertices[[#This Row],[Vertex]],GroupVertices[Vertex],0)),1,1,"")</f>
        <v>1</v>
      </c>
      <c r="AP27" s="51"/>
      <c r="AQ27" s="52"/>
      <c r="AR27" s="51"/>
      <c r="AS27" s="52"/>
      <c r="AT27" s="51"/>
      <c r="AU27" s="52"/>
      <c r="AV27" s="51"/>
      <c r="AW27" s="52"/>
      <c r="AX27" s="51"/>
      <c r="AY27" s="51"/>
      <c r="AZ27" s="51"/>
      <c r="BA27" s="51"/>
      <c r="BB27" s="51"/>
      <c r="BC27" s="2"/>
      <c r="BD27" s="3"/>
      <c r="BE27" s="3"/>
      <c r="BF27" s="3"/>
      <c r="BG27" s="3"/>
    </row>
    <row r="28" spans="1:59" ht="15">
      <c r="A28" s="14" t="s">
        <v>278</v>
      </c>
      <c r="B28" s="15"/>
      <c r="C28" s="15"/>
      <c r="D28" s="88">
        <v>422.08289585756654</v>
      </c>
      <c r="E28" s="82"/>
      <c r="F28" s="109" t="str">
        <f>HYPERLINK("https://i.ytimg.com/vi/Ibhqs9F6dzo/default.jpg")</f>
        <v>https://i.ytimg.com/vi/Ibhqs9F6dzo/default.jpg</v>
      </c>
      <c r="G28" s="15"/>
      <c r="H28" s="16" t="s">
        <v>381</v>
      </c>
      <c r="I28" s="67"/>
      <c r="J28" s="67"/>
      <c r="K28" s="107" t="s">
        <v>381</v>
      </c>
      <c r="L28" s="89">
        <v>8764.340631544304</v>
      </c>
      <c r="M28" s="90">
        <v>4109.79931640625</v>
      </c>
      <c r="N28" s="90">
        <v>7157.2802734375</v>
      </c>
      <c r="O28" s="78"/>
      <c r="P28" s="91"/>
      <c r="Q28" s="91"/>
      <c r="R28" s="92"/>
      <c r="S28" s="51">
        <v>1</v>
      </c>
      <c r="T28" s="51">
        <v>0</v>
      </c>
      <c r="U28" s="52">
        <v>0</v>
      </c>
      <c r="V28" s="52">
        <v>0.005525</v>
      </c>
      <c r="W28" s="52">
        <v>0.01087</v>
      </c>
      <c r="X28" s="52">
        <v>0.545586</v>
      </c>
      <c r="Y28" s="52">
        <v>0</v>
      </c>
      <c r="Z28" s="52">
        <v>0</v>
      </c>
      <c r="AA28" s="83">
        <v>28</v>
      </c>
      <c r="AB28" s="83"/>
      <c r="AC28" s="93"/>
      <c r="AD28" s="86" t="s">
        <v>381</v>
      </c>
      <c r="AE28" s="86" t="s">
        <v>459</v>
      </c>
      <c r="AF28" s="86" t="s">
        <v>531</v>
      </c>
      <c r="AG28" s="86" t="s">
        <v>594</v>
      </c>
      <c r="AH28" s="86" t="s">
        <v>673</v>
      </c>
      <c r="AI28" s="86">
        <v>315307</v>
      </c>
      <c r="AJ28" s="86">
        <v>3299</v>
      </c>
      <c r="AK28" s="86">
        <v>4406</v>
      </c>
      <c r="AL28" s="86">
        <v>1636</v>
      </c>
      <c r="AM28" s="86" t="s">
        <v>699</v>
      </c>
      <c r="AN28" s="111" t="str">
        <f>HYPERLINK("https://www.youtube.com/watch?v=Ibhqs9F6dzo")</f>
        <v>https://www.youtube.com/watch?v=Ibhqs9F6dzo</v>
      </c>
      <c r="AO28" s="86" t="str">
        <f>REPLACE(INDEX(GroupVertices[Group],MATCH(Vertices[[#This Row],[Vertex]],GroupVertices[Vertex],0)),1,1,"")</f>
        <v>1</v>
      </c>
      <c r="AP28" s="51">
        <v>0</v>
      </c>
      <c r="AQ28" s="52">
        <v>0</v>
      </c>
      <c r="AR28" s="51">
        <v>2</v>
      </c>
      <c r="AS28" s="52">
        <v>4.081632653061225</v>
      </c>
      <c r="AT28" s="51">
        <v>0</v>
      </c>
      <c r="AU28" s="52">
        <v>0</v>
      </c>
      <c r="AV28" s="51">
        <v>47</v>
      </c>
      <c r="AW28" s="52">
        <v>95.91836734693878</v>
      </c>
      <c r="AX28" s="51">
        <v>49</v>
      </c>
      <c r="AY28" s="51"/>
      <c r="AZ28" s="51"/>
      <c r="BA28" s="51"/>
      <c r="BB28" s="51"/>
      <c r="BC28" s="2"/>
      <c r="BD28" s="3"/>
      <c r="BE28" s="3"/>
      <c r="BF28" s="3"/>
      <c r="BG28" s="3"/>
    </row>
    <row r="29" spans="1:59" ht="15">
      <c r="A29" s="14" t="s">
        <v>216</v>
      </c>
      <c r="B29" s="15"/>
      <c r="C29" s="15"/>
      <c r="D29" s="88">
        <v>598.8543600899411</v>
      </c>
      <c r="E29" s="82"/>
      <c r="F29" s="109" t="str">
        <f>HYPERLINK("https://i.ytimg.com/vi/oq3C4gzQZd0/default.jpg")</f>
        <v>https://i.ytimg.com/vi/oq3C4gzQZd0/default.jpg</v>
      </c>
      <c r="G29" s="15"/>
      <c r="H29" s="16" t="s">
        <v>320</v>
      </c>
      <c r="I29" s="67"/>
      <c r="J29" s="67"/>
      <c r="K29" s="107" t="s">
        <v>320</v>
      </c>
      <c r="L29" s="89">
        <v>8126.329941641216</v>
      </c>
      <c r="M29" s="90">
        <v>8558.302734375</v>
      </c>
      <c r="N29" s="90">
        <v>8236.1708984375</v>
      </c>
      <c r="O29" s="78"/>
      <c r="P29" s="91"/>
      <c r="Q29" s="91"/>
      <c r="R29" s="92"/>
      <c r="S29" s="51">
        <v>1</v>
      </c>
      <c r="T29" s="51">
        <v>0</v>
      </c>
      <c r="U29" s="52">
        <v>0</v>
      </c>
      <c r="V29" s="52">
        <v>0.005525</v>
      </c>
      <c r="W29" s="52">
        <v>0.01087</v>
      </c>
      <c r="X29" s="52">
        <v>0.545586</v>
      </c>
      <c r="Y29" s="52">
        <v>0</v>
      </c>
      <c r="Z29" s="52">
        <v>0</v>
      </c>
      <c r="AA29" s="83">
        <v>29</v>
      </c>
      <c r="AB29" s="83"/>
      <c r="AC29" s="93"/>
      <c r="AD29" s="86" t="s">
        <v>320</v>
      </c>
      <c r="AE29" s="86" t="s">
        <v>410</v>
      </c>
      <c r="AF29" s="86" t="s">
        <v>484</v>
      </c>
      <c r="AG29" s="86" t="s">
        <v>556</v>
      </c>
      <c r="AH29" s="86" t="s">
        <v>611</v>
      </c>
      <c r="AI29" s="86">
        <v>478180</v>
      </c>
      <c r="AJ29" s="86">
        <v>3055</v>
      </c>
      <c r="AK29" s="86">
        <v>63829</v>
      </c>
      <c r="AL29" s="86">
        <v>1025</v>
      </c>
      <c r="AM29" s="86" t="s">
        <v>699</v>
      </c>
      <c r="AN29" s="111" t="str">
        <f>HYPERLINK("https://www.youtube.com/watch?v=oq3C4gzQZd0")</f>
        <v>https://www.youtube.com/watch?v=oq3C4gzQZd0</v>
      </c>
      <c r="AO29" s="86" t="str">
        <f>REPLACE(INDEX(GroupVertices[Group],MATCH(Vertices[[#This Row],[Vertex]],GroupVertices[Vertex],0)),1,1,"")</f>
        <v>1</v>
      </c>
      <c r="AP29" s="51">
        <v>6</v>
      </c>
      <c r="AQ29" s="52">
        <v>7.407407407407407</v>
      </c>
      <c r="AR29" s="51">
        <v>4</v>
      </c>
      <c r="AS29" s="52">
        <v>4.938271604938271</v>
      </c>
      <c r="AT29" s="51">
        <v>0</v>
      </c>
      <c r="AU29" s="52">
        <v>0</v>
      </c>
      <c r="AV29" s="51">
        <v>71</v>
      </c>
      <c r="AW29" s="52">
        <v>87.65432098765432</v>
      </c>
      <c r="AX29" s="51">
        <v>81</v>
      </c>
      <c r="AY29" s="51"/>
      <c r="AZ29" s="51"/>
      <c r="BA29" s="51"/>
      <c r="BB29" s="51"/>
      <c r="BC29" s="2"/>
      <c r="BD29" s="3"/>
      <c r="BE29" s="3"/>
      <c r="BF29" s="3"/>
      <c r="BG29" s="3"/>
    </row>
    <row r="30" spans="1:59" ht="15">
      <c r="A30" s="14" t="s">
        <v>301</v>
      </c>
      <c r="B30" s="15"/>
      <c r="C30" s="15"/>
      <c r="D30" s="88">
        <v>737.8529751104799</v>
      </c>
      <c r="E30" s="82"/>
      <c r="F30" s="109" t="str">
        <f>HYPERLINK("https://i.ytimg.com/vi/DBbpJJiBCFs/default.jpg")</f>
        <v>https://i.ytimg.com/vi/DBbpJJiBCFs/default.jpg</v>
      </c>
      <c r="G30" s="15"/>
      <c r="H30" s="16" t="s">
        <v>404</v>
      </c>
      <c r="I30" s="67"/>
      <c r="J30" s="67"/>
      <c r="K30" s="107" t="s">
        <v>404</v>
      </c>
      <c r="L30" s="89">
        <v>7624.650540783563</v>
      </c>
      <c r="M30" s="90">
        <v>6778.9013671875</v>
      </c>
      <c r="N30" s="90">
        <v>8236.1708984375</v>
      </c>
      <c r="O30" s="78"/>
      <c r="P30" s="91"/>
      <c r="Q30" s="91"/>
      <c r="R30" s="92"/>
      <c r="S30" s="51">
        <v>1</v>
      </c>
      <c r="T30" s="51">
        <v>0</v>
      </c>
      <c r="U30" s="52">
        <v>0</v>
      </c>
      <c r="V30" s="52">
        <v>0.005525</v>
      </c>
      <c r="W30" s="52">
        <v>0.01087</v>
      </c>
      <c r="X30" s="52">
        <v>0.545586</v>
      </c>
      <c r="Y30" s="52">
        <v>0</v>
      </c>
      <c r="Z30" s="52">
        <v>0</v>
      </c>
      <c r="AA30" s="83">
        <v>30</v>
      </c>
      <c r="AB30" s="83"/>
      <c r="AC30" s="93"/>
      <c r="AD30" s="86" t="s">
        <v>404</v>
      </c>
      <c r="AE30" s="86" t="s">
        <v>480</v>
      </c>
      <c r="AF30" s="86" t="s">
        <v>550</v>
      </c>
      <c r="AG30" s="86" t="s">
        <v>605</v>
      </c>
      <c r="AH30" s="86" t="s">
        <v>696</v>
      </c>
      <c r="AI30" s="86">
        <v>606250</v>
      </c>
      <c r="AJ30" s="86">
        <v>4764</v>
      </c>
      <c r="AK30" s="86">
        <v>22418</v>
      </c>
      <c r="AL30" s="86">
        <v>1682</v>
      </c>
      <c r="AM30" s="86" t="s">
        <v>699</v>
      </c>
      <c r="AN30" s="111" t="str">
        <f>HYPERLINK("https://www.youtube.com/watch?v=DBbpJJiBCFs")</f>
        <v>https://www.youtube.com/watch?v=DBbpJJiBCFs</v>
      </c>
      <c r="AO30" s="86" t="str">
        <f>REPLACE(INDEX(GroupVertices[Group],MATCH(Vertices[[#This Row],[Vertex]],GroupVertices[Vertex],0)),1,1,"")</f>
        <v>1</v>
      </c>
      <c r="AP30" s="51">
        <v>2</v>
      </c>
      <c r="AQ30" s="52">
        <v>3.0303030303030303</v>
      </c>
      <c r="AR30" s="51">
        <v>0</v>
      </c>
      <c r="AS30" s="52">
        <v>0</v>
      </c>
      <c r="AT30" s="51">
        <v>0</v>
      </c>
      <c r="AU30" s="52">
        <v>0</v>
      </c>
      <c r="AV30" s="51">
        <v>64</v>
      </c>
      <c r="AW30" s="52">
        <v>96.96969696969697</v>
      </c>
      <c r="AX30" s="51">
        <v>66</v>
      </c>
      <c r="AY30" s="51"/>
      <c r="AZ30" s="51"/>
      <c r="BA30" s="51"/>
      <c r="BB30" s="51"/>
      <c r="BC30" s="2"/>
      <c r="BD30" s="3"/>
      <c r="BE30" s="3"/>
      <c r="BF30" s="3"/>
      <c r="BG30" s="3"/>
    </row>
    <row r="31" spans="1:59" ht="15">
      <c r="A31" s="14" t="s">
        <v>286</v>
      </c>
      <c r="B31" s="15"/>
      <c r="C31" s="15"/>
      <c r="D31" s="88">
        <v>1000</v>
      </c>
      <c r="E31" s="82"/>
      <c r="F31" s="109" t="str">
        <f>HYPERLINK("https://i.ytimg.com/vi/JdiqyKm0UwU/default.jpg")</f>
        <v>https://i.ytimg.com/vi/JdiqyKm0UwU/default.jpg</v>
      </c>
      <c r="G31" s="15"/>
      <c r="H31" s="16" t="s">
        <v>389</v>
      </c>
      <c r="I31" s="67"/>
      <c r="J31" s="67"/>
      <c r="K31" s="107" t="s">
        <v>389</v>
      </c>
      <c r="L31" s="89">
        <v>2102.796563511949</v>
      </c>
      <c r="M31" s="90">
        <v>2330.398193359375</v>
      </c>
      <c r="N31" s="90">
        <v>9315.060546875</v>
      </c>
      <c r="O31" s="78"/>
      <c r="P31" s="91"/>
      <c r="Q31" s="91"/>
      <c r="R31" s="92"/>
      <c r="S31" s="51">
        <v>1</v>
      </c>
      <c r="T31" s="51">
        <v>0</v>
      </c>
      <c r="U31" s="52">
        <v>0</v>
      </c>
      <c r="V31" s="52">
        <v>0.005525</v>
      </c>
      <c r="W31" s="52">
        <v>0.01087</v>
      </c>
      <c r="X31" s="52">
        <v>0.545586</v>
      </c>
      <c r="Y31" s="52">
        <v>0</v>
      </c>
      <c r="Z31" s="52">
        <v>0</v>
      </c>
      <c r="AA31" s="83">
        <v>31</v>
      </c>
      <c r="AB31" s="83"/>
      <c r="AC31" s="93"/>
      <c r="AD31" s="86" t="s">
        <v>389</v>
      </c>
      <c r="AE31" s="86" t="s">
        <v>466</v>
      </c>
      <c r="AF31" s="86" t="s">
        <v>537</v>
      </c>
      <c r="AG31" s="86" t="s">
        <v>600</v>
      </c>
      <c r="AH31" s="86" t="s">
        <v>681</v>
      </c>
      <c r="AI31" s="86">
        <v>2015883</v>
      </c>
      <c r="AJ31" s="86">
        <v>27694</v>
      </c>
      <c r="AK31" s="86">
        <v>54401</v>
      </c>
      <c r="AL31" s="86">
        <v>5782</v>
      </c>
      <c r="AM31" s="86" t="s">
        <v>699</v>
      </c>
      <c r="AN31" s="111" t="str">
        <f>HYPERLINK("https://www.youtube.com/watch?v=JdiqyKm0UwU")</f>
        <v>https://www.youtube.com/watch?v=JdiqyKm0UwU</v>
      </c>
      <c r="AO31" s="86" t="str">
        <f>REPLACE(INDEX(GroupVertices[Group],MATCH(Vertices[[#This Row],[Vertex]],GroupVertices[Vertex],0)),1,1,"")</f>
        <v>1</v>
      </c>
      <c r="AP31" s="51">
        <v>0</v>
      </c>
      <c r="AQ31" s="52">
        <v>0</v>
      </c>
      <c r="AR31" s="51">
        <v>1</v>
      </c>
      <c r="AS31" s="52">
        <v>1.2820512820512822</v>
      </c>
      <c r="AT31" s="51">
        <v>0</v>
      </c>
      <c r="AU31" s="52">
        <v>0</v>
      </c>
      <c r="AV31" s="51">
        <v>77</v>
      </c>
      <c r="AW31" s="52">
        <v>98.71794871794872</v>
      </c>
      <c r="AX31" s="51">
        <v>78</v>
      </c>
      <c r="AY31" s="51"/>
      <c r="AZ31" s="51"/>
      <c r="BA31" s="51"/>
      <c r="BB31" s="51"/>
      <c r="BC31" s="2"/>
      <c r="BD31" s="3"/>
      <c r="BE31" s="3"/>
      <c r="BF31" s="3"/>
      <c r="BG31" s="3"/>
    </row>
    <row r="32" spans="1:59" ht="15">
      <c r="A32" s="14" t="s">
        <v>300</v>
      </c>
      <c r="B32" s="15"/>
      <c r="C32" s="15"/>
      <c r="D32" s="88">
        <v>860.8961076650473</v>
      </c>
      <c r="E32" s="82"/>
      <c r="F32" s="109" t="str">
        <f>HYPERLINK("https://i.ytimg.com/vi/UuHZ3xZf7To/default.jpg")</f>
        <v>https://i.ytimg.com/vi/UuHZ3xZf7To/default.jpg</v>
      </c>
      <c r="G32" s="15"/>
      <c r="H32" s="16" t="s">
        <v>403</v>
      </c>
      <c r="I32" s="67"/>
      <c r="J32" s="67"/>
      <c r="K32" s="107" t="s">
        <v>403</v>
      </c>
      <c r="L32" s="89">
        <v>7180.558310004839</v>
      </c>
      <c r="M32" s="90">
        <v>5889.20068359375</v>
      </c>
      <c r="N32" s="90">
        <v>8236.1708984375</v>
      </c>
      <c r="O32" s="78"/>
      <c r="P32" s="91"/>
      <c r="Q32" s="91"/>
      <c r="R32" s="92"/>
      <c r="S32" s="51">
        <v>1</v>
      </c>
      <c r="T32" s="51">
        <v>0</v>
      </c>
      <c r="U32" s="52">
        <v>0</v>
      </c>
      <c r="V32" s="52">
        <v>0.005525</v>
      </c>
      <c r="W32" s="52">
        <v>0.01087</v>
      </c>
      <c r="X32" s="52">
        <v>0.545586</v>
      </c>
      <c r="Y32" s="52">
        <v>0</v>
      </c>
      <c r="Z32" s="52">
        <v>0</v>
      </c>
      <c r="AA32" s="83">
        <v>32</v>
      </c>
      <c r="AB32" s="83"/>
      <c r="AC32" s="93"/>
      <c r="AD32" s="86" t="s">
        <v>403</v>
      </c>
      <c r="AE32" s="86" t="s">
        <v>479</v>
      </c>
      <c r="AF32" s="86" t="s">
        <v>549</v>
      </c>
      <c r="AG32" s="86" t="s">
        <v>600</v>
      </c>
      <c r="AH32" s="86" t="s">
        <v>695</v>
      </c>
      <c r="AI32" s="86">
        <v>719619</v>
      </c>
      <c r="AJ32" s="86">
        <v>3867</v>
      </c>
      <c r="AK32" s="86">
        <v>16727</v>
      </c>
      <c r="AL32" s="86">
        <v>1371</v>
      </c>
      <c r="AM32" s="86" t="s">
        <v>699</v>
      </c>
      <c r="AN32" s="111" t="str">
        <f>HYPERLINK("https://www.youtube.com/watch?v=UuHZ3xZf7To")</f>
        <v>https://www.youtube.com/watch?v=UuHZ3xZf7To</v>
      </c>
      <c r="AO32" s="86" t="str">
        <f>REPLACE(INDEX(GroupVertices[Group],MATCH(Vertices[[#This Row],[Vertex]],GroupVertices[Vertex],0)),1,1,"")</f>
        <v>1</v>
      </c>
      <c r="AP32" s="51">
        <v>1</v>
      </c>
      <c r="AQ32" s="52">
        <v>1.4285714285714286</v>
      </c>
      <c r="AR32" s="51">
        <v>0</v>
      </c>
      <c r="AS32" s="52">
        <v>0</v>
      </c>
      <c r="AT32" s="51">
        <v>0</v>
      </c>
      <c r="AU32" s="52">
        <v>0</v>
      </c>
      <c r="AV32" s="51">
        <v>69</v>
      </c>
      <c r="AW32" s="52">
        <v>98.57142857142857</v>
      </c>
      <c r="AX32" s="51">
        <v>70</v>
      </c>
      <c r="AY32" s="51"/>
      <c r="AZ32" s="51"/>
      <c r="BA32" s="51"/>
      <c r="BB32" s="51"/>
      <c r="BC32" s="2"/>
      <c r="BD32" s="3"/>
      <c r="BE32" s="3"/>
      <c r="BF32" s="3"/>
      <c r="BG32" s="3"/>
    </row>
    <row r="33" spans="1:59" ht="15">
      <c r="A33" s="14" t="s">
        <v>285</v>
      </c>
      <c r="B33" s="15"/>
      <c r="C33" s="15"/>
      <c r="D33" s="88">
        <v>468.2725035568254</v>
      </c>
      <c r="E33" s="82"/>
      <c r="F33" s="109" t="str">
        <f>HYPERLINK("https://i.ytimg.com/vi/0dLcxOD4QdI/default.jpg")</f>
        <v>https://i.ytimg.com/vi/0dLcxOD4QdI/default.jpg</v>
      </c>
      <c r="G33" s="15"/>
      <c r="H33" s="16" t="s">
        <v>388</v>
      </c>
      <c r="I33" s="67"/>
      <c r="J33" s="67"/>
      <c r="K33" s="107" t="s">
        <v>388</v>
      </c>
      <c r="L33" s="89">
        <v>8597.631238698985</v>
      </c>
      <c r="M33" s="90">
        <v>3220.0986328125</v>
      </c>
      <c r="N33" s="90">
        <v>7157.2802734375</v>
      </c>
      <c r="O33" s="78"/>
      <c r="P33" s="91"/>
      <c r="Q33" s="91"/>
      <c r="R33" s="92"/>
      <c r="S33" s="51">
        <v>1</v>
      </c>
      <c r="T33" s="51">
        <v>0</v>
      </c>
      <c r="U33" s="52">
        <v>0</v>
      </c>
      <c r="V33" s="52">
        <v>0.005525</v>
      </c>
      <c r="W33" s="52">
        <v>0.01087</v>
      </c>
      <c r="X33" s="52">
        <v>0.545586</v>
      </c>
      <c r="Y33" s="52">
        <v>0</v>
      </c>
      <c r="Z33" s="52">
        <v>0</v>
      </c>
      <c r="AA33" s="83">
        <v>33</v>
      </c>
      <c r="AB33" s="83"/>
      <c r="AC33" s="93"/>
      <c r="AD33" s="86" t="s">
        <v>388</v>
      </c>
      <c r="AE33" s="86" t="s">
        <v>465</v>
      </c>
      <c r="AF33" s="86" t="s">
        <v>536</v>
      </c>
      <c r="AG33" s="86" t="s">
        <v>600</v>
      </c>
      <c r="AH33" s="86" t="s">
        <v>680</v>
      </c>
      <c r="AI33" s="86">
        <v>357865</v>
      </c>
      <c r="AJ33" s="86">
        <v>3971</v>
      </c>
      <c r="AK33" s="86">
        <v>9971</v>
      </c>
      <c r="AL33" s="86">
        <v>576</v>
      </c>
      <c r="AM33" s="86" t="s">
        <v>699</v>
      </c>
      <c r="AN33" s="111" t="str">
        <f>HYPERLINK("https://www.youtube.com/watch?v=0dLcxOD4QdI")</f>
        <v>https://www.youtube.com/watch?v=0dLcxOD4QdI</v>
      </c>
      <c r="AO33" s="86" t="str">
        <f>REPLACE(INDEX(GroupVertices[Group],MATCH(Vertices[[#This Row],[Vertex]],GroupVertices[Vertex],0)),1,1,"")</f>
        <v>1</v>
      </c>
      <c r="AP33" s="51">
        <v>1</v>
      </c>
      <c r="AQ33" s="52">
        <v>1.4705882352941178</v>
      </c>
      <c r="AR33" s="51">
        <v>0</v>
      </c>
      <c r="AS33" s="52">
        <v>0</v>
      </c>
      <c r="AT33" s="51">
        <v>0</v>
      </c>
      <c r="AU33" s="52">
        <v>0</v>
      </c>
      <c r="AV33" s="51">
        <v>67</v>
      </c>
      <c r="AW33" s="52">
        <v>98.52941176470588</v>
      </c>
      <c r="AX33" s="51">
        <v>68</v>
      </c>
      <c r="AY33" s="51"/>
      <c r="AZ33" s="51"/>
      <c r="BA33" s="51"/>
      <c r="BB33" s="51"/>
      <c r="BC33" s="2"/>
      <c r="BD33" s="3"/>
      <c r="BE33" s="3"/>
      <c r="BF33" s="3"/>
      <c r="BG33" s="3"/>
    </row>
    <row r="34" spans="1:59" ht="15">
      <c r="A34" s="14" t="s">
        <v>270</v>
      </c>
      <c r="B34" s="15"/>
      <c r="C34" s="15"/>
      <c r="D34" s="88">
        <v>134.9525874577959</v>
      </c>
      <c r="E34" s="82"/>
      <c r="F34" s="109" t="str">
        <f>HYPERLINK("https://i.ytimg.com/vi/nPp8_-zCm8U/default.jpg")</f>
        <v>https://i.ytimg.com/vi/nPp8_-zCm8U/default.jpg</v>
      </c>
      <c r="G34" s="15"/>
      <c r="H34" s="16" t="s">
        <v>373</v>
      </c>
      <c r="I34" s="67"/>
      <c r="J34" s="67"/>
      <c r="K34" s="107" t="s">
        <v>373</v>
      </c>
      <c r="L34" s="89">
        <v>9800.662907595653</v>
      </c>
      <c r="M34" s="90">
        <v>1440.6976318359375</v>
      </c>
      <c r="N34" s="90">
        <v>3920.60986328125</v>
      </c>
      <c r="O34" s="78"/>
      <c r="P34" s="91"/>
      <c r="Q34" s="91"/>
      <c r="R34" s="92"/>
      <c r="S34" s="51">
        <v>1</v>
      </c>
      <c r="T34" s="51">
        <v>0</v>
      </c>
      <c r="U34" s="52">
        <v>0</v>
      </c>
      <c r="V34" s="52">
        <v>0.005525</v>
      </c>
      <c r="W34" s="52">
        <v>0.01087</v>
      </c>
      <c r="X34" s="52">
        <v>0.545586</v>
      </c>
      <c r="Y34" s="52">
        <v>0</v>
      </c>
      <c r="Z34" s="52">
        <v>0</v>
      </c>
      <c r="AA34" s="83">
        <v>34</v>
      </c>
      <c r="AB34" s="83"/>
      <c r="AC34" s="93"/>
      <c r="AD34" s="86" t="s">
        <v>373</v>
      </c>
      <c r="AE34" s="86" t="s">
        <v>451</v>
      </c>
      <c r="AF34" s="86"/>
      <c r="AG34" s="86" t="s">
        <v>587</v>
      </c>
      <c r="AH34" s="86" t="s">
        <v>665</v>
      </c>
      <c r="AI34" s="86">
        <v>50752</v>
      </c>
      <c r="AJ34" s="86">
        <v>168</v>
      </c>
      <c r="AK34" s="86">
        <v>1192</v>
      </c>
      <c r="AL34" s="86">
        <v>375</v>
      </c>
      <c r="AM34" s="86" t="s">
        <v>699</v>
      </c>
      <c r="AN34" s="111" t="str">
        <f>HYPERLINK("https://www.youtube.com/watch?v=nPp8_-zCm8U")</f>
        <v>https://www.youtube.com/watch?v=nPp8_-zCm8U</v>
      </c>
      <c r="AO34" s="86" t="str">
        <f>REPLACE(INDEX(GroupVertices[Group],MATCH(Vertices[[#This Row],[Vertex]],GroupVertices[Vertex],0)),1,1,"")</f>
        <v>1</v>
      </c>
      <c r="AP34" s="51"/>
      <c r="AQ34" s="52"/>
      <c r="AR34" s="51"/>
      <c r="AS34" s="52"/>
      <c r="AT34" s="51"/>
      <c r="AU34" s="52"/>
      <c r="AV34" s="51"/>
      <c r="AW34" s="52"/>
      <c r="AX34" s="51"/>
      <c r="AY34" s="51"/>
      <c r="AZ34" s="51"/>
      <c r="BA34" s="51"/>
      <c r="BB34" s="51"/>
      <c r="BC34" s="2"/>
      <c r="BD34" s="3"/>
      <c r="BE34" s="3"/>
      <c r="BF34" s="3"/>
      <c r="BG34" s="3"/>
    </row>
    <row r="35" spans="1:59" ht="15">
      <c r="A35" s="14" t="s">
        <v>287</v>
      </c>
      <c r="B35" s="15"/>
      <c r="C35" s="15"/>
      <c r="D35" s="88">
        <v>163.5858463121088</v>
      </c>
      <c r="E35" s="82"/>
      <c r="F35" s="109" t="str">
        <f>HYPERLINK("https://i.ytimg.com/vi/wiyHk232MPE/default.jpg")</f>
        <v>https://i.ytimg.com/vi/wiyHk232MPE/default.jpg</v>
      </c>
      <c r="G35" s="15"/>
      <c r="H35" s="16" t="s">
        <v>390</v>
      </c>
      <c r="I35" s="67"/>
      <c r="J35" s="67"/>
      <c r="K35" s="107" t="s">
        <v>390</v>
      </c>
      <c r="L35" s="89">
        <v>9697.318596254772</v>
      </c>
      <c r="M35" s="90">
        <v>4999.5</v>
      </c>
      <c r="N35" s="90">
        <v>4999.5</v>
      </c>
      <c r="O35" s="78"/>
      <c r="P35" s="91"/>
      <c r="Q35" s="91"/>
      <c r="R35" s="92"/>
      <c r="S35" s="51">
        <v>1</v>
      </c>
      <c r="T35" s="51">
        <v>0</v>
      </c>
      <c r="U35" s="52">
        <v>0</v>
      </c>
      <c r="V35" s="52">
        <v>0.005525</v>
      </c>
      <c r="W35" s="52">
        <v>0.01087</v>
      </c>
      <c r="X35" s="52">
        <v>0.545586</v>
      </c>
      <c r="Y35" s="52">
        <v>0</v>
      </c>
      <c r="Z35" s="52">
        <v>0</v>
      </c>
      <c r="AA35" s="83">
        <v>35</v>
      </c>
      <c r="AB35" s="83"/>
      <c r="AC35" s="93"/>
      <c r="AD35" s="86" t="s">
        <v>390</v>
      </c>
      <c r="AE35" s="86" t="s">
        <v>467</v>
      </c>
      <c r="AF35" s="86"/>
      <c r="AG35" s="86" t="s">
        <v>601</v>
      </c>
      <c r="AH35" s="86" t="s">
        <v>682</v>
      </c>
      <c r="AI35" s="86">
        <v>77134</v>
      </c>
      <c r="AJ35" s="86">
        <v>1088</v>
      </c>
      <c r="AK35" s="86">
        <v>1443</v>
      </c>
      <c r="AL35" s="86">
        <v>896</v>
      </c>
      <c r="AM35" s="86" t="s">
        <v>699</v>
      </c>
      <c r="AN35" s="111" t="str">
        <f>HYPERLINK("https://www.youtube.com/watch?v=wiyHk232MPE")</f>
        <v>https://www.youtube.com/watch?v=wiyHk232MPE</v>
      </c>
      <c r="AO35" s="86" t="str">
        <f>REPLACE(INDEX(GroupVertices[Group],MATCH(Vertices[[#This Row],[Vertex]],GroupVertices[Vertex],0)),1,1,"")</f>
        <v>1</v>
      </c>
      <c r="AP35" s="51"/>
      <c r="AQ35" s="52"/>
      <c r="AR35" s="51"/>
      <c r="AS35" s="52"/>
      <c r="AT35" s="51"/>
      <c r="AU35" s="52"/>
      <c r="AV35" s="51"/>
      <c r="AW35" s="52"/>
      <c r="AX35" s="51"/>
      <c r="AY35" s="51"/>
      <c r="AZ35" s="51"/>
      <c r="BA35" s="51"/>
      <c r="BB35" s="51"/>
      <c r="BC35" s="2"/>
      <c r="BD35" s="3"/>
      <c r="BE35" s="3"/>
      <c r="BF35" s="3"/>
      <c r="BG35" s="3"/>
    </row>
    <row r="36" spans="1:59" ht="15">
      <c r="A36" s="14" t="s">
        <v>236</v>
      </c>
      <c r="B36" s="15"/>
      <c r="C36" s="15"/>
      <c r="D36" s="88">
        <v>127.77202341488274</v>
      </c>
      <c r="E36" s="82"/>
      <c r="F36" s="109" t="str">
        <f>HYPERLINK("https://i.ytimg.com/vi/rob8wmH3uso/default.jpg")</f>
        <v>https://i.ytimg.com/vi/rob8wmH3uso/default.jpg</v>
      </c>
      <c r="G36" s="15"/>
      <c r="H36" s="16" t="s">
        <v>339</v>
      </c>
      <c r="I36" s="67"/>
      <c r="J36" s="67"/>
      <c r="K36" s="107" t="s">
        <v>339</v>
      </c>
      <c r="L36" s="89">
        <v>9826.579288606617</v>
      </c>
      <c r="M36" s="90">
        <v>4109.79931640625</v>
      </c>
      <c r="N36" s="90">
        <v>3920.60986328125</v>
      </c>
      <c r="O36" s="78"/>
      <c r="P36" s="91"/>
      <c r="Q36" s="91"/>
      <c r="R36" s="92"/>
      <c r="S36" s="51">
        <v>1</v>
      </c>
      <c r="T36" s="51">
        <v>0</v>
      </c>
      <c r="U36" s="52">
        <v>0</v>
      </c>
      <c r="V36" s="52">
        <v>0.005525</v>
      </c>
      <c r="W36" s="52">
        <v>0.01087</v>
      </c>
      <c r="X36" s="52">
        <v>0.545586</v>
      </c>
      <c r="Y36" s="52">
        <v>0</v>
      </c>
      <c r="Z36" s="52">
        <v>0</v>
      </c>
      <c r="AA36" s="83">
        <v>36</v>
      </c>
      <c r="AB36" s="83"/>
      <c r="AC36" s="93"/>
      <c r="AD36" s="86" t="s">
        <v>339</v>
      </c>
      <c r="AE36" s="86" t="s">
        <v>422</v>
      </c>
      <c r="AF36" s="86" t="s">
        <v>497</v>
      </c>
      <c r="AG36" s="86" t="s">
        <v>566</v>
      </c>
      <c r="AH36" s="86" t="s">
        <v>631</v>
      </c>
      <c r="AI36" s="86">
        <v>44136</v>
      </c>
      <c r="AJ36" s="86">
        <v>453</v>
      </c>
      <c r="AK36" s="86">
        <v>2433</v>
      </c>
      <c r="AL36" s="86">
        <v>69</v>
      </c>
      <c r="AM36" s="86" t="s">
        <v>699</v>
      </c>
      <c r="AN36" s="111" t="str">
        <f>HYPERLINK("https://www.youtube.com/watch?v=rob8wmH3uso")</f>
        <v>https://www.youtube.com/watch?v=rob8wmH3uso</v>
      </c>
      <c r="AO36" s="86" t="str">
        <f>REPLACE(INDEX(GroupVertices[Group],MATCH(Vertices[[#This Row],[Vertex]],GroupVertices[Vertex],0)),1,1,"")</f>
        <v>1</v>
      </c>
      <c r="AP36" s="51">
        <v>1</v>
      </c>
      <c r="AQ36" s="52">
        <v>1.4705882352941178</v>
      </c>
      <c r="AR36" s="51">
        <v>0</v>
      </c>
      <c r="AS36" s="52">
        <v>0</v>
      </c>
      <c r="AT36" s="51">
        <v>0</v>
      </c>
      <c r="AU36" s="52">
        <v>0</v>
      </c>
      <c r="AV36" s="51">
        <v>67</v>
      </c>
      <c r="AW36" s="52">
        <v>98.52941176470588</v>
      </c>
      <c r="AX36" s="51">
        <v>68</v>
      </c>
      <c r="AY36" s="51"/>
      <c r="AZ36" s="51"/>
      <c r="BA36" s="51"/>
      <c r="BB36" s="51"/>
      <c r="BC36" s="2"/>
      <c r="BD36" s="3"/>
      <c r="BE36" s="3"/>
      <c r="BF36" s="3"/>
      <c r="BG36" s="3"/>
    </row>
    <row r="37" spans="1:59" ht="15">
      <c r="A37" s="14" t="s">
        <v>230</v>
      </c>
      <c r="B37" s="15"/>
      <c r="C37" s="15"/>
      <c r="D37" s="88">
        <v>130.37682294677384</v>
      </c>
      <c r="E37" s="82"/>
      <c r="F37" s="109" t="str">
        <f>HYPERLINK("https://i.ytimg.com/vi/N_NaepmmSzU/default.jpg")</f>
        <v>https://i.ytimg.com/vi/N_NaepmmSzU/default.jpg</v>
      </c>
      <c r="G37" s="15"/>
      <c r="H37" s="16" t="s">
        <v>334</v>
      </c>
      <c r="I37" s="67"/>
      <c r="J37" s="67"/>
      <c r="K37" s="107" t="s">
        <v>334</v>
      </c>
      <c r="L37" s="89">
        <v>9817.177941202399</v>
      </c>
      <c r="M37" s="90">
        <v>3220.0986328125</v>
      </c>
      <c r="N37" s="90">
        <v>3920.60986328125</v>
      </c>
      <c r="O37" s="78"/>
      <c r="P37" s="91"/>
      <c r="Q37" s="91"/>
      <c r="R37" s="92"/>
      <c r="S37" s="51">
        <v>1</v>
      </c>
      <c r="T37" s="51">
        <v>0</v>
      </c>
      <c r="U37" s="52">
        <v>0</v>
      </c>
      <c r="V37" s="52">
        <v>0.005525</v>
      </c>
      <c r="W37" s="52">
        <v>0.01087</v>
      </c>
      <c r="X37" s="52">
        <v>0.545586</v>
      </c>
      <c r="Y37" s="52">
        <v>0</v>
      </c>
      <c r="Z37" s="52">
        <v>0</v>
      </c>
      <c r="AA37" s="83">
        <v>37</v>
      </c>
      <c r="AB37" s="83"/>
      <c r="AC37" s="93"/>
      <c r="AD37" s="86" t="s">
        <v>334</v>
      </c>
      <c r="AE37" s="86" t="s">
        <v>422</v>
      </c>
      <c r="AF37" s="86" t="s">
        <v>495</v>
      </c>
      <c r="AG37" s="86" t="s">
        <v>566</v>
      </c>
      <c r="AH37" s="86" t="s">
        <v>625</v>
      </c>
      <c r="AI37" s="86">
        <v>46536</v>
      </c>
      <c r="AJ37" s="86">
        <v>410</v>
      </c>
      <c r="AK37" s="86">
        <v>1571</v>
      </c>
      <c r="AL37" s="86">
        <v>51</v>
      </c>
      <c r="AM37" s="86" t="s">
        <v>699</v>
      </c>
      <c r="AN37" s="111" t="str">
        <f>HYPERLINK("https://www.youtube.com/watch?v=N_NaepmmSzU")</f>
        <v>https://www.youtube.com/watch?v=N_NaepmmSzU</v>
      </c>
      <c r="AO37" s="86" t="str">
        <f>REPLACE(INDEX(GroupVertices[Group],MATCH(Vertices[[#This Row],[Vertex]],GroupVertices[Vertex],0)),1,1,"")</f>
        <v>1</v>
      </c>
      <c r="AP37" s="51">
        <v>1</v>
      </c>
      <c r="AQ37" s="52">
        <v>1.694915254237288</v>
      </c>
      <c r="AR37" s="51">
        <v>0</v>
      </c>
      <c r="AS37" s="52">
        <v>0</v>
      </c>
      <c r="AT37" s="51">
        <v>0</v>
      </c>
      <c r="AU37" s="52">
        <v>0</v>
      </c>
      <c r="AV37" s="51">
        <v>58</v>
      </c>
      <c r="AW37" s="52">
        <v>98.30508474576271</v>
      </c>
      <c r="AX37" s="51">
        <v>59</v>
      </c>
      <c r="AY37" s="51"/>
      <c r="AZ37" s="51"/>
      <c r="BA37" s="51"/>
      <c r="BB37" s="51"/>
      <c r="BC37" s="2"/>
      <c r="BD37" s="3"/>
      <c r="BE37" s="3"/>
      <c r="BF37" s="3"/>
      <c r="BG37" s="3"/>
    </row>
    <row r="38" spans="1:59" ht="15">
      <c r="A38" s="14" t="s">
        <v>256</v>
      </c>
      <c r="B38" s="15"/>
      <c r="C38" s="15"/>
      <c r="D38" s="88">
        <v>118.40017176576623</v>
      </c>
      <c r="E38" s="82"/>
      <c r="F38" s="109" t="str">
        <f>HYPERLINK("https://i.ytimg.com/vi/FYXDXQ6vUiE/default.jpg")</f>
        <v>https://i.ytimg.com/vi/FYXDXQ6vUiE/default.jpg</v>
      </c>
      <c r="G38" s="15"/>
      <c r="H38" s="16" t="s">
        <v>359</v>
      </c>
      <c r="I38" s="67"/>
      <c r="J38" s="67"/>
      <c r="K38" s="107" t="s">
        <v>359</v>
      </c>
      <c r="L38" s="89">
        <v>9860.404553121381</v>
      </c>
      <c r="M38" s="90">
        <v>5889.20068359375</v>
      </c>
      <c r="N38" s="90">
        <v>3920.60986328125</v>
      </c>
      <c r="O38" s="78"/>
      <c r="P38" s="91"/>
      <c r="Q38" s="91"/>
      <c r="R38" s="92"/>
      <c r="S38" s="51">
        <v>1</v>
      </c>
      <c r="T38" s="51">
        <v>0</v>
      </c>
      <c r="U38" s="52">
        <v>0</v>
      </c>
      <c r="V38" s="52">
        <v>0.005525</v>
      </c>
      <c r="W38" s="52">
        <v>0.01087</v>
      </c>
      <c r="X38" s="52">
        <v>0.545586</v>
      </c>
      <c r="Y38" s="52">
        <v>0</v>
      </c>
      <c r="Z38" s="52">
        <v>0</v>
      </c>
      <c r="AA38" s="83">
        <v>38</v>
      </c>
      <c r="AB38" s="83"/>
      <c r="AC38" s="93"/>
      <c r="AD38" s="86" t="s">
        <v>359</v>
      </c>
      <c r="AE38" s="86" t="s">
        <v>422</v>
      </c>
      <c r="AF38" s="86" t="s">
        <v>497</v>
      </c>
      <c r="AG38" s="86" t="s">
        <v>566</v>
      </c>
      <c r="AH38" s="86" t="s">
        <v>651</v>
      </c>
      <c r="AI38" s="86">
        <v>35501</v>
      </c>
      <c r="AJ38" s="86">
        <v>278</v>
      </c>
      <c r="AK38" s="86">
        <v>1709</v>
      </c>
      <c r="AL38" s="86">
        <v>49</v>
      </c>
      <c r="AM38" s="86" t="s">
        <v>699</v>
      </c>
      <c r="AN38" s="111" t="str">
        <f>HYPERLINK("https://www.youtube.com/watch?v=FYXDXQ6vUiE")</f>
        <v>https://www.youtube.com/watch?v=FYXDXQ6vUiE</v>
      </c>
      <c r="AO38" s="86" t="str">
        <f>REPLACE(INDEX(GroupVertices[Group],MATCH(Vertices[[#This Row],[Vertex]],GroupVertices[Vertex],0)),1,1,"")</f>
        <v>1</v>
      </c>
      <c r="AP38" s="51">
        <v>1</v>
      </c>
      <c r="AQ38" s="52">
        <v>1.4705882352941178</v>
      </c>
      <c r="AR38" s="51">
        <v>0</v>
      </c>
      <c r="AS38" s="52">
        <v>0</v>
      </c>
      <c r="AT38" s="51">
        <v>0</v>
      </c>
      <c r="AU38" s="52">
        <v>0</v>
      </c>
      <c r="AV38" s="51">
        <v>67</v>
      </c>
      <c r="AW38" s="52">
        <v>98.52941176470588</v>
      </c>
      <c r="AX38" s="51">
        <v>68</v>
      </c>
      <c r="AY38" s="51"/>
      <c r="AZ38" s="51"/>
      <c r="BA38" s="51"/>
      <c r="BB38" s="51"/>
      <c r="BC38" s="2"/>
      <c r="BD38" s="3"/>
      <c r="BE38" s="3"/>
      <c r="BF38" s="3"/>
      <c r="BG38" s="3"/>
    </row>
    <row r="39" spans="1:59" ht="15">
      <c r="A39" s="14" t="s">
        <v>243</v>
      </c>
      <c r="B39" s="15"/>
      <c r="C39" s="15"/>
      <c r="D39" s="88">
        <v>125.56988247729649</v>
      </c>
      <c r="E39" s="82"/>
      <c r="F39" s="109" t="str">
        <f>HYPERLINK("https://i.ytimg.com/vi/IEMot7Yrfrc/default.jpg")</f>
        <v>https://i.ytimg.com/vi/IEMot7Yrfrc/default.jpg</v>
      </c>
      <c r="G39" s="15"/>
      <c r="H39" s="16" t="s">
        <v>346</v>
      </c>
      <c r="I39" s="67"/>
      <c r="J39" s="67"/>
      <c r="K39" s="107" t="s">
        <v>346</v>
      </c>
      <c r="L39" s="89">
        <v>9834.527344391268</v>
      </c>
      <c r="M39" s="90">
        <v>4999.5</v>
      </c>
      <c r="N39" s="90">
        <v>3920.60986328125</v>
      </c>
      <c r="O39" s="78"/>
      <c r="P39" s="91"/>
      <c r="Q39" s="91"/>
      <c r="R39" s="92"/>
      <c r="S39" s="51">
        <v>1</v>
      </c>
      <c r="T39" s="51">
        <v>0</v>
      </c>
      <c r="U39" s="52">
        <v>0</v>
      </c>
      <c r="V39" s="52">
        <v>0.005525</v>
      </c>
      <c r="W39" s="52">
        <v>0.01087</v>
      </c>
      <c r="X39" s="52">
        <v>0.545586</v>
      </c>
      <c r="Y39" s="52">
        <v>0</v>
      </c>
      <c r="Z39" s="52">
        <v>0</v>
      </c>
      <c r="AA39" s="83">
        <v>39</v>
      </c>
      <c r="AB39" s="83"/>
      <c r="AC39" s="93"/>
      <c r="AD39" s="86" t="s">
        <v>346</v>
      </c>
      <c r="AE39" s="86" t="s">
        <v>422</v>
      </c>
      <c r="AF39" s="86" t="s">
        <v>502</v>
      </c>
      <c r="AG39" s="86" t="s">
        <v>566</v>
      </c>
      <c r="AH39" s="86" t="s">
        <v>638</v>
      </c>
      <c r="AI39" s="86">
        <v>42107</v>
      </c>
      <c r="AJ39" s="86">
        <v>252</v>
      </c>
      <c r="AK39" s="86">
        <v>1373</v>
      </c>
      <c r="AL39" s="86">
        <v>41</v>
      </c>
      <c r="AM39" s="86" t="s">
        <v>699</v>
      </c>
      <c r="AN39" s="111" t="str">
        <f>HYPERLINK("https://www.youtube.com/watch?v=IEMot7Yrfrc")</f>
        <v>https://www.youtube.com/watch?v=IEMot7Yrfrc</v>
      </c>
      <c r="AO39" s="86" t="str">
        <f>REPLACE(INDEX(GroupVertices[Group],MATCH(Vertices[[#This Row],[Vertex]],GroupVertices[Vertex],0)),1,1,"")</f>
        <v>1</v>
      </c>
      <c r="AP39" s="51">
        <v>1</v>
      </c>
      <c r="AQ39" s="52">
        <v>1.7241379310344827</v>
      </c>
      <c r="AR39" s="51">
        <v>0</v>
      </c>
      <c r="AS39" s="52">
        <v>0</v>
      </c>
      <c r="AT39" s="51">
        <v>0</v>
      </c>
      <c r="AU39" s="52">
        <v>0</v>
      </c>
      <c r="AV39" s="51">
        <v>57</v>
      </c>
      <c r="AW39" s="52">
        <v>98.27586206896552</v>
      </c>
      <c r="AX39" s="51">
        <v>58</v>
      </c>
      <c r="AY39" s="51"/>
      <c r="AZ39" s="51"/>
      <c r="BA39" s="51"/>
      <c r="BB39" s="51"/>
      <c r="BC39" s="2"/>
      <c r="BD39" s="3"/>
      <c r="BE39" s="3"/>
      <c r="BF39" s="3"/>
      <c r="BG39" s="3"/>
    </row>
    <row r="40" spans="1:59" ht="15">
      <c r="A40" s="14" t="s">
        <v>228</v>
      </c>
      <c r="B40" s="15"/>
      <c r="C40" s="15"/>
      <c r="D40" s="88">
        <v>154.70999190718987</v>
      </c>
      <c r="E40" s="82"/>
      <c r="F40" s="109" t="str">
        <f>HYPERLINK("https://i.ytimg.com/vi/PEwkgKDX8I0/default.jpg")</f>
        <v>https://i.ytimg.com/vi/PEwkgKDX8I0/default.jpg</v>
      </c>
      <c r="G40" s="15"/>
      <c r="H40" s="16" t="s">
        <v>332</v>
      </c>
      <c r="I40" s="67"/>
      <c r="J40" s="67"/>
      <c r="K40" s="107" t="s">
        <v>332</v>
      </c>
      <c r="L40" s="89">
        <v>9729.35368753465</v>
      </c>
      <c r="M40" s="90">
        <v>5889.20068359375</v>
      </c>
      <c r="N40" s="90">
        <v>4999.5</v>
      </c>
      <c r="O40" s="78"/>
      <c r="P40" s="91"/>
      <c r="Q40" s="91"/>
      <c r="R40" s="92"/>
      <c r="S40" s="51">
        <v>1</v>
      </c>
      <c r="T40" s="51">
        <v>0</v>
      </c>
      <c r="U40" s="52">
        <v>0</v>
      </c>
      <c r="V40" s="52">
        <v>0.005525</v>
      </c>
      <c r="W40" s="52">
        <v>0.01087</v>
      </c>
      <c r="X40" s="52">
        <v>0.545586</v>
      </c>
      <c r="Y40" s="52">
        <v>0</v>
      </c>
      <c r="Z40" s="52">
        <v>0</v>
      </c>
      <c r="AA40" s="83">
        <v>40</v>
      </c>
      <c r="AB40" s="83"/>
      <c r="AC40" s="93"/>
      <c r="AD40" s="86" t="s">
        <v>332</v>
      </c>
      <c r="AE40" s="86" t="s">
        <v>420</v>
      </c>
      <c r="AF40" s="86" t="s">
        <v>493</v>
      </c>
      <c r="AG40" s="86" t="s">
        <v>566</v>
      </c>
      <c r="AH40" s="86" t="s">
        <v>623</v>
      </c>
      <c r="AI40" s="86">
        <v>68956</v>
      </c>
      <c r="AJ40" s="86">
        <v>113</v>
      </c>
      <c r="AK40" s="86">
        <v>710</v>
      </c>
      <c r="AL40" s="86">
        <v>27</v>
      </c>
      <c r="AM40" s="86" t="s">
        <v>699</v>
      </c>
      <c r="AN40" s="111" t="str">
        <f>HYPERLINK("https://www.youtube.com/watch?v=PEwkgKDX8I0")</f>
        <v>https://www.youtube.com/watch?v=PEwkgKDX8I0</v>
      </c>
      <c r="AO40" s="86" t="str">
        <f>REPLACE(INDEX(GroupVertices[Group],MATCH(Vertices[[#This Row],[Vertex]],GroupVertices[Vertex],0)),1,1,"")</f>
        <v>1</v>
      </c>
      <c r="AP40" s="51">
        <v>0</v>
      </c>
      <c r="AQ40" s="52">
        <v>0</v>
      </c>
      <c r="AR40" s="51">
        <v>2</v>
      </c>
      <c r="AS40" s="52">
        <v>4.444444444444445</v>
      </c>
      <c r="AT40" s="51">
        <v>0</v>
      </c>
      <c r="AU40" s="52">
        <v>0</v>
      </c>
      <c r="AV40" s="51">
        <v>43</v>
      </c>
      <c r="AW40" s="52">
        <v>95.55555555555556</v>
      </c>
      <c r="AX40" s="51">
        <v>45</v>
      </c>
      <c r="AY40" s="51"/>
      <c r="AZ40" s="51"/>
      <c r="BA40" s="51"/>
      <c r="BB40" s="51"/>
      <c r="BC40" s="2"/>
      <c r="BD40" s="3"/>
      <c r="BE40" s="3"/>
      <c r="BF40" s="3"/>
      <c r="BG40" s="3"/>
    </row>
    <row r="41" spans="1:59" ht="15">
      <c r="A41" s="14" t="s">
        <v>232</v>
      </c>
      <c r="B41" s="15"/>
      <c r="C41" s="15"/>
      <c r="D41" s="88">
        <v>99.3949031812058</v>
      </c>
      <c r="E41" s="82"/>
      <c r="F41" s="109" t="str">
        <f>HYPERLINK("https://i.ytimg.com/vi/xhy9m5I7-Mg/default.jpg")</f>
        <v>https://i.ytimg.com/vi/xhy9m5I7-Mg/default.jpg</v>
      </c>
      <c r="G41" s="15"/>
      <c r="H41" s="16" t="s">
        <v>336</v>
      </c>
      <c r="I41" s="67"/>
      <c r="J41" s="67"/>
      <c r="K41" s="107" t="s">
        <v>336</v>
      </c>
      <c r="L41" s="89">
        <v>9928.999134119416</v>
      </c>
      <c r="M41" s="90">
        <v>3220.0986328125</v>
      </c>
      <c r="N41" s="90">
        <v>2841.719482421875</v>
      </c>
      <c r="O41" s="78"/>
      <c r="P41" s="91"/>
      <c r="Q41" s="91"/>
      <c r="R41" s="92"/>
      <c r="S41" s="51">
        <v>1</v>
      </c>
      <c r="T41" s="51">
        <v>0</v>
      </c>
      <c r="U41" s="52">
        <v>0</v>
      </c>
      <c r="V41" s="52">
        <v>0.005525</v>
      </c>
      <c r="W41" s="52">
        <v>0.01087</v>
      </c>
      <c r="X41" s="52">
        <v>0.545586</v>
      </c>
      <c r="Y41" s="52">
        <v>0</v>
      </c>
      <c r="Z41" s="52">
        <v>0</v>
      </c>
      <c r="AA41" s="83">
        <v>41</v>
      </c>
      <c r="AB41" s="83"/>
      <c r="AC41" s="93"/>
      <c r="AD41" s="86" t="s">
        <v>336</v>
      </c>
      <c r="AE41" s="86" t="s">
        <v>422</v>
      </c>
      <c r="AF41" s="86" t="s">
        <v>496</v>
      </c>
      <c r="AG41" s="86" t="s">
        <v>566</v>
      </c>
      <c r="AH41" s="86" t="s">
        <v>627</v>
      </c>
      <c r="AI41" s="86">
        <v>17990</v>
      </c>
      <c r="AJ41" s="86">
        <v>150</v>
      </c>
      <c r="AK41" s="86">
        <v>591</v>
      </c>
      <c r="AL41" s="86">
        <v>25</v>
      </c>
      <c r="AM41" s="86" t="s">
        <v>699</v>
      </c>
      <c r="AN41" s="111" t="str">
        <f>HYPERLINK("https://www.youtube.com/watch?v=xhy9m5I7-Mg")</f>
        <v>https://www.youtube.com/watch?v=xhy9m5I7-Mg</v>
      </c>
      <c r="AO41" s="86" t="str">
        <f>REPLACE(INDEX(GroupVertices[Group],MATCH(Vertices[[#This Row],[Vertex]],GroupVertices[Vertex],0)),1,1,"")</f>
        <v>1</v>
      </c>
      <c r="AP41" s="51">
        <v>1</v>
      </c>
      <c r="AQ41" s="52">
        <v>1.6666666666666667</v>
      </c>
      <c r="AR41" s="51">
        <v>0</v>
      </c>
      <c r="AS41" s="52">
        <v>0</v>
      </c>
      <c r="AT41" s="51">
        <v>0</v>
      </c>
      <c r="AU41" s="52">
        <v>0</v>
      </c>
      <c r="AV41" s="51">
        <v>59</v>
      </c>
      <c r="AW41" s="52">
        <v>98.33333333333333</v>
      </c>
      <c r="AX41" s="51">
        <v>60</v>
      </c>
      <c r="AY41" s="51"/>
      <c r="AZ41" s="51"/>
      <c r="BA41" s="51"/>
      <c r="BB41" s="51"/>
      <c r="BC41" s="2"/>
      <c r="BD41" s="3"/>
      <c r="BE41" s="3"/>
      <c r="BF41" s="3"/>
      <c r="BG41" s="3"/>
    </row>
    <row r="42" spans="1:59" ht="15">
      <c r="A42" s="14" t="s">
        <v>231</v>
      </c>
      <c r="B42" s="15"/>
      <c r="C42" s="15"/>
      <c r="D42" s="88">
        <v>81.3881410838703</v>
      </c>
      <c r="E42" s="82"/>
      <c r="F42" s="109" t="str">
        <f>HYPERLINK("https://i.ytimg.com/vi/YE5cKWjAQZY/default.jpg")</f>
        <v>https://i.ytimg.com/vi/YE5cKWjAQZY/default.jpg</v>
      </c>
      <c r="G42" s="15"/>
      <c r="H42" s="16" t="s">
        <v>335</v>
      </c>
      <c r="I42" s="67"/>
      <c r="J42" s="67"/>
      <c r="K42" s="107" t="s">
        <v>335</v>
      </c>
      <c r="L42" s="89">
        <v>9993.989865279169</v>
      </c>
      <c r="M42" s="90">
        <v>8558.302734375</v>
      </c>
      <c r="N42" s="90">
        <v>1762.8294677734375</v>
      </c>
      <c r="O42" s="78"/>
      <c r="P42" s="91"/>
      <c r="Q42" s="91"/>
      <c r="R42" s="92"/>
      <c r="S42" s="51">
        <v>1</v>
      </c>
      <c r="T42" s="51">
        <v>0</v>
      </c>
      <c r="U42" s="52">
        <v>0</v>
      </c>
      <c r="V42" s="52">
        <v>0.005525</v>
      </c>
      <c r="W42" s="52">
        <v>0.01087</v>
      </c>
      <c r="X42" s="52">
        <v>0.545586</v>
      </c>
      <c r="Y42" s="52">
        <v>0</v>
      </c>
      <c r="Z42" s="52">
        <v>0</v>
      </c>
      <c r="AA42" s="83">
        <v>42</v>
      </c>
      <c r="AB42" s="83"/>
      <c r="AC42" s="93"/>
      <c r="AD42" s="86" t="s">
        <v>335</v>
      </c>
      <c r="AE42" s="86" t="s">
        <v>423</v>
      </c>
      <c r="AF42" s="86" t="s">
        <v>493</v>
      </c>
      <c r="AG42" s="86" t="s">
        <v>566</v>
      </c>
      <c r="AH42" s="86" t="s">
        <v>626</v>
      </c>
      <c r="AI42" s="86">
        <v>1399</v>
      </c>
      <c r="AJ42" s="86">
        <v>61</v>
      </c>
      <c r="AK42" s="86">
        <v>229</v>
      </c>
      <c r="AL42" s="86">
        <v>24</v>
      </c>
      <c r="AM42" s="86" t="s">
        <v>699</v>
      </c>
      <c r="AN42" s="111" t="str">
        <f>HYPERLINK("https://www.youtube.com/watch?v=YE5cKWjAQZY")</f>
        <v>https://www.youtube.com/watch?v=YE5cKWjAQZY</v>
      </c>
      <c r="AO42" s="86" t="str">
        <f>REPLACE(INDEX(GroupVertices[Group],MATCH(Vertices[[#This Row],[Vertex]],GroupVertices[Vertex],0)),1,1,"")</f>
        <v>1</v>
      </c>
      <c r="AP42" s="51">
        <v>0</v>
      </c>
      <c r="AQ42" s="52">
        <v>0</v>
      </c>
      <c r="AR42" s="51">
        <v>2</v>
      </c>
      <c r="AS42" s="52">
        <v>4.444444444444445</v>
      </c>
      <c r="AT42" s="51">
        <v>0</v>
      </c>
      <c r="AU42" s="52">
        <v>0</v>
      </c>
      <c r="AV42" s="51">
        <v>43</v>
      </c>
      <c r="AW42" s="52">
        <v>95.55555555555556</v>
      </c>
      <c r="AX42" s="51">
        <v>45</v>
      </c>
      <c r="AY42" s="51"/>
      <c r="AZ42" s="51"/>
      <c r="BA42" s="51"/>
      <c r="BB42" s="51"/>
      <c r="BC42" s="2"/>
      <c r="BD42" s="3"/>
      <c r="BE42" s="3"/>
      <c r="BF42" s="3"/>
      <c r="BG42" s="3"/>
    </row>
    <row r="43" spans="1:59" ht="15">
      <c r="A43" s="14" t="s">
        <v>244</v>
      </c>
      <c r="B43" s="15"/>
      <c r="C43" s="15"/>
      <c r="D43" s="88">
        <v>90.12615818022664</v>
      </c>
      <c r="E43" s="82"/>
      <c r="F43" s="109" t="str">
        <f>HYPERLINK("https://i.ytimg.com/vi/5KKUmF3Fdo0/default.jpg")</f>
        <v>https://i.ytimg.com/vi/5KKUmF3Fdo0/default.jpg</v>
      </c>
      <c r="G43" s="15"/>
      <c r="H43" s="16" t="s">
        <v>347</v>
      </c>
      <c r="I43" s="67"/>
      <c r="J43" s="67"/>
      <c r="K43" s="107" t="s">
        <v>347</v>
      </c>
      <c r="L43" s="89">
        <v>9962.452261966097</v>
      </c>
      <c r="M43" s="90">
        <v>5889.20068359375</v>
      </c>
      <c r="N43" s="90">
        <v>2841.719482421875</v>
      </c>
      <c r="O43" s="78"/>
      <c r="P43" s="91"/>
      <c r="Q43" s="91"/>
      <c r="R43" s="92"/>
      <c r="S43" s="51">
        <v>1</v>
      </c>
      <c r="T43" s="51">
        <v>0</v>
      </c>
      <c r="U43" s="52">
        <v>0</v>
      </c>
      <c r="V43" s="52">
        <v>0.005525</v>
      </c>
      <c r="W43" s="52">
        <v>0.01087</v>
      </c>
      <c r="X43" s="52">
        <v>0.545586</v>
      </c>
      <c r="Y43" s="52">
        <v>0</v>
      </c>
      <c r="Z43" s="52">
        <v>0</v>
      </c>
      <c r="AA43" s="83">
        <v>43</v>
      </c>
      <c r="AB43" s="83"/>
      <c r="AC43" s="93"/>
      <c r="AD43" s="86" t="s">
        <v>347</v>
      </c>
      <c r="AE43" s="86" t="s">
        <v>420</v>
      </c>
      <c r="AF43" s="86"/>
      <c r="AG43" s="86" t="s">
        <v>566</v>
      </c>
      <c r="AH43" s="86" t="s">
        <v>639</v>
      </c>
      <c r="AI43" s="86">
        <v>9450</v>
      </c>
      <c r="AJ43" s="86">
        <v>85</v>
      </c>
      <c r="AK43" s="86">
        <v>763</v>
      </c>
      <c r="AL43" s="86">
        <v>13</v>
      </c>
      <c r="AM43" s="86" t="s">
        <v>699</v>
      </c>
      <c r="AN43" s="111" t="str">
        <f>HYPERLINK("https://www.youtube.com/watch?v=5KKUmF3Fdo0")</f>
        <v>https://www.youtube.com/watch?v=5KKUmF3Fdo0</v>
      </c>
      <c r="AO43" s="86" t="str">
        <f>REPLACE(INDEX(GroupVertices[Group],MATCH(Vertices[[#This Row],[Vertex]],GroupVertices[Vertex],0)),1,1,"")</f>
        <v>1</v>
      </c>
      <c r="AP43" s="51"/>
      <c r="AQ43" s="52"/>
      <c r="AR43" s="51"/>
      <c r="AS43" s="52"/>
      <c r="AT43" s="51"/>
      <c r="AU43" s="52"/>
      <c r="AV43" s="51"/>
      <c r="AW43" s="52"/>
      <c r="AX43" s="51"/>
      <c r="AY43" s="51"/>
      <c r="AZ43" s="51"/>
      <c r="BA43" s="51"/>
      <c r="BB43" s="51"/>
      <c r="BC43" s="2"/>
      <c r="BD43" s="3"/>
      <c r="BE43" s="3"/>
      <c r="BF43" s="3"/>
      <c r="BG43" s="3"/>
    </row>
    <row r="44" spans="1:59" ht="120">
      <c r="A44" s="50" t="s">
        <v>212</v>
      </c>
      <c r="B44" s="53"/>
      <c r="C44" s="53"/>
      <c r="D44" s="54">
        <v>84.19806857889782</v>
      </c>
      <c r="E44" s="55"/>
      <c r="F44" s="109" t="str">
        <f>HYPERLINK("https://i.ytimg.com/vi/krVOB3wlFE8/default.jpg")</f>
        <v>https://i.ytimg.com/vi/krVOB3wlFE8/default.jpg</v>
      </c>
      <c r="G44" s="53"/>
      <c r="H44" s="57" t="s">
        <v>391</v>
      </c>
      <c r="I44" s="56"/>
      <c r="J44" s="56"/>
      <c r="K44" s="107" t="s">
        <v>391</v>
      </c>
      <c r="L44" s="59">
        <v>9983.848161766866</v>
      </c>
      <c r="M44" s="60">
        <v>3220.0986328125</v>
      </c>
      <c r="N44" s="60">
        <v>1762.8294677734375</v>
      </c>
      <c r="O44" s="58"/>
      <c r="P44" s="61"/>
      <c r="Q44" s="61"/>
      <c r="R44" s="51"/>
      <c r="S44" s="51">
        <v>0</v>
      </c>
      <c r="T44" s="51">
        <v>91</v>
      </c>
      <c r="U44" s="52">
        <v>8190</v>
      </c>
      <c r="V44" s="52">
        <v>0.010989</v>
      </c>
      <c r="W44" s="52">
        <v>0.01087</v>
      </c>
      <c r="X44" s="52">
        <v>42.351098</v>
      </c>
      <c r="Y44" s="52">
        <v>0</v>
      </c>
      <c r="Z44" s="52">
        <v>0</v>
      </c>
      <c r="AA44" s="62">
        <v>44</v>
      </c>
      <c r="AB44" s="62"/>
      <c r="AC44" s="63"/>
      <c r="AD44" s="86" t="s">
        <v>391</v>
      </c>
      <c r="AE44" s="86" t="s">
        <v>420</v>
      </c>
      <c r="AF44" s="86"/>
      <c r="AG44" s="86" t="s">
        <v>566</v>
      </c>
      <c r="AH44" s="86" t="s">
        <v>698</v>
      </c>
      <c r="AI44" s="86">
        <v>3988</v>
      </c>
      <c r="AJ44" s="86">
        <v>72</v>
      </c>
      <c r="AK44" s="86">
        <v>607</v>
      </c>
      <c r="AL44" s="86">
        <v>9</v>
      </c>
      <c r="AM44" s="86" t="s">
        <v>699</v>
      </c>
      <c r="AN44" s="111" t="str">
        <f>HYPERLINK("https://www.youtube.com/watch?v=krVOB3wlFE8")</f>
        <v>https://www.youtube.com/watch?v=krVOB3wlFE8</v>
      </c>
      <c r="AO44" s="86" t="str">
        <f>REPLACE(INDEX(GroupVertices[Group],MATCH(Vertices[[#This Row],[Vertex]],GroupVertices[Vertex],0)),1,1,"")</f>
        <v>1</v>
      </c>
      <c r="AP44" s="51"/>
      <c r="AQ44" s="52"/>
      <c r="AR44" s="51"/>
      <c r="AS44" s="52"/>
      <c r="AT44" s="51"/>
      <c r="AU44" s="52"/>
      <c r="AV44" s="51"/>
      <c r="AW44" s="52"/>
      <c r="AX44" s="51"/>
      <c r="AY44" s="133" t="s">
        <v>1061</v>
      </c>
      <c r="AZ44" s="133" t="s">
        <v>1061</v>
      </c>
      <c r="BA44" s="133" t="s">
        <v>1061</v>
      </c>
      <c r="BB44" s="133" t="s">
        <v>1061</v>
      </c>
      <c r="BC44" s="2"/>
      <c r="BD44" s="3"/>
      <c r="BE44" s="3"/>
      <c r="BF44" s="3"/>
      <c r="BG44" s="3"/>
    </row>
    <row r="45" spans="1:59" ht="15">
      <c r="A45" s="14" t="s">
        <v>233</v>
      </c>
      <c r="B45" s="15"/>
      <c r="C45" s="15"/>
      <c r="D45" s="88">
        <v>86.75836945211911</v>
      </c>
      <c r="E45" s="82"/>
      <c r="F45" s="109" t="str">
        <f>HYPERLINK("https://i.ytimg.com/vi/YXUq-RZVVAw/default.jpg")</f>
        <v>https://i.ytimg.com/vi/YXUq-RZVVAw/default.jpg</v>
      </c>
      <c r="G45" s="15"/>
      <c r="H45" s="16" t="s">
        <v>334</v>
      </c>
      <c r="I45" s="67"/>
      <c r="J45" s="67"/>
      <c r="K45" s="107" t="s">
        <v>334</v>
      </c>
      <c r="L45" s="89">
        <v>9974.607420714136</v>
      </c>
      <c r="M45" s="90">
        <v>9448.0029296875</v>
      </c>
      <c r="N45" s="90">
        <v>2841.719482421875</v>
      </c>
      <c r="O45" s="78"/>
      <c r="P45" s="91"/>
      <c r="Q45" s="91"/>
      <c r="R45" s="92"/>
      <c r="S45" s="51">
        <v>1</v>
      </c>
      <c r="T45" s="51">
        <v>0</v>
      </c>
      <c r="U45" s="52">
        <v>0</v>
      </c>
      <c r="V45" s="52">
        <v>0.005525</v>
      </c>
      <c r="W45" s="52">
        <v>0.01087</v>
      </c>
      <c r="X45" s="52">
        <v>0.545586</v>
      </c>
      <c r="Y45" s="52">
        <v>0</v>
      </c>
      <c r="Z45" s="52">
        <v>0</v>
      </c>
      <c r="AA45" s="83">
        <v>45</v>
      </c>
      <c r="AB45" s="83"/>
      <c r="AC45" s="93"/>
      <c r="AD45" s="86" t="s">
        <v>334</v>
      </c>
      <c r="AE45" s="86" t="s">
        <v>420</v>
      </c>
      <c r="AF45" s="86"/>
      <c r="AG45" s="86" t="s">
        <v>566</v>
      </c>
      <c r="AH45" s="86" t="s">
        <v>628</v>
      </c>
      <c r="AI45" s="86">
        <v>6347</v>
      </c>
      <c r="AJ45" s="86">
        <v>54</v>
      </c>
      <c r="AK45" s="86">
        <v>641</v>
      </c>
      <c r="AL45" s="86">
        <v>9</v>
      </c>
      <c r="AM45" s="86" t="s">
        <v>699</v>
      </c>
      <c r="AN45" s="111" t="str">
        <f>HYPERLINK("https://www.youtube.com/watch?v=YXUq-RZVVAw")</f>
        <v>https://www.youtube.com/watch?v=YXUq-RZVVAw</v>
      </c>
      <c r="AO45" s="86" t="str">
        <f>REPLACE(INDEX(GroupVertices[Group],MATCH(Vertices[[#This Row],[Vertex]],GroupVertices[Vertex],0)),1,1,"")</f>
        <v>1</v>
      </c>
      <c r="AP45" s="51"/>
      <c r="AQ45" s="52"/>
      <c r="AR45" s="51"/>
      <c r="AS45" s="52"/>
      <c r="AT45" s="51"/>
      <c r="AU45" s="52"/>
      <c r="AV45" s="51"/>
      <c r="AW45" s="52"/>
      <c r="AX45" s="51"/>
      <c r="AY45" s="51"/>
      <c r="AZ45" s="51"/>
      <c r="BA45" s="51"/>
      <c r="BB45" s="51"/>
      <c r="BC45" s="2"/>
      <c r="BD45" s="3"/>
      <c r="BE45" s="3"/>
      <c r="BF45" s="3"/>
      <c r="BG45" s="3"/>
    </row>
    <row r="46" spans="1:59" ht="15">
      <c r="A46" s="14" t="s">
        <v>238</v>
      </c>
      <c r="B46" s="15"/>
      <c r="C46" s="15"/>
      <c r="D46" s="88">
        <v>82.1717516097142</v>
      </c>
      <c r="E46" s="82"/>
      <c r="F46" s="109" t="str">
        <f>HYPERLINK("https://i.ytimg.com/vi/HByLIRy2BPg/default.jpg")</f>
        <v>https://i.ytimg.com/vi/HByLIRy2BPg/default.jpg</v>
      </c>
      <c r="G46" s="15"/>
      <c r="H46" s="16" t="s">
        <v>341</v>
      </c>
      <c r="I46" s="67"/>
      <c r="J46" s="67"/>
      <c r="K46" s="107" t="s">
        <v>341</v>
      </c>
      <c r="L46" s="89">
        <v>9991.161626601732</v>
      </c>
      <c r="M46" s="90">
        <v>4999.5</v>
      </c>
      <c r="N46" s="90">
        <v>1762.8294677734375</v>
      </c>
      <c r="O46" s="78"/>
      <c r="P46" s="91"/>
      <c r="Q46" s="91"/>
      <c r="R46" s="92"/>
      <c r="S46" s="51">
        <v>1</v>
      </c>
      <c r="T46" s="51">
        <v>0</v>
      </c>
      <c r="U46" s="52">
        <v>0</v>
      </c>
      <c r="V46" s="52">
        <v>0.005525</v>
      </c>
      <c r="W46" s="52">
        <v>0.01087</v>
      </c>
      <c r="X46" s="52">
        <v>0.545586</v>
      </c>
      <c r="Y46" s="52">
        <v>0</v>
      </c>
      <c r="Z46" s="52">
        <v>0</v>
      </c>
      <c r="AA46" s="83">
        <v>46</v>
      </c>
      <c r="AB46" s="83"/>
      <c r="AC46" s="93"/>
      <c r="AD46" s="86" t="s">
        <v>341</v>
      </c>
      <c r="AE46" s="86" t="s">
        <v>420</v>
      </c>
      <c r="AF46" s="86" t="s">
        <v>493</v>
      </c>
      <c r="AG46" s="86" t="s">
        <v>566</v>
      </c>
      <c r="AH46" s="86" t="s">
        <v>633</v>
      </c>
      <c r="AI46" s="86">
        <v>2121</v>
      </c>
      <c r="AJ46" s="86">
        <v>24</v>
      </c>
      <c r="AK46" s="86">
        <v>206</v>
      </c>
      <c r="AL46" s="86">
        <v>9</v>
      </c>
      <c r="AM46" s="86" t="s">
        <v>699</v>
      </c>
      <c r="AN46" s="111" t="str">
        <f>HYPERLINK("https://www.youtube.com/watch?v=HByLIRy2BPg")</f>
        <v>https://www.youtube.com/watch?v=HByLIRy2BPg</v>
      </c>
      <c r="AO46" s="86" t="str">
        <f>REPLACE(INDEX(GroupVertices[Group],MATCH(Vertices[[#This Row],[Vertex]],GroupVertices[Vertex],0)),1,1,"")</f>
        <v>1</v>
      </c>
      <c r="AP46" s="51">
        <v>0</v>
      </c>
      <c r="AQ46" s="52">
        <v>0</v>
      </c>
      <c r="AR46" s="51">
        <v>2</v>
      </c>
      <c r="AS46" s="52">
        <v>4.444444444444445</v>
      </c>
      <c r="AT46" s="51">
        <v>0</v>
      </c>
      <c r="AU46" s="52">
        <v>0</v>
      </c>
      <c r="AV46" s="51">
        <v>43</v>
      </c>
      <c r="AW46" s="52">
        <v>95.55555555555556</v>
      </c>
      <c r="AX46" s="51">
        <v>45</v>
      </c>
      <c r="AY46" s="51"/>
      <c r="AZ46" s="51"/>
      <c r="BA46" s="51"/>
      <c r="BB46" s="51"/>
      <c r="BC46" s="2"/>
      <c r="BD46" s="3"/>
      <c r="BE46" s="3"/>
      <c r="BF46" s="3"/>
      <c r="BG46" s="3"/>
    </row>
    <row r="47" spans="1:59" ht="15">
      <c r="A47" s="14" t="s">
        <v>240</v>
      </c>
      <c r="B47" s="15"/>
      <c r="C47" s="15"/>
      <c r="D47" s="88">
        <v>88.30496917417945</v>
      </c>
      <c r="E47" s="82"/>
      <c r="F47" s="109" t="str">
        <f>HYPERLINK("https://i.ytimg.com/vi/AdjKiiN2P8c/default.jpg")</f>
        <v>https://i.ytimg.com/vi/AdjKiiN2P8c/default.jpg</v>
      </c>
      <c r="G47" s="15"/>
      <c r="H47" s="16" t="s">
        <v>343</v>
      </c>
      <c r="I47" s="67"/>
      <c r="J47" s="67"/>
      <c r="K47" s="107" t="s">
        <v>343</v>
      </c>
      <c r="L47" s="89">
        <v>9969.025370692882</v>
      </c>
      <c r="M47" s="90">
        <v>8558.302734375</v>
      </c>
      <c r="N47" s="90">
        <v>2841.719482421875</v>
      </c>
      <c r="O47" s="78"/>
      <c r="P47" s="91"/>
      <c r="Q47" s="91"/>
      <c r="R47" s="92"/>
      <c r="S47" s="51">
        <v>1</v>
      </c>
      <c r="T47" s="51">
        <v>0</v>
      </c>
      <c r="U47" s="52">
        <v>0</v>
      </c>
      <c r="V47" s="52">
        <v>0.005525</v>
      </c>
      <c r="W47" s="52">
        <v>0.01087</v>
      </c>
      <c r="X47" s="52">
        <v>0.545586</v>
      </c>
      <c r="Y47" s="52">
        <v>0</v>
      </c>
      <c r="Z47" s="52">
        <v>0</v>
      </c>
      <c r="AA47" s="83">
        <v>47</v>
      </c>
      <c r="AB47" s="83"/>
      <c r="AC47" s="93"/>
      <c r="AD47" s="86" t="s">
        <v>343</v>
      </c>
      <c r="AE47" s="86" t="s">
        <v>420</v>
      </c>
      <c r="AF47" s="86"/>
      <c r="AG47" s="86" t="s">
        <v>566</v>
      </c>
      <c r="AH47" s="86" t="s">
        <v>635</v>
      </c>
      <c r="AI47" s="86">
        <v>7772</v>
      </c>
      <c r="AJ47" s="86">
        <v>53</v>
      </c>
      <c r="AK47" s="86">
        <v>632</v>
      </c>
      <c r="AL47" s="86">
        <v>8</v>
      </c>
      <c r="AM47" s="86" t="s">
        <v>699</v>
      </c>
      <c r="AN47" s="111" t="str">
        <f>HYPERLINK("https://www.youtube.com/watch?v=AdjKiiN2P8c")</f>
        <v>https://www.youtube.com/watch?v=AdjKiiN2P8c</v>
      </c>
      <c r="AO47" s="86" t="str">
        <f>REPLACE(INDEX(GroupVertices[Group],MATCH(Vertices[[#This Row],[Vertex]],GroupVertices[Vertex],0)),1,1,"")</f>
        <v>1</v>
      </c>
      <c r="AP47" s="51"/>
      <c r="AQ47" s="52"/>
      <c r="AR47" s="51"/>
      <c r="AS47" s="52"/>
      <c r="AT47" s="51"/>
      <c r="AU47" s="52"/>
      <c r="AV47" s="51"/>
      <c r="AW47" s="52"/>
      <c r="AX47" s="51"/>
      <c r="AY47" s="51"/>
      <c r="AZ47" s="51"/>
      <c r="BA47" s="51"/>
      <c r="BB47" s="51"/>
      <c r="BC47" s="2"/>
      <c r="BD47" s="3"/>
      <c r="BE47" s="3"/>
      <c r="BF47" s="3"/>
      <c r="BG47" s="3"/>
    </row>
    <row r="48" spans="1:59" ht="15">
      <c r="A48" s="14" t="s">
        <v>241</v>
      </c>
      <c r="B48" s="15"/>
      <c r="C48" s="15"/>
      <c r="D48" s="88">
        <v>81.74521568636703</v>
      </c>
      <c r="E48" s="82"/>
      <c r="F48" s="109" t="str">
        <f>HYPERLINK("https://i.ytimg.com/vi/O4NVMjYdhCU/default.jpg")</f>
        <v>https://i.ytimg.com/vi/O4NVMjYdhCU/default.jpg</v>
      </c>
      <c r="G48" s="15"/>
      <c r="H48" s="16" t="s">
        <v>344</v>
      </c>
      <c r="I48" s="67"/>
      <c r="J48" s="67"/>
      <c r="K48" s="107" t="s">
        <v>344</v>
      </c>
      <c r="L48" s="89">
        <v>9992.701097239173</v>
      </c>
      <c r="M48" s="90">
        <v>6778.9013671875</v>
      </c>
      <c r="N48" s="90">
        <v>1762.8294677734375</v>
      </c>
      <c r="O48" s="78"/>
      <c r="P48" s="91"/>
      <c r="Q48" s="91"/>
      <c r="R48" s="92"/>
      <c r="S48" s="51">
        <v>1</v>
      </c>
      <c r="T48" s="51">
        <v>0</v>
      </c>
      <c r="U48" s="52">
        <v>0</v>
      </c>
      <c r="V48" s="52">
        <v>0.005525</v>
      </c>
      <c r="W48" s="52">
        <v>0.01087</v>
      </c>
      <c r="X48" s="52">
        <v>0.545586</v>
      </c>
      <c r="Y48" s="52">
        <v>0</v>
      </c>
      <c r="Z48" s="52">
        <v>0</v>
      </c>
      <c r="AA48" s="83">
        <v>48</v>
      </c>
      <c r="AB48" s="83"/>
      <c r="AC48" s="93"/>
      <c r="AD48" s="86" t="s">
        <v>344</v>
      </c>
      <c r="AE48" s="86" t="s">
        <v>420</v>
      </c>
      <c r="AF48" s="86" t="s">
        <v>500</v>
      </c>
      <c r="AG48" s="86" t="s">
        <v>566</v>
      </c>
      <c r="AH48" s="86" t="s">
        <v>636</v>
      </c>
      <c r="AI48" s="86">
        <v>1728</v>
      </c>
      <c r="AJ48" s="86">
        <v>66</v>
      </c>
      <c r="AK48" s="86">
        <v>238</v>
      </c>
      <c r="AL48" s="86">
        <v>5</v>
      </c>
      <c r="AM48" s="86" t="s">
        <v>699</v>
      </c>
      <c r="AN48" s="111" t="str">
        <f>HYPERLINK("https://www.youtube.com/watch?v=O4NVMjYdhCU")</f>
        <v>https://www.youtube.com/watch?v=O4NVMjYdhCU</v>
      </c>
      <c r="AO48" s="86" t="str">
        <f>REPLACE(INDEX(GroupVertices[Group],MATCH(Vertices[[#This Row],[Vertex]],GroupVertices[Vertex],0)),1,1,"")</f>
        <v>1</v>
      </c>
      <c r="AP48" s="51">
        <v>1</v>
      </c>
      <c r="AQ48" s="52">
        <v>1.7241379310344827</v>
      </c>
      <c r="AR48" s="51">
        <v>7</v>
      </c>
      <c r="AS48" s="52">
        <v>12.068965517241379</v>
      </c>
      <c r="AT48" s="51">
        <v>0</v>
      </c>
      <c r="AU48" s="52">
        <v>0</v>
      </c>
      <c r="AV48" s="51">
        <v>50</v>
      </c>
      <c r="AW48" s="52">
        <v>86.20689655172414</v>
      </c>
      <c r="AX48" s="51">
        <v>58</v>
      </c>
      <c r="AY48" s="51"/>
      <c r="AZ48" s="51"/>
      <c r="BA48" s="51"/>
      <c r="BB48" s="51"/>
      <c r="BC48" s="2"/>
      <c r="BD48" s="3"/>
      <c r="BE48" s="3"/>
      <c r="BF48" s="3"/>
      <c r="BG48" s="3"/>
    </row>
    <row r="49" spans="1:59" ht="15">
      <c r="A49" s="14" t="s">
        <v>245</v>
      </c>
      <c r="B49" s="15"/>
      <c r="C49" s="15"/>
      <c r="D49" s="88">
        <v>82.10663162141692</v>
      </c>
      <c r="E49" s="82"/>
      <c r="F49" s="109" t="str">
        <f>HYPERLINK("https://i.ytimg.com/vi/5EBTorY4KqM/default.jpg")</f>
        <v>https://i.ytimg.com/vi/5EBTorY4KqM/default.jpg</v>
      </c>
      <c r="G49" s="15"/>
      <c r="H49" s="16" t="s">
        <v>348</v>
      </c>
      <c r="I49" s="67"/>
      <c r="J49" s="67"/>
      <c r="K49" s="107" t="s">
        <v>348</v>
      </c>
      <c r="L49" s="89">
        <v>9991.396660286837</v>
      </c>
      <c r="M49" s="90">
        <v>5889.20068359375</v>
      </c>
      <c r="N49" s="90">
        <v>1762.8294677734375</v>
      </c>
      <c r="O49" s="78"/>
      <c r="P49" s="91"/>
      <c r="Q49" s="91"/>
      <c r="R49" s="92"/>
      <c r="S49" s="51">
        <v>1</v>
      </c>
      <c r="T49" s="51">
        <v>0</v>
      </c>
      <c r="U49" s="52">
        <v>0</v>
      </c>
      <c r="V49" s="52">
        <v>0.005525</v>
      </c>
      <c r="W49" s="52">
        <v>0.01087</v>
      </c>
      <c r="X49" s="52">
        <v>0.545586</v>
      </c>
      <c r="Y49" s="52">
        <v>0</v>
      </c>
      <c r="Z49" s="52">
        <v>0</v>
      </c>
      <c r="AA49" s="83">
        <v>49</v>
      </c>
      <c r="AB49" s="83"/>
      <c r="AC49" s="93"/>
      <c r="AD49" s="86" t="s">
        <v>348</v>
      </c>
      <c r="AE49" s="86" t="s">
        <v>420</v>
      </c>
      <c r="AF49" s="86" t="s">
        <v>503</v>
      </c>
      <c r="AG49" s="86" t="s">
        <v>566</v>
      </c>
      <c r="AH49" s="86" t="s">
        <v>640</v>
      </c>
      <c r="AI49" s="86">
        <v>2061</v>
      </c>
      <c r="AJ49" s="86">
        <v>50</v>
      </c>
      <c r="AK49" s="86">
        <v>215</v>
      </c>
      <c r="AL49" s="86">
        <v>4</v>
      </c>
      <c r="AM49" s="86" t="s">
        <v>699</v>
      </c>
      <c r="AN49" s="111" t="str">
        <f>HYPERLINK("https://www.youtube.com/watch?v=5EBTorY4KqM")</f>
        <v>https://www.youtube.com/watch?v=5EBTorY4KqM</v>
      </c>
      <c r="AO49" s="86" t="str">
        <f>REPLACE(INDEX(GroupVertices[Group],MATCH(Vertices[[#This Row],[Vertex]],GroupVertices[Vertex],0)),1,1,"")</f>
        <v>1</v>
      </c>
      <c r="AP49" s="51">
        <v>2</v>
      </c>
      <c r="AQ49" s="52">
        <v>3.389830508474576</v>
      </c>
      <c r="AR49" s="51">
        <v>2</v>
      </c>
      <c r="AS49" s="52">
        <v>3.389830508474576</v>
      </c>
      <c r="AT49" s="51">
        <v>0</v>
      </c>
      <c r="AU49" s="52">
        <v>0</v>
      </c>
      <c r="AV49" s="51">
        <v>55</v>
      </c>
      <c r="AW49" s="52">
        <v>93.22033898305085</v>
      </c>
      <c r="AX49" s="51">
        <v>59</v>
      </c>
      <c r="AY49" s="51"/>
      <c r="AZ49" s="51"/>
      <c r="BA49" s="51"/>
      <c r="BB49" s="51"/>
      <c r="BC49" s="2"/>
      <c r="BD49" s="3"/>
      <c r="BE49" s="3"/>
      <c r="BF49" s="3"/>
      <c r="BG49" s="3"/>
    </row>
    <row r="50" spans="1:59" ht="15">
      <c r="A50" s="14" t="s">
        <v>250</v>
      </c>
      <c r="B50" s="15"/>
      <c r="C50" s="15"/>
      <c r="D50" s="88">
        <v>101.13143620246655</v>
      </c>
      <c r="E50" s="82"/>
      <c r="F50" s="109" t="str">
        <f>HYPERLINK("https://i.ytimg.com/vi/eXYUUUECzh8/default.jpg")</f>
        <v>https://i.ytimg.com/vi/eXYUUUECzh8/default.jpg</v>
      </c>
      <c r="G50" s="15"/>
      <c r="H50" s="16" t="s">
        <v>353</v>
      </c>
      <c r="I50" s="67"/>
      <c r="J50" s="67"/>
      <c r="K50" s="107" t="s">
        <v>353</v>
      </c>
      <c r="L50" s="89">
        <v>9922.73156918327</v>
      </c>
      <c r="M50" s="90">
        <v>2330.398193359375</v>
      </c>
      <c r="N50" s="90">
        <v>2841.719482421875</v>
      </c>
      <c r="O50" s="78"/>
      <c r="P50" s="91"/>
      <c r="Q50" s="91"/>
      <c r="R50" s="92"/>
      <c r="S50" s="51">
        <v>1</v>
      </c>
      <c r="T50" s="51">
        <v>0</v>
      </c>
      <c r="U50" s="52">
        <v>0</v>
      </c>
      <c r="V50" s="52">
        <v>0.005525</v>
      </c>
      <c r="W50" s="52">
        <v>0.01087</v>
      </c>
      <c r="X50" s="52">
        <v>0.545586</v>
      </c>
      <c r="Y50" s="52">
        <v>0</v>
      </c>
      <c r="Z50" s="52">
        <v>0</v>
      </c>
      <c r="AA50" s="83">
        <v>50</v>
      </c>
      <c r="AB50" s="83"/>
      <c r="AC50" s="93"/>
      <c r="AD50" s="86" t="s">
        <v>353</v>
      </c>
      <c r="AE50" s="86" t="s">
        <v>432</v>
      </c>
      <c r="AF50" s="86" t="s">
        <v>506</v>
      </c>
      <c r="AG50" s="86" t="s">
        <v>574</v>
      </c>
      <c r="AH50" s="86" t="s">
        <v>645</v>
      </c>
      <c r="AI50" s="86">
        <v>19590</v>
      </c>
      <c r="AJ50" s="86">
        <v>315</v>
      </c>
      <c r="AK50" s="86">
        <v>296</v>
      </c>
      <c r="AL50" s="86">
        <v>298</v>
      </c>
      <c r="AM50" s="86" t="s">
        <v>699</v>
      </c>
      <c r="AN50" s="111" t="str">
        <f>HYPERLINK("https://www.youtube.com/watch?v=eXYUUUECzh8")</f>
        <v>https://www.youtube.com/watch?v=eXYUUUECzh8</v>
      </c>
      <c r="AO50" s="86" t="str">
        <f>REPLACE(INDEX(GroupVertices[Group],MATCH(Vertices[[#This Row],[Vertex]],GroupVertices[Vertex],0)),1,1,"")</f>
        <v>1</v>
      </c>
      <c r="AP50" s="51">
        <v>0</v>
      </c>
      <c r="AQ50" s="52">
        <v>0</v>
      </c>
      <c r="AR50" s="51">
        <v>0</v>
      </c>
      <c r="AS50" s="52">
        <v>0</v>
      </c>
      <c r="AT50" s="51">
        <v>0</v>
      </c>
      <c r="AU50" s="52">
        <v>0</v>
      </c>
      <c r="AV50" s="51">
        <v>29</v>
      </c>
      <c r="AW50" s="52">
        <v>100</v>
      </c>
      <c r="AX50" s="51">
        <v>29</v>
      </c>
      <c r="AY50" s="51"/>
      <c r="AZ50" s="51"/>
      <c r="BA50" s="51"/>
      <c r="BB50" s="51"/>
      <c r="BC50" s="2"/>
      <c r="BD50" s="3"/>
      <c r="BE50" s="3"/>
      <c r="BF50" s="3"/>
      <c r="BG50" s="3"/>
    </row>
    <row r="51" spans="1:59" ht="15">
      <c r="A51" s="14" t="s">
        <v>260</v>
      </c>
      <c r="B51" s="15"/>
      <c r="C51" s="15"/>
      <c r="D51" s="88">
        <v>1000</v>
      </c>
      <c r="E51" s="82"/>
      <c r="F51" s="109" t="str">
        <f>HYPERLINK("https://i.ytimg.com/vi/FC6rFCFHu14/default.jpg")</f>
        <v>https://i.ytimg.com/vi/FC6rFCFHu14/default.jpg</v>
      </c>
      <c r="G51" s="15"/>
      <c r="H51" s="16" t="s">
        <v>363</v>
      </c>
      <c r="I51" s="67"/>
      <c r="J51" s="67"/>
      <c r="K51" s="107" t="s">
        <v>363</v>
      </c>
      <c r="L51" s="89">
        <v>6266.610239331743</v>
      </c>
      <c r="M51" s="90">
        <v>8558.302734375</v>
      </c>
      <c r="N51" s="90">
        <v>9315.060546875</v>
      </c>
      <c r="O51" s="78"/>
      <c r="P51" s="91"/>
      <c r="Q51" s="91"/>
      <c r="R51" s="92"/>
      <c r="S51" s="51">
        <v>1</v>
      </c>
      <c r="T51" s="51">
        <v>0</v>
      </c>
      <c r="U51" s="52">
        <v>0</v>
      </c>
      <c r="V51" s="52">
        <v>0.005525</v>
      </c>
      <c r="W51" s="52">
        <v>0.01087</v>
      </c>
      <c r="X51" s="52">
        <v>0.545586</v>
      </c>
      <c r="Y51" s="52">
        <v>0</v>
      </c>
      <c r="Z51" s="52">
        <v>0</v>
      </c>
      <c r="AA51" s="83">
        <v>51</v>
      </c>
      <c r="AB51" s="83"/>
      <c r="AC51" s="93"/>
      <c r="AD51" s="86" t="s">
        <v>363</v>
      </c>
      <c r="AE51" s="86" t="s">
        <v>441</v>
      </c>
      <c r="AF51" s="86" t="s">
        <v>514</v>
      </c>
      <c r="AG51" s="86" t="s">
        <v>580</v>
      </c>
      <c r="AH51" s="86" t="s">
        <v>655</v>
      </c>
      <c r="AI51" s="86">
        <v>952934</v>
      </c>
      <c r="AJ51" s="86">
        <v>6628</v>
      </c>
      <c r="AK51" s="86">
        <v>27393</v>
      </c>
      <c r="AL51" s="86">
        <v>2870</v>
      </c>
      <c r="AM51" s="86" t="s">
        <v>699</v>
      </c>
      <c r="AN51" s="111" t="str">
        <f>HYPERLINK("https://www.youtube.com/watch?v=FC6rFCFHu14")</f>
        <v>https://www.youtube.com/watch?v=FC6rFCFHu14</v>
      </c>
      <c r="AO51" s="86" t="str">
        <f>REPLACE(INDEX(GroupVertices[Group],MATCH(Vertices[[#This Row],[Vertex]],GroupVertices[Vertex],0)),1,1,"")</f>
        <v>1</v>
      </c>
      <c r="AP51" s="51">
        <v>0</v>
      </c>
      <c r="AQ51" s="52">
        <v>0</v>
      </c>
      <c r="AR51" s="51">
        <v>4</v>
      </c>
      <c r="AS51" s="52">
        <v>10.81081081081081</v>
      </c>
      <c r="AT51" s="51">
        <v>0</v>
      </c>
      <c r="AU51" s="52">
        <v>0</v>
      </c>
      <c r="AV51" s="51">
        <v>33</v>
      </c>
      <c r="AW51" s="52">
        <v>89.1891891891892</v>
      </c>
      <c r="AX51" s="51">
        <v>37</v>
      </c>
      <c r="AY51" s="51"/>
      <c r="AZ51" s="51"/>
      <c r="BA51" s="51"/>
      <c r="BB51" s="51"/>
      <c r="BC51" s="2"/>
      <c r="BD51" s="3"/>
      <c r="BE51" s="3"/>
      <c r="BF51" s="3"/>
      <c r="BG51" s="3"/>
    </row>
    <row r="52" spans="1:59" ht="15">
      <c r="A52" s="14" t="s">
        <v>298</v>
      </c>
      <c r="B52" s="15"/>
      <c r="C52" s="15"/>
      <c r="D52" s="88">
        <v>893.0870885466682</v>
      </c>
      <c r="E52" s="82"/>
      <c r="F52" s="109" t="str">
        <f>HYPERLINK("https://i.ytimg.com/vi/wy1i2LXuraU/default.jpg")</f>
        <v>https://i.ytimg.com/vi/wy1i2LXuraU/default.jpg</v>
      </c>
      <c r="G52" s="15"/>
      <c r="H52" s="16" t="s">
        <v>401</v>
      </c>
      <c r="I52" s="67"/>
      <c r="J52" s="67"/>
      <c r="K52" s="107" t="s">
        <v>401</v>
      </c>
      <c r="L52" s="89">
        <v>7064.373325001028</v>
      </c>
      <c r="M52" s="90">
        <v>4109.79931640625</v>
      </c>
      <c r="N52" s="90">
        <v>8236.1708984375</v>
      </c>
      <c r="O52" s="78"/>
      <c r="P52" s="91"/>
      <c r="Q52" s="91"/>
      <c r="R52" s="92"/>
      <c r="S52" s="51">
        <v>1</v>
      </c>
      <c r="T52" s="51">
        <v>0</v>
      </c>
      <c r="U52" s="52">
        <v>0</v>
      </c>
      <c r="V52" s="52">
        <v>0.005525</v>
      </c>
      <c r="W52" s="52">
        <v>0.01087</v>
      </c>
      <c r="X52" s="52">
        <v>0.545586</v>
      </c>
      <c r="Y52" s="52">
        <v>0</v>
      </c>
      <c r="Z52" s="52">
        <v>0</v>
      </c>
      <c r="AA52" s="83">
        <v>52</v>
      </c>
      <c r="AB52" s="83"/>
      <c r="AC52" s="93"/>
      <c r="AD52" s="86" t="s">
        <v>401</v>
      </c>
      <c r="AE52" s="86" t="s">
        <v>477</v>
      </c>
      <c r="AF52" s="86" t="s">
        <v>547</v>
      </c>
      <c r="AG52" s="86" t="s">
        <v>580</v>
      </c>
      <c r="AH52" s="86" t="s">
        <v>693</v>
      </c>
      <c r="AI52" s="86">
        <v>749279</v>
      </c>
      <c r="AJ52" s="86">
        <v>8435</v>
      </c>
      <c r="AK52" s="86">
        <v>36399</v>
      </c>
      <c r="AL52" s="86">
        <v>1734</v>
      </c>
      <c r="AM52" s="86" t="s">
        <v>699</v>
      </c>
      <c r="AN52" s="111" t="str">
        <f>HYPERLINK("https://www.youtube.com/watch?v=wy1i2LXuraU")</f>
        <v>https://www.youtube.com/watch?v=wy1i2LXuraU</v>
      </c>
      <c r="AO52" s="86" t="str">
        <f>REPLACE(INDEX(GroupVertices[Group],MATCH(Vertices[[#This Row],[Vertex]],GroupVertices[Vertex],0)),1,1,"")</f>
        <v>1</v>
      </c>
      <c r="AP52" s="51">
        <v>0</v>
      </c>
      <c r="AQ52" s="52">
        <v>0</v>
      </c>
      <c r="AR52" s="51">
        <v>1</v>
      </c>
      <c r="AS52" s="52">
        <v>1.3513513513513513</v>
      </c>
      <c r="AT52" s="51">
        <v>0</v>
      </c>
      <c r="AU52" s="52">
        <v>0</v>
      </c>
      <c r="AV52" s="51">
        <v>73</v>
      </c>
      <c r="AW52" s="52">
        <v>98.64864864864865</v>
      </c>
      <c r="AX52" s="51">
        <v>74</v>
      </c>
      <c r="AY52" s="51"/>
      <c r="AZ52" s="51"/>
      <c r="BA52" s="51"/>
      <c r="BB52" s="51"/>
      <c r="BC52" s="2"/>
      <c r="BD52" s="3"/>
      <c r="BE52" s="3"/>
      <c r="BF52" s="3"/>
      <c r="BG52" s="3"/>
    </row>
    <row r="53" spans="1:59" ht="15">
      <c r="A53" s="14" t="s">
        <v>277</v>
      </c>
      <c r="B53" s="15"/>
      <c r="C53" s="15"/>
      <c r="D53" s="88">
        <v>81.41527441232749</v>
      </c>
      <c r="E53" s="82"/>
      <c r="F53" s="109" t="str">
        <f>HYPERLINK("https://i.ytimg.com/vi/_fFE6WaokU8/default.jpg")</f>
        <v>https://i.ytimg.com/vi/_fFE6WaokU8/default.jpg</v>
      </c>
      <c r="G53" s="15"/>
      <c r="H53" s="16" t="s">
        <v>380</v>
      </c>
      <c r="I53" s="67"/>
      <c r="J53" s="67"/>
      <c r="K53" s="107" t="s">
        <v>380</v>
      </c>
      <c r="L53" s="89">
        <v>9993.891934577041</v>
      </c>
      <c r="M53" s="90">
        <v>7668.60205078125</v>
      </c>
      <c r="N53" s="90">
        <v>1762.8294677734375</v>
      </c>
      <c r="O53" s="78"/>
      <c r="P53" s="91"/>
      <c r="Q53" s="91"/>
      <c r="R53" s="92"/>
      <c r="S53" s="51">
        <v>1</v>
      </c>
      <c r="T53" s="51">
        <v>0</v>
      </c>
      <c r="U53" s="52">
        <v>0</v>
      </c>
      <c r="V53" s="52">
        <v>0.005525</v>
      </c>
      <c r="W53" s="52">
        <v>0.01087</v>
      </c>
      <c r="X53" s="52">
        <v>0.545586</v>
      </c>
      <c r="Y53" s="52">
        <v>0</v>
      </c>
      <c r="Z53" s="52">
        <v>0</v>
      </c>
      <c r="AA53" s="83">
        <v>53</v>
      </c>
      <c r="AB53" s="83"/>
      <c r="AC53" s="93"/>
      <c r="AD53" s="86" t="s">
        <v>380</v>
      </c>
      <c r="AE53" s="86" t="s">
        <v>458</v>
      </c>
      <c r="AF53" s="86" t="s">
        <v>530</v>
      </c>
      <c r="AG53" s="86" t="s">
        <v>593</v>
      </c>
      <c r="AH53" s="86" t="s">
        <v>672</v>
      </c>
      <c r="AI53" s="86">
        <v>1424</v>
      </c>
      <c r="AJ53" s="86">
        <v>10</v>
      </c>
      <c r="AK53" s="86">
        <v>49</v>
      </c>
      <c r="AL53" s="86">
        <v>43</v>
      </c>
      <c r="AM53" s="86" t="s">
        <v>699</v>
      </c>
      <c r="AN53" s="111" t="str">
        <f>HYPERLINK("https://www.youtube.com/watch?v=_fFE6WaokU8")</f>
        <v>https://www.youtube.com/watch?v=_fFE6WaokU8</v>
      </c>
      <c r="AO53" s="86" t="str">
        <f>REPLACE(INDEX(GroupVertices[Group],MATCH(Vertices[[#This Row],[Vertex]],GroupVertices[Vertex],0)),1,1,"")</f>
        <v>1</v>
      </c>
      <c r="AP53" s="51">
        <v>0</v>
      </c>
      <c r="AQ53" s="52">
        <v>0</v>
      </c>
      <c r="AR53" s="51">
        <v>0</v>
      </c>
      <c r="AS53" s="52">
        <v>0</v>
      </c>
      <c r="AT53" s="51">
        <v>0</v>
      </c>
      <c r="AU53" s="52">
        <v>0</v>
      </c>
      <c r="AV53" s="51">
        <v>5</v>
      </c>
      <c r="AW53" s="52">
        <v>100</v>
      </c>
      <c r="AX53" s="51">
        <v>5</v>
      </c>
      <c r="AY53" s="51"/>
      <c r="AZ53" s="51"/>
      <c r="BA53" s="51"/>
      <c r="BB53" s="51"/>
      <c r="BC53" s="2"/>
      <c r="BD53" s="3"/>
      <c r="BE53" s="3"/>
      <c r="BF53" s="3"/>
      <c r="BG53" s="3"/>
    </row>
    <row r="54" spans="1:59" ht="15">
      <c r="A54" s="14" t="s">
        <v>275</v>
      </c>
      <c r="B54" s="15"/>
      <c r="C54" s="15"/>
      <c r="D54" s="88">
        <v>80.72825853579121</v>
      </c>
      <c r="E54" s="82"/>
      <c r="F54" s="109" t="str">
        <f>HYPERLINK("https://i.ytimg.com/vi/qIXt89gLHo0/default.jpg")</f>
        <v>https://i.ytimg.com/vi/qIXt89gLHo0/default.jpg</v>
      </c>
      <c r="G54" s="15"/>
      <c r="H54" s="16" t="s">
        <v>378</v>
      </c>
      <c r="I54" s="67"/>
      <c r="J54" s="67"/>
      <c r="K54" s="107" t="s">
        <v>378</v>
      </c>
      <c r="L54" s="89">
        <v>9996.371539954904</v>
      </c>
      <c r="M54" s="90">
        <v>550.996826171875</v>
      </c>
      <c r="N54" s="90">
        <v>683.93896484375</v>
      </c>
      <c r="O54" s="78"/>
      <c r="P54" s="91"/>
      <c r="Q54" s="91"/>
      <c r="R54" s="92"/>
      <c r="S54" s="51">
        <v>1</v>
      </c>
      <c r="T54" s="51">
        <v>0</v>
      </c>
      <c r="U54" s="52">
        <v>0</v>
      </c>
      <c r="V54" s="52">
        <v>0.005525</v>
      </c>
      <c r="W54" s="52">
        <v>0.01087</v>
      </c>
      <c r="X54" s="52">
        <v>0.545586</v>
      </c>
      <c r="Y54" s="52">
        <v>0</v>
      </c>
      <c r="Z54" s="52">
        <v>0</v>
      </c>
      <c r="AA54" s="83">
        <v>54</v>
      </c>
      <c r="AB54" s="83"/>
      <c r="AC54" s="93"/>
      <c r="AD54" s="86" t="s">
        <v>378</v>
      </c>
      <c r="AE54" s="86" t="s">
        <v>456</v>
      </c>
      <c r="AF54" s="86" t="s">
        <v>528</v>
      </c>
      <c r="AG54" s="86" t="s">
        <v>591</v>
      </c>
      <c r="AH54" s="86" t="s">
        <v>670</v>
      </c>
      <c r="AI54" s="86">
        <v>791</v>
      </c>
      <c r="AJ54" s="86">
        <v>0</v>
      </c>
      <c r="AK54" s="86">
        <v>7</v>
      </c>
      <c r="AL54" s="86">
        <v>2</v>
      </c>
      <c r="AM54" s="86" t="s">
        <v>699</v>
      </c>
      <c r="AN54" s="111" t="str">
        <f>HYPERLINK("https://www.youtube.com/watch?v=qIXt89gLHo0")</f>
        <v>https://www.youtube.com/watch?v=qIXt89gLHo0</v>
      </c>
      <c r="AO54" s="86" t="str">
        <f>REPLACE(INDEX(GroupVertices[Group],MATCH(Vertices[[#This Row],[Vertex]],GroupVertices[Vertex],0)),1,1,"")</f>
        <v>1</v>
      </c>
      <c r="AP54" s="51">
        <v>0</v>
      </c>
      <c r="AQ54" s="52">
        <v>0</v>
      </c>
      <c r="AR54" s="51">
        <v>0</v>
      </c>
      <c r="AS54" s="52">
        <v>0</v>
      </c>
      <c r="AT54" s="51">
        <v>0</v>
      </c>
      <c r="AU54" s="52">
        <v>0</v>
      </c>
      <c r="AV54" s="51">
        <v>7</v>
      </c>
      <c r="AW54" s="52">
        <v>100</v>
      </c>
      <c r="AX54" s="51">
        <v>7</v>
      </c>
      <c r="AY54" s="51"/>
      <c r="AZ54" s="51"/>
      <c r="BA54" s="51"/>
      <c r="BB54" s="51"/>
      <c r="BC54" s="2"/>
      <c r="BD54" s="3"/>
      <c r="BE54" s="3"/>
      <c r="BF54" s="3"/>
      <c r="BG54" s="3"/>
    </row>
    <row r="55" spans="1:59" ht="15">
      <c r="A55" s="14" t="s">
        <v>269</v>
      </c>
      <c r="B55" s="15"/>
      <c r="C55" s="15"/>
      <c r="D55" s="88">
        <v>1000</v>
      </c>
      <c r="E55" s="82"/>
      <c r="F55" s="109" t="str">
        <f>HYPERLINK("https://i.ytimg.com/vi/fN2tgtcKGck/default.jpg")</f>
        <v>https://i.ytimg.com/vi/fN2tgtcKGck/default.jpg</v>
      </c>
      <c r="G55" s="15"/>
      <c r="H55" s="16" t="s">
        <v>372</v>
      </c>
      <c r="I55" s="67"/>
      <c r="J55" s="67"/>
      <c r="K55" s="107" t="s">
        <v>372</v>
      </c>
      <c r="L55" s="89">
        <v>6465.225454930132</v>
      </c>
      <c r="M55" s="90">
        <v>550.996826171875</v>
      </c>
      <c r="N55" s="90">
        <v>8236.1708984375</v>
      </c>
      <c r="O55" s="78"/>
      <c r="P55" s="91"/>
      <c r="Q55" s="91"/>
      <c r="R55" s="92"/>
      <c r="S55" s="51">
        <v>1</v>
      </c>
      <c r="T55" s="51">
        <v>0</v>
      </c>
      <c r="U55" s="52">
        <v>0</v>
      </c>
      <c r="V55" s="52">
        <v>0.005525</v>
      </c>
      <c r="W55" s="52">
        <v>0.01087</v>
      </c>
      <c r="X55" s="52">
        <v>0.545586</v>
      </c>
      <c r="Y55" s="52">
        <v>0</v>
      </c>
      <c r="Z55" s="52">
        <v>0</v>
      </c>
      <c r="AA55" s="83">
        <v>55</v>
      </c>
      <c r="AB55" s="83"/>
      <c r="AC55" s="93"/>
      <c r="AD55" s="86" t="s">
        <v>372</v>
      </c>
      <c r="AE55" s="86" t="s">
        <v>450</v>
      </c>
      <c r="AF55" s="86" t="s">
        <v>523</v>
      </c>
      <c r="AG55" s="86" t="s">
        <v>586</v>
      </c>
      <c r="AH55" s="86" t="s">
        <v>664</v>
      </c>
      <c r="AI55" s="86">
        <v>902231</v>
      </c>
      <c r="AJ55" s="86">
        <v>17888</v>
      </c>
      <c r="AK55" s="86">
        <v>6860</v>
      </c>
      <c r="AL55" s="86">
        <v>11949</v>
      </c>
      <c r="AM55" s="86" t="s">
        <v>699</v>
      </c>
      <c r="AN55" s="111" t="str">
        <f>HYPERLINK("https://www.youtube.com/watch?v=fN2tgtcKGck")</f>
        <v>https://www.youtube.com/watch?v=fN2tgtcKGck</v>
      </c>
      <c r="AO55" s="86" t="str">
        <f>REPLACE(INDEX(GroupVertices[Group],MATCH(Vertices[[#This Row],[Vertex]],GroupVertices[Vertex],0)),1,1,"")</f>
        <v>1</v>
      </c>
      <c r="AP55" s="51">
        <v>0</v>
      </c>
      <c r="AQ55" s="52">
        <v>0</v>
      </c>
      <c r="AR55" s="51">
        <v>0</v>
      </c>
      <c r="AS55" s="52">
        <v>0</v>
      </c>
      <c r="AT55" s="51">
        <v>0</v>
      </c>
      <c r="AU55" s="52">
        <v>0</v>
      </c>
      <c r="AV55" s="51">
        <v>17</v>
      </c>
      <c r="AW55" s="52">
        <v>100</v>
      </c>
      <c r="AX55" s="51">
        <v>17</v>
      </c>
      <c r="AY55" s="51"/>
      <c r="AZ55" s="51"/>
      <c r="BA55" s="51"/>
      <c r="BB55" s="51"/>
      <c r="BC55" s="2"/>
      <c r="BD55" s="3"/>
      <c r="BE55" s="3"/>
      <c r="BF55" s="3"/>
      <c r="BG55" s="3"/>
    </row>
    <row r="56" spans="1:59" ht="15">
      <c r="A56" s="14" t="s">
        <v>268</v>
      </c>
      <c r="B56" s="15"/>
      <c r="C56" s="15"/>
      <c r="D56" s="88">
        <v>88.93880372693962</v>
      </c>
      <c r="E56" s="82"/>
      <c r="F56" s="109" t="str">
        <f>HYPERLINK("https://i.ytimg.com/vi/y9NxNRPFaAg/default.jpg")</f>
        <v>https://i.ytimg.com/vi/y9NxNRPFaAg/default.jpg</v>
      </c>
      <c r="G56" s="15"/>
      <c r="H56" s="16" t="s">
        <v>371</v>
      </c>
      <c r="I56" s="67"/>
      <c r="J56" s="67"/>
      <c r="K56" s="107" t="s">
        <v>371</v>
      </c>
      <c r="L56" s="89">
        <v>9966.737709491188</v>
      </c>
      <c r="M56" s="90">
        <v>6778.9013671875</v>
      </c>
      <c r="N56" s="90">
        <v>2841.719482421875</v>
      </c>
      <c r="O56" s="78"/>
      <c r="P56" s="91"/>
      <c r="Q56" s="91"/>
      <c r="R56" s="92"/>
      <c r="S56" s="51">
        <v>1</v>
      </c>
      <c r="T56" s="51">
        <v>0</v>
      </c>
      <c r="U56" s="52">
        <v>0</v>
      </c>
      <c r="V56" s="52">
        <v>0.005525</v>
      </c>
      <c r="W56" s="52">
        <v>0.01087</v>
      </c>
      <c r="X56" s="52">
        <v>0.545586</v>
      </c>
      <c r="Y56" s="52">
        <v>0</v>
      </c>
      <c r="Z56" s="52">
        <v>0</v>
      </c>
      <c r="AA56" s="83">
        <v>56</v>
      </c>
      <c r="AB56" s="83"/>
      <c r="AC56" s="93"/>
      <c r="AD56" s="86" t="s">
        <v>371</v>
      </c>
      <c r="AE56" s="86" t="s">
        <v>449</v>
      </c>
      <c r="AF56" s="86" t="s">
        <v>522</v>
      </c>
      <c r="AG56" s="86" t="s">
        <v>585</v>
      </c>
      <c r="AH56" s="86" t="s">
        <v>663</v>
      </c>
      <c r="AI56" s="86">
        <v>8356</v>
      </c>
      <c r="AJ56" s="86">
        <v>326</v>
      </c>
      <c r="AK56" s="86">
        <v>354</v>
      </c>
      <c r="AL56" s="86">
        <v>62</v>
      </c>
      <c r="AM56" s="86" t="s">
        <v>699</v>
      </c>
      <c r="AN56" s="111" t="str">
        <f>HYPERLINK("https://www.youtube.com/watch?v=y9NxNRPFaAg")</f>
        <v>https://www.youtube.com/watch?v=y9NxNRPFaAg</v>
      </c>
      <c r="AO56" s="86" t="str">
        <f>REPLACE(INDEX(GroupVertices[Group],MATCH(Vertices[[#This Row],[Vertex]],GroupVertices[Vertex],0)),1,1,"")</f>
        <v>1</v>
      </c>
      <c r="AP56" s="51">
        <v>0</v>
      </c>
      <c r="AQ56" s="52">
        <v>0</v>
      </c>
      <c r="AR56" s="51">
        <v>0</v>
      </c>
      <c r="AS56" s="52">
        <v>0</v>
      </c>
      <c r="AT56" s="51">
        <v>0</v>
      </c>
      <c r="AU56" s="52">
        <v>0</v>
      </c>
      <c r="AV56" s="51">
        <v>4</v>
      </c>
      <c r="AW56" s="52">
        <v>100</v>
      </c>
      <c r="AX56" s="51">
        <v>4</v>
      </c>
      <c r="AY56" s="51"/>
      <c r="AZ56" s="51"/>
      <c r="BA56" s="51"/>
      <c r="BB56" s="51"/>
      <c r="BC56" s="2"/>
      <c r="BD56" s="3"/>
      <c r="BE56" s="3"/>
      <c r="BF56" s="3"/>
      <c r="BG56" s="3"/>
    </row>
    <row r="57" spans="1:59" ht="15">
      <c r="A57" s="14" t="s">
        <v>292</v>
      </c>
      <c r="B57" s="15"/>
      <c r="C57" s="15"/>
      <c r="D57" s="88">
        <v>384.67254791391895</v>
      </c>
      <c r="E57" s="82"/>
      <c r="F57" s="109" t="str">
        <f>HYPERLINK("https://i.ytimg.com/vi/UL3K785SIHA/default.jpg")</f>
        <v>https://i.ytimg.com/vi/UL3K785SIHA/default.jpg</v>
      </c>
      <c r="G57" s="15"/>
      <c r="H57" s="16" t="s">
        <v>395</v>
      </c>
      <c r="I57" s="67"/>
      <c r="J57" s="67"/>
      <c r="K57" s="107" t="s">
        <v>395</v>
      </c>
      <c r="L57" s="89">
        <v>8899.363566409318</v>
      </c>
      <c r="M57" s="90">
        <v>6778.9013671875</v>
      </c>
      <c r="N57" s="90">
        <v>7157.2802734375</v>
      </c>
      <c r="O57" s="78"/>
      <c r="P57" s="91"/>
      <c r="Q57" s="91"/>
      <c r="R57" s="92"/>
      <c r="S57" s="51">
        <v>1</v>
      </c>
      <c r="T57" s="51">
        <v>0</v>
      </c>
      <c r="U57" s="52">
        <v>0</v>
      </c>
      <c r="V57" s="52">
        <v>0.005525</v>
      </c>
      <c r="W57" s="52">
        <v>0.01087</v>
      </c>
      <c r="X57" s="52">
        <v>0.545586</v>
      </c>
      <c r="Y57" s="52">
        <v>0</v>
      </c>
      <c r="Z57" s="52">
        <v>0</v>
      </c>
      <c r="AA57" s="83">
        <v>57</v>
      </c>
      <c r="AB57" s="83"/>
      <c r="AC57" s="93"/>
      <c r="AD57" s="86" t="s">
        <v>395</v>
      </c>
      <c r="AE57" s="86" t="s">
        <v>471</v>
      </c>
      <c r="AF57" s="86" t="s">
        <v>541</v>
      </c>
      <c r="AG57" s="86" t="s">
        <v>604</v>
      </c>
      <c r="AH57" s="86" t="s">
        <v>687</v>
      </c>
      <c r="AI57" s="86">
        <v>280838</v>
      </c>
      <c r="AJ57" s="86">
        <v>1202</v>
      </c>
      <c r="AK57" s="86">
        <v>4165</v>
      </c>
      <c r="AL57" s="86">
        <v>91</v>
      </c>
      <c r="AM57" s="86" t="s">
        <v>699</v>
      </c>
      <c r="AN57" s="111" t="str">
        <f>HYPERLINK("https://www.youtube.com/watch?v=UL3K785SIHA")</f>
        <v>https://www.youtube.com/watch?v=UL3K785SIHA</v>
      </c>
      <c r="AO57" s="86" t="str">
        <f>REPLACE(INDEX(GroupVertices[Group],MATCH(Vertices[[#This Row],[Vertex]],GroupVertices[Vertex],0)),1,1,"")</f>
        <v>1</v>
      </c>
      <c r="AP57" s="51">
        <v>1</v>
      </c>
      <c r="AQ57" s="52">
        <v>1.5873015873015872</v>
      </c>
      <c r="AR57" s="51">
        <v>1</v>
      </c>
      <c r="AS57" s="52">
        <v>1.5873015873015872</v>
      </c>
      <c r="AT57" s="51">
        <v>0</v>
      </c>
      <c r="AU57" s="52">
        <v>0</v>
      </c>
      <c r="AV57" s="51">
        <v>61</v>
      </c>
      <c r="AW57" s="52">
        <v>96.82539682539682</v>
      </c>
      <c r="AX57" s="51">
        <v>63</v>
      </c>
      <c r="AY57" s="51"/>
      <c r="AZ57" s="51"/>
      <c r="BA57" s="51"/>
      <c r="BB57" s="51"/>
      <c r="BC57" s="2"/>
      <c r="BD57" s="3"/>
      <c r="BE57" s="3"/>
      <c r="BF57" s="3"/>
      <c r="BG57" s="3"/>
    </row>
    <row r="58" spans="1:59" ht="15">
      <c r="A58" s="14" t="s">
        <v>297</v>
      </c>
      <c r="B58" s="15"/>
      <c r="C58" s="15"/>
      <c r="D58" s="88">
        <v>1000</v>
      </c>
      <c r="E58" s="82"/>
      <c r="F58" s="109" t="str">
        <f>HYPERLINK("https://i.ytimg.com/vi/t3_zztRLVA4/default.jpg")</f>
        <v>https://i.ytimg.com/vi/t3_zztRLVA4/default.jpg</v>
      </c>
      <c r="G58" s="15"/>
      <c r="H58" s="16" t="s">
        <v>400</v>
      </c>
      <c r="I58" s="67"/>
      <c r="J58" s="67"/>
      <c r="K58" s="107" t="s">
        <v>400</v>
      </c>
      <c r="L58" s="89">
        <v>5543.9404160536615</v>
      </c>
      <c r="M58" s="90">
        <v>6778.9013671875</v>
      </c>
      <c r="N58" s="90">
        <v>9315.060546875</v>
      </c>
      <c r="O58" s="78"/>
      <c r="P58" s="91"/>
      <c r="Q58" s="91"/>
      <c r="R58" s="92"/>
      <c r="S58" s="51">
        <v>1</v>
      </c>
      <c r="T58" s="51">
        <v>0</v>
      </c>
      <c r="U58" s="52">
        <v>0</v>
      </c>
      <c r="V58" s="52">
        <v>0.005525</v>
      </c>
      <c r="W58" s="52">
        <v>0.01087</v>
      </c>
      <c r="X58" s="52">
        <v>0.545586</v>
      </c>
      <c r="Y58" s="52">
        <v>0</v>
      </c>
      <c r="Z58" s="52">
        <v>0</v>
      </c>
      <c r="AA58" s="83">
        <v>58</v>
      </c>
      <c r="AB58" s="83"/>
      <c r="AC58" s="93"/>
      <c r="AD58" s="86" t="s">
        <v>400</v>
      </c>
      <c r="AE58" s="86" t="s">
        <v>476</v>
      </c>
      <c r="AF58" s="86" t="s">
        <v>546</v>
      </c>
      <c r="AG58" s="86" t="s">
        <v>571</v>
      </c>
      <c r="AH58" s="86" t="s">
        <v>692</v>
      </c>
      <c r="AI58" s="86">
        <v>1137419</v>
      </c>
      <c r="AJ58" s="86">
        <v>4601</v>
      </c>
      <c r="AK58" s="86">
        <v>5785</v>
      </c>
      <c r="AL58" s="86">
        <v>3512</v>
      </c>
      <c r="AM58" s="86" t="s">
        <v>699</v>
      </c>
      <c r="AN58" s="111" t="str">
        <f>HYPERLINK("https://www.youtube.com/watch?v=t3_zztRLVA4")</f>
        <v>https://www.youtube.com/watch?v=t3_zztRLVA4</v>
      </c>
      <c r="AO58" s="86" t="str">
        <f>REPLACE(INDEX(GroupVertices[Group],MATCH(Vertices[[#This Row],[Vertex]],GroupVertices[Vertex],0)),1,1,"")</f>
        <v>1</v>
      </c>
      <c r="AP58" s="51">
        <v>0</v>
      </c>
      <c r="AQ58" s="52">
        <v>0</v>
      </c>
      <c r="AR58" s="51">
        <v>4</v>
      </c>
      <c r="AS58" s="52">
        <v>6.25</v>
      </c>
      <c r="AT58" s="51">
        <v>0</v>
      </c>
      <c r="AU58" s="52">
        <v>0</v>
      </c>
      <c r="AV58" s="51">
        <v>60</v>
      </c>
      <c r="AW58" s="52">
        <v>93.75</v>
      </c>
      <c r="AX58" s="51">
        <v>64</v>
      </c>
      <c r="AY58" s="51"/>
      <c r="AZ58" s="51"/>
      <c r="BA58" s="51"/>
      <c r="BB58" s="51"/>
      <c r="BC58" s="2"/>
      <c r="BD58" s="3"/>
      <c r="BE58" s="3"/>
      <c r="BF58" s="3"/>
      <c r="BG58" s="3"/>
    </row>
    <row r="59" spans="1:59" ht="15">
      <c r="A59" s="14" t="s">
        <v>246</v>
      </c>
      <c r="B59" s="15"/>
      <c r="C59" s="15"/>
      <c r="D59" s="88">
        <v>552.7331283783943</v>
      </c>
      <c r="E59" s="82"/>
      <c r="F59" s="109" t="str">
        <f>HYPERLINK("https://i.ytimg.com/vi/wjsHwDFlPKc/default.jpg")</f>
        <v>https://i.ytimg.com/vi/wjsHwDFlPKc/default.jpg</v>
      </c>
      <c r="G59" s="15"/>
      <c r="H59" s="16" t="s">
        <v>349</v>
      </c>
      <c r="I59" s="67"/>
      <c r="J59" s="67"/>
      <c r="K59" s="107" t="s">
        <v>349</v>
      </c>
      <c r="L59" s="89">
        <v>8292.792549117174</v>
      </c>
      <c r="M59" s="90">
        <v>1440.6976318359375</v>
      </c>
      <c r="N59" s="90">
        <v>7157.2802734375</v>
      </c>
      <c r="O59" s="78"/>
      <c r="P59" s="91"/>
      <c r="Q59" s="91"/>
      <c r="R59" s="92"/>
      <c r="S59" s="51">
        <v>1</v>
      </c>
      <c r="T59" s="51">
        <v>0</v>
      </c>
      <c r="U59" s="52">
        <v>0</v>
      </c>
      <c r="V59" s="52">
        <v>0.005525</v>
      </c>
      <c r="W59" s="52">
        <v>0.01087</v>
      </c>
      <c r="X59" s="52">
        <v>0.545586</v>
      </c>
      <c r="Y59" s="52">
        <v>0</v>
      </c>
      <c r="Z59" s="52">
        <v>0</v>
      </c>
      <c r="AA59" s="83">
        <v>59</v>
      </c>
      <c r="AB59" s="83"/>
      <c r="AC59" s="93"/>
      <c r="AD59" s="86" t="s">
        <v>349</v>
      </c>
      <c r="AE59" s="86" t="s">
        <v>428</v>
      </c>
      <c r="AF59" s="86" t="s">
        <v>504</v>
      </c>
      <c r="AG59" s="86" t="s">
        <v>571</v>
      </c>
      <c r="AH59" s="86" t="s">
        <v>641</v>
      </c>
      <c r="AI59" s="86">
        <v>435685</v>
      </c>
      <c r="AJ59" s="86">
        <v>143</v>
      </c>
      <c r="AK59" s="86">
        <v>2103</v>
      </c>
      <c r="AL59" s="86">
        <v>462</v>
      </c>
      <c r="AM59" s="86" t="s">
        <v>699</v>
      </c>
      <c r="AN59" s="111" t="str">
        <f>HYPERLINK("https://www.youtube.com/watch?v=wjsHwDFlPKc")</f>
        <v>https://www.youtube.com/watch?v=wjsHwDFlPKc</v>
      </c>
      <c r="AO59" s="86" t="str">
        <f>REPLACE(INDEX(GroupVertices[Group],MATCH(Vertices[[#This Row],[Vertex]],GroupVertices[Vertex],0)),1,1,"")</f>
        <v>1</v>
      </c>
      <c r="AP59" s="51">
        <v>0</v>
      </c>
      <c r="AQ59" s="52">
        <v>0</v>
      </c>
      <c r="AR59" s="51">
        <v>6</v>
      </c>
      <c r="AS59" s="52">
        <v>8.450704225352112</v>
      </c>
      <c r="AT59" s="51">
        <v>0</v>
      </c>
      <c r="AU59" s="52">
        <v>0</v>
      </c>
      <c r="AV59" s="51">
        <v>65</v>
      </c>
      <c r="AW59" s="52">
        <v>91.54929577464789</v>
      </c>
      <c r="AX59" s="51">
        <v>71</v>
      </c>
      <c r="AY59" s="51"/>
      <c r="AZ59" s="51"/>
      <c r="BA59" s="51"/>
      <c r="BB59" s="51"/>
      <c r="BC59" s="2"/>
      <c r="BD59" s="3"/>
      <c r="BE59" s="3"/>
      <c r="BF59" s="3"/>
      <c r="BG59" s="3"/>
    </row>
    <row r="60" spans="1:59" ht="15">
      <c r="A60" s="14" t="s">
        <v>293</v>
      </c>
      <c r="B60" s="15"/>
      <c r="C60" s="15"/>
      <c r="D60" s="88">
        <v>144.68694037510056</v>
      </c>
      <c r="E60" s="82"/>
      <c r="F60" s="109" t="str">
        <f>HYPERLINK("https://i.ytimg.com/vi/Zvnj2SMTydA/default.jpg")</f>
        <v>https://i.ytimg.com/vi/Zvnj2SMTydA/default.jpg</v>
      </c>
      <c r="G60" s="15"/>
      <c r="H60" s="16" t="s">
        <v>396</v>
      </c>
      <c r="I60" s="67"/>
      <c r="J60" s="67"/>
      <c r="K60" s="107" t="s">
        <v>396</v>
      </c>
      <c r="L60" s="89">
        <v>9765.529288900469</v>
      </c>
      <c r="M60" s="90">
        <v>9448.0029296875</v>
      </c>
      <c r="N60" s="90">
        <v>4999.5</v>
      </c>
      <c r="O60" s="78"/>
      <c r="P60" s="91"/>
      <c r="Q60" s="91"/>
      <c r="R60" s="92"/>
      <c r="S60" s="51">
        <v>1</v>
      </c>
      <c r="T60" s="51">
        <v>0</v>
      </c>
      <c r="U60" s="52">
        <v>0</v>
      </c>
      <c r="V60" s="52">
        <v>0.005525</v>
      </c>
      <c r="W60" s="52">
        <v>0.01087</v>
      </c>
      <c r="X60" s="52">
        <v>0.545586</v>
      </c>
      <c r="Y60" s="52">
        <v>0</v>
      </c>
      <c r="Z60" s="52">
        <v>0</v>
      </c>
      <c r="AA60" s="83">
        <v>60</v>
      </c>
      <c r="AB60" s="83"/>
      <c r="AC60" s="93"/>
      <c r="AD60" s="86" t="s">
        <v>396</v>
      </c>
      <c r="AE60" s="86" t="s">
        <v>472</v>
      </c>
      <c r="AF60" s="86" t="s">
        <v>542</v>
      </c>
      <c r="AG60" s="86" t="s">
        <v>589</v>
      </c>
      <c r="AH60" s="86" t="s">
        <v>688</v>
      </c>
      <c r="AI60" s="86">
        <v>59721</v>
      </c>
      <c r="AJ60" s="86">
        <v>293</v>
      </c>
      <c r="AK60" s="86">
        <v>679</v>
      </c>
      <c r="AL60" s="86">
        <v>313</v>
      </c>
      <c r="AM60" s="86" t="s">
        <v>699</v>
      </c>
      <c r="AN60" s="111" t="str">
        <f>HYPERLINK("https://www.youtube.com/watch?v=Zvnj2SMTydA")</f>
        <v>https://www.youtube.com/watch?v=Zvnj2SMTydA</v>
      </c>
      <c r="AO60" s="86" t="str">
        <f>REPLACE(INDEX(GroupVertices[Group],MATCH(Vertices[[#This Row],[Vertex]],GroupVertices[Vertex],0)),1,1,"")</f>
        <v>1</v>
      </c>
      <c r="AP60" s="51">
        <v>0</v>
      </c>
      <c r="AQ60" s="52">
        <v>0</v>
      </c>
      <c r="AR60" s="51">
        <v>0</v>
      </c>
      <c r="AS60" s="52">
        <v>0</v>
      </c>
      <c r="AT60" s="51">
        <v>0</v>
      </c>
      <c r="AU60" s="52">
        <v>0</v>
      </c>
      <c r="AV60" s="51">
        <v>61</v>
      </c>
      <c r="AW60" s="52">
        <v>100</v>
      </c>
      <c r="AX60" s="51">
        <v>61</v>
      </c>
      <c r="AY60" s="51"/>
      <c r="AZ60" s="51"/>
      <c r="BA60" s="51"/>
      <c r="BB60" s="51"/>
      <c r="BC60" s="2"/>
      <c r="BD60" s="3"/>
      <c r="BE60" s="3"/>
      <c r="BF60" s="3"/>
      <c r="BG60" s="3"/>
    </row>
    <row r="61" spans="1:59" ht="15">
      <c r="A61" s="14" t="s">
        <v>273</v>
      </c>
      <c r="B61" s="15"/>
      <c r="C61" s="15"/>
      <c r="D61" s="88">
        <v>83.57074602496738</v>
      </c>
      <c r="E61" s="82"/>
      <c r="F61" s="109" t="str">
        <f>HYPERLINK("https://i.ytimg.com/vi/e0Huhm9MKhE/default.jpg")</f>
        <v>https://i.ytimg.com/vi/e0Huhm9MKhE/default.jpg</v>
      </c>
      <c r="G61" s="15"/>
      <c r="H61" s="16" t="s">
        <v>376</v>
      </c>
      <c r="I61" s="67"/>
      <c r="J61" s="67"/>
      <c r="K61" s="107" t="s">
        <v>376</v>
      </c>
      <c r="L61" s="89">
        <v>9986.11231960005</v>
      </c>
      <c r="M61" s="90">
        <v>4109.79931640625</v>
      </c>
      <c r="N61" s="90">
        <v>1762.8294677734375</v>
      </c>
      <c r="O61" s="78"/>
      <c r="P61" s="91"/>
      <c r="Q61" s="91"/>
      <c r="R61" s="92"/>
      <c r="S61" s="51">
        <v>1</v>
      </c>
      <c r="T61" s="51">
        <v>0</v>
      </c>
      <c r="U61" s="52">
        <v>0</v>
      </c>
      <c r="V61" s="52">
        <v>0.005525</v>
      </c>
      <c r="W61" s="52">
        <v>0.01087</v>
      </c>
      <c r="X61" s="52">
        <v>0.545586</v>
      </c>
      <c r="Y61" s="52">
        <v>0</v>
      </c>
      <c r="Z61" s="52">
        <v>0</v>
      </c>
      <c r="AA61" s="83">
        <v>61</v>
      </c>
      <c r="AB61" s="83"/>
      <c r="AC61" s="93"/>
      <c r="AD61" s="86" t="s">
        <v>376</v>
      </c>
      <c r="AE61" s="86" t="s">
        <v>454</v>
      </c>
      <c r="AF61" s="86" t="s">
        <v>526</v>
      </c>
      <c r="AG61" s="86" t="s">
        <v>589</v>
      </c>
      <c r="AH61" s="86" t="s">
        <v>668</v>
      </c>
      <c r="AI61" s="86">
        <v>3410</v>
      </c>
      <c r="AJ61" s="86">
        <v>20</v>
      </c>
      <c r="AK61" s="86">
        <v>34</v>
      </c>
      <c r="AL61" s="86">
        <v>7</v>
      </c>
      <c r="AM61" s="86" t="s">
        <v>699</v>
      </c>
      <c r="AN61" s="111" t="str">
        <f>HYPERLINK("https://www.youtube.com/watch?v=e0Huhm9MKhE")</f>
        <v>https://www.youtube.com/watch?v=e0Huhm9MKhE</v>
      </c>
      <c r="AO61" s="86" t="str">
        <f>REPLACE(INDEX(GroupVertices[Group],MATCH(Vertices[[#This Row],[Vertex]],GroupVertices[Vertex],0)),1,1,"")</f>
        <v>1</v>
      </c>
      <c r="AP61" s="51">
        <v>0</v>
      </c>
      <c r="AQ61" s="52">
        <v>0</v>
      </c>
      <c r="AR61" s="51">
        <v>0</v>
      </c>
      <c r="AS61" s="52">
        <v>0</v>
      </c>
      <c r="AT61" s="51">
        <v>0</v>
      </c>
      <c r="AU61" s="52">
        <v>0</v>
      </c>
      <c r="AV61" s="51">
        <v>60</v>
      </c>
      <c r="AW61" s="52">
        <v>100</v>
      </c>
      <c r="AX61" s="51">
        <v>60</v>
      </c>
      <c r="AY61" s="51"/>
      <c r="AZ61" s="51"/>
      <c r="BA61" s="51"/>
      <c r="BB61" s="51"/>
      <c r="BC61" s="2"/>
      <c r="BD61" s="3"/>
      <c r="BE61" s="3"/>
      <c r="BF61" s="3"/>
      <c r="BG61" s="3"/>
    </row>
    <row r="62" spans="1:59" ht="15">
      <c r="A62" s="14" t="s">
        <v>291</v>
      </c>
      <c r="B62" s="15"/>
      <c r="C62" s="15"/>
      <c r="D62" s="88">
        <v>175.89786543284737</v>
      </c>
      <c r="E62" s="82"/>
      <c r="F62" s="109" t="str">
        <f>HYPERLINK("https://i.ytimg.com/vi/uABiSzFWzeg/default.jpg")</f>
        <v>https://i.ytimg.com/vi/uABiSzFWzeg/default.jpg</v>
      </c>
      <c r="G62" s="15"/>
      <c r="H62" s="16" t="s">
        <v>394</v>
      </c>
      <c r="I62" s="67"/>
      <c r="J62" s="67"/>
      <c r="K62" s="107" t="s">
        <v>394</v>
      </c>
      <c r="L62" s="89">
        <v>9652.881560857497</v>
      </c>
      <c r="M62" s="90">
        <v>2330.398193359375</v>
      </c>
      <c r="N62" s="90">
        <v>4999.5</v>
      </c>
      <c r="O62" s="78"/>
      <c r="P62" s="91"/>
      <c r="Q62" s="91"/>
      <c r="R62" s="92"/>
      <c r="S62" s="51">
        <v>1</v>
      </c>
      <c r="T62" s="51">
        <v>0</v>
      </c>
      <c r="U62" s="52">
        <v>0</v>
      </c>
      <c r="V62" s="52">
        <v>0.005525</v>
      </c>
      <c r="W62" s="52">
        <v>0.01087</v>
      </c>
      <c r="X62" s="52">
        <v>0.545586</v>
      </c>
      <c r="Y62" s="52">
        <v>0</v>
      </c>
      <c r="Z62" s="52">
        <v>0</v>
      </c>
      <c r="AA62" s="83">
        <v>62</v>
      </c>
      <c r="AB62" s="83"/>
      <c r="AC62" s="93"/>
      <c r="AD62" s="86" t="s">
        <v>394</v>
      </c>
      <c r="AE62" s="86" t="s">
        <v>470</v>
      </c>
      <c r="AF62" s="86" t="s">
        <v>540</v>
      </c>
      <c r="AG62" s="86" t="s">
        <v>603</v>
      </c>
      <c r="AH62" s="86" t="s">
        <v>686</v>
      </c>
      <c r="AI62" s="86">
        <v>88478</v>
      </c>
      <c r="AJ62" s="86">
        <v>1869</v>
      </c>
      <c r="AK62" s="86">
        <v>1424</v>
      </c>
      <c r="AL62" s="86">
        <v>366</v>
      </c>
      <c r="AM62" s="86" t="s">
        <v>699</v>
      </c>
      <c r="AN62" s="111" t="str">
        <f>HYPERLINK("https://www.youtube.com/watch?v=uABiSzFWzeg")</f>
        <v>https://www.youtube.com/watch?v=uABiSzFWzeg</v>
      </c>
      <c r="AO62" s="86" t="str">
        <f>REPLACE(INDEX(GroupVertices[Group],MATCH(Vertices[[#This Row],[Vertex]],GroupVertices[Vertex],0)),1,1,"")</f>
        <v>1</v>
      </c>
      <c r="AP62" s="51">
        <v>1</v>
      </c>
      <c r="AQ62" s="52">
        <v>1.408450704225352</v>
      </c>
      <c r="AR62" s="51">
        <v>2</v>
      </c>
      <c r="AS62" s="52">
        <v>2.816901408450704</v>
      </c>
      <c r="AT62" s="51">
        <v>0</v>
      </c>
      <c r="AU62" s="52">
        <v>0</v>
      </c>
      <c r="AV62" s="51">
        <v>68</v>
      </c>
      <c r="AW62" s="52">
        <v>95.77464788732394</v>
      </c>
      <c r="AX62" s="51">
        <v>71</v>
      </c>
      <c r="AY62" s="51"/>
      <c r="AZ62" s="51"/>
      <c r="BA62" s="51"/>
      <c r="BB62" s="51"/>
      <c r="BC62" s="2"/>
      <c r="BD62" s="3"/>
      <c r="BE62" s="3"/>
      <c r="BF62" s="3"/>
      <c r="BG62" s="3"/>
    </row>
    <row r="63" spans="1:59" ht="15">
      <c r="A63" s="14" t="s">
        <v>263</v>
      </c>
      <c r="B63" s="15"/>
      <c r="C63" s="15"/>
      <c r="D63" s="88">
        <v>561.8141107464496</v>
      </c>
      <c r="E63" s="82"/>
      <c r="F63" s="109" t="str">
        <f>HYPERLINK("https://i.ytimg.com/vi/EHYgZWAvIIs/default.jpg")</f>
        <v>https://i.ytimg.com/vi/EHYgZWAvIIs/default.jpg</v>
      </c>
      <c r="G63" s="15"/>
      <c r="H63" s="16" t="s">
        <v>366</v>
      </c>
      <c r="I63" s="67"/>
      <c r="J63" s="67"/>
      <c r="K63" s="107" t="s">
        <v>366</v>
      </c>
      <c r="L63" s="89">
        <v>8260.017101729214</v>
      </c>
      <c r="M63" s="90">
        <v>550.996826171875</v>
      </c>
      <c r="N63" s="90">
        <v>7157.2802734375</v>
      </c>
      <c r="O63" s="78"/>
      <c r="P63" s="91"/>
      <c r="Q63" s="91"/>
      <c r="R63" s="92"/>
      <c r="S63" s="51">
        <v>1</v>
      </c>
      <c r="T63" s="51">
        <v>0</v>
      </c>
      <c r="U63" s="52">
        <v>0</v>
      </c>
      <c r="V63" s="52">
        <v>0.005525</v>
      </c>
      <c r="W63" s="52">
        <v>0.01087</v>
      </c>
      <c r="X63" s="52">
        <v>0.545586</v>
      </c>
      <c r="Y63" s="52">
        <v>0</v>
      </c>
      <c r="Z63" s="52">
        <v>0</v>
      </c>
      <c r="AA63" s="83">
        <v>63</v>
      </c>
      <c r="AB63" s="83"/>
      <c r="AC63" s="93"/>
      <c r="AD63" s="86" t="s">
        <v>366</v>
      </c>
      <c r="AE63" s="86" t="s">
        <v>444</v>
      </c>
      <c r="AF63" s="86" t="s">
        <v>517</v>
      </c>
      <c r="AG63" s="86" t="s">
        <v>581</v>
      </c>
      <c r="AH63" s="86" t="s">
        <v>658</v>
      </c>
      <c r="AI63" s="86">
        <v>444052</v>
      </c>
      <c r="AJ63" s="86">
        <v>0</v>
      </c>
      <c r="AK63" s="86">
        <v>6006</v>
      </c>
      <c r="AL63" s="86">
        <v>4437</v>
      </c>
      <c r="AM63" s="86" t="s">
        <v>699</v>
      </c>
      <c r="AN63" s="111" t="str">
        <f>HYPERLINK("https://www.youtube.com/watch?v=EHYgZWAvIIs")</f>
        <v>https://www.youtube.com/watch?v=EHYgZWAvIIs</v>
      </c>
      <c r="AO63" s="86" t="str">
        <f>REPLACE(INDEX(GroupVertices[Group],MATCH(Vertices[[#This Row],[Vertex]],GroupVertices[Vertex],0)),1,1,"")</f>
        <v>1</v>
      </c>
      <c r="AP63" s="51">
        <v>1</v>
      </c>
      <c r="AQ63" s="52">
        <v>1.7241379310344827</v>
      </c>
      <c r="AR63" s="51">
        <v>0</v>
      </c>
      <c r="AS63" s="52">
        <v>0</v>
      </c>
      <c r="AT63" s="51">
        <v>0</v>
      </c>
      <c r="AU63" s="52">
        <v>0</v>
      </c>
      <c r="AV63" s="51">
        <v>57</v>
      </c>
      <c r="AW63" s="52">
        <v>98.27586206896552</v>
      </c>
      <c r="AX63" s="51">
        <v>58</v>
      </c>
      <c r="AY63" s="51"/>
      <c r="AZ63" s="51"/>
      <c r="BA63" s="51"/>
      <c r="BB63" s="51"/>
      <c r="BC63" s="2"/>
      <c r="BD63" s="3"/>
      <c r="BE63" s="3"/>
      <c r="BF63" s="3"/>
      <c r="BG63" s="3"/>
    </row>
    <row r="64" spans="1:59" ht="15">
      <c r="A64" s="14" t="s">
        <v>303</v>
      </c>
      <c r="B64" s="15"/>
      <c r="C64" s="15"/>
      <c r="D64" s="88">
        <v>84.4704871966081</v>
      </c>
      <c r="E64" s="82"/>
      <c r="F64" s="109" t="str">
        <f>HYPERLINK("https://i.ytimg.com/vi/YTLAfZv8nOc/default_live.jpg")</f>
        <v>https://i.ytimg.com/vi/YTLAfZv8nOc/default_live.jpg</v>
      </c>
      <c r="G64" s="15"/>
      <c r="H64" s="16" t="s">
        <v>316</v>
      </c>
      <c r="I64" s="67"/>
      <c r="J64" s="67"/>
      <c r="K64" s="107" t="s">
        <v>316</v>
      </c>
      <c r="L64" s="89">
        <v>9982.864937517508</v>
      </c>
      <c r="M64" s="90">
        <v>2330.398193359375</v>
      </c>
      <c r="N64" s="90">
        <v>1762.8294677734375</v>
      </c>
      <c r="O64" s="78"/>
      <c r="P64" s="91"/>
      <c r="Q64" s="91"/>
      <c r="R64" s="92"/>
      <c r="S64" s="51">
        <v>1</v>
      </c>
      <c r="T64" s="51">
        <v>0</v>
      </c>
      <c r="U64" s="52">
        <v>0</v>
      </c>
      <c r="V64" s="52">
        <v>0.005525</v>
      </c>
      <c r="W64" s="52">
        <v>0.01087</v>
      </c>
      <c r="X64" s="52">
        <v>0.545586</v>
      </c>
      <c r="Y64" s="52">
        <v>0</v>
      </c>
      <c r="Z64" s="52">
        <v>0</v>
      </c>
      <c r="AA64" s="83">
        <v>64</v>
      </c>
      <c r="AB64" s="83"/>
      <c r="AC64" s="93"/>
      <c r="AD64" s="86" t="s">
        <v>316</v>
      </c>
      <c r="AE64" s="86" t="s">
        <v>406</v>
      </c>
      <c r="AF64" s="86"/>
      <c r="AG64" s="86" t="s">
        <v>552</v>
      </c>
      <c r="AH64" s="86" t="s">
        <v>607</v>
      </c>
      <c r="AI64" s="86">
        <v>4239</v>
      </c>
      <c r="AJ64" s="86">
        <v>0</v>
      </c>
      <c r="AK64" s="86">
        <v>437</v>
      </c>
      <c r="AL64" s="86">
        <v>34</v>
      </c>
      <c r="AM64" s="86" t="s">
        <v>699</v>
      </c>
      <c r="AN64" s="111" t="str">
        <f>HYPERLINK("https://www.youtube.com/watch?v=YTLAfZv8nOc")</f>
        <v>https://www.youtube.com/watch?v=YTLAfZv8nOc</v>
      </c>
      <c r="AO64" s="86" t="str">
        <f>REPLACE(INDEX(GroupVertices[Group],MATCH(Vertices[[#This Row],[Vertex]],GroupVertices[Vertex],0)),1,1,"")</f>
        <v>1</v>
      </c>
      <c r="AP64" s="51"/>
      <c r="AQ64" s="52"/>
      <c r="AR64" s="51"/>
      <c r="AS64" s="52"/>
      <c r="AT64" s="51"/>
      <c r="AU64" s="52"/>
      <c r="AV64" s="51"/>
      <c r="AW64" s="52"/>
      <c r="AX64" s="51"/>
      <c r="AY64" s="51"/>
      <c r="AZ64" s="51"/>
      <c r="BA64" s="51"/>
      <c r="BB64" s="51"/>
      <c r="BC64" s="2"/>
      <c r="BD64" s="3"/>
      <c r="BE64" s="3"/>
      <c r="BF64" s="3"/>
      <c r="BG64" s="3"/>
    </row>
    <row r="65" spans="1:59" ht="15">
      <c r="A65" s="14" t="s">
        <v>213</v>
      </c>
      <c r="B65" s="15"/>
      <c r="C65" s="15"/>
      <c r="D65" s="88">
        <v>80.74453853286553</v>
      </c>
      <c r="E65" s="82"/>
      <c r="F65" s="109" t="str">
        <f>HYPERLINK("https://i.ytimg.com/vi/mhXjDggRHIA/default_live.jpg")</f>
        <v>https://i.ytimg.com/vi/mhXjDggRHIA/default_live.jpg</v>
      </c>
      <c r="G65" s="15"/>
      <c r="H65" s="16" t="s">
        <v>317</v>
      </c>
      <c r="I65" s="67"/>
      <c r="J65" s="67"/>
      <c r="K65" s="107" t="s">
        <v>317</v>
      </c>
      <c r="L65" s="89">
        <v>9996.312781533627</v>
      </c>
      <c r="M65" s="90">
        <v>9448.0029296875</v>
      </c>
      <c r="N65" s="90">
        <v>1762.8294677734375</v>
      </c>
      <c r="O65" s="78"/>
      <c r="P65" s="91"/>
      <c r="Q65" s="91"/>
      <c r="R65" s="92"/>
      <c r="S65" s="51">
        <v>1</v>
      </c>
      <c r="T65" s="51">
        <v>0</v>
      </c>
      <c r="U65" s="52">
        <v>0</v>
      </c>
      <c r="V65" s="52">
        <v>0.005525</v>
      </c>
      <c r="W65" s="52">
        <v>0.01087</v>
      </c>
      <c r="X65" s="52">
        <v>0.545586</v>
      </c>
      <c r="Y65" s="52">
        <v>0</v>
      </c>
      <c r="Z65" s="52">
        <v>0</v>
      </c>
      <c r="AA65" s="83">
        <v>65</v>
      </c>
      <c r="AB65" s="83"/>
      <c r="AC65" s="93"/>
      <c r="AD65" s="86" t="s">
        <v>317</v>
      </c>
      <c r="AE65" s="86" t="s">
        <v>407</v>
      </c>
      <c r="AF65" s="86" t="s">
        <v>482</v>
      </c>
      <c r="AG65" s="86" t="s">
        <v>553</v>
      </c>
      <c r="AH65" s="86" t="s">
        <v>608</v>
      </c>
      <c r="AI65" s="86">
        <v>806</v>
      </c>
      <c r="AJ65" s="86">
        <v>0</v>
      </c>
      <c r="AK65" s="86">
        <v>101</v>
      </c>
      <c r="AL65" s="86">
        <v>4</v>
      </c>
      <c r="AM65" s="86" t="s">
        <v>699</v>
      </c>
      <c r="AN65" s="111" t="str">
        <f>HYPERLINK("https://www.youtube.com/watch?v=mhXjDggRHIA")</f>
        <v>https://www.youtube.com/watch?v=mhXjDggRHIA</v>
      </c>
      <c r="AO65" s="86" t="str">
        <f>REPLACE(INDEX(GroupVertices[Group],MATCH(Vertices[[#This Row],[Vertex]],GroupVertices[Vertex],0)),1,1,"")</f>
        <v>1</v>
      </c>
      <c r="AP65" s="51">
        <v>0</v>
      </c>
      <c r="AQ65" s="52">
        <v>0</v>
      </c>
      <c r="AR65" s="51">
        <v>0</v>
      </c>
      <c r="AS65" s="52">
        <v>0</v>
      </c>
      <c r="AT65" s="51">
        <v>0</v>
      </c>
      <c r="AU65" s="52">
        <v>0</v>
      </c>
      <c r="AV65" s="51">
        <v>6</v>
      </c>
      <c r="AW65" s="52">
        <v>100</v>
      </c>
      <c r="AX65" s="51">
        <v>6</v>
      </c>
      <c r="AY65" s="51"/>
      <c r="AZ65" s="51"/>
      <c r="BA65" s="51"/>
      <c r="BB65" s="51"/>
      <c r="BC65" s="2"/>
      <c r="BD65" s="3"/>
      <c r="BE65" s="3"/>
      <c r="BF65" s="3"/>
      <c r="BG65" s="3"/>
    </row>
    <row r="66" spans="1:59" ht="15">
      <c r="A66" s="14" t="s">
        <v>215</v>
      </c>
      <c r="B66" s="15"/>
      <c r="C66" s="15"/>
      <c r="D66" s="88">
        <v>1000</v>
      </c>
      <c r="E66" s="82"/>
      <c r="F66" s="109" t="str">
        <f>HYPERLINK("https://i.ytimg.com/vi/mHJ0bRuEz98/default.jpg")</f>
        <v>https://i.ytimg.com/vi/mHJ0bRuEz98/default.jpg</v>
      </c>
      <c r="G66" s="15"/>
      <c r="H66" s="16" t="s">
        <v>319</v>
      </c>
      <c r="I66" s="67"/>
      <c r="J66" s="67"/>
      <c r="K66" s="107" t="s">
        <v>319</v>
      </c>
      <c r="L66" s="89">
        <v>5919.900298748391</v>
      </c>
      <c r="M66" s="90">
        <v>7668.60205078125</v>
      </c>
      <c r="N66" s="90">
        <v>9315.060546875</v>
      </c>
      <c r="O66" s="78"/>
      <c r="P66" s="91"/>
      <c r="Q66" s="91"/>
      <c r="R66" s="92"/>
      <c r="S66" s="51">
        <v>1</v>
      </c>
      <c r="T66" s="51">
        <v>0</v>
      </c>
      <c r="U66" s="52">
        <v>0</v>
      </c>
      <c r="V66" s="52">
        <v>0.005525</v>
      </c>
      <c r="W66" s="52">
        <v>0.01087</v>
      </c>
      <c r="X66" s="52">
        <v>0.545586</v>
      </c>
      <c r="Y66" s="52">
        <v>0</v>
      </c>
      <c r="Z66" s="52">
        <v>0</v>
      </c>
      <c r="AA66" s="83">
        <v>66</v>
      </c>
      <c r="AB66" s="83"/>
      <c r="AC66" s="93"/>
      <c r="AD66" s="86" t="s">
        <v>319</v>
      </c>
      <c r="AE66" s="86" t="s">
        <v>409</v>
      </c>
      <c r="AF66" s="86" t="s">
        <v>483</v>
      </c>
      <c r="AG66" s="86" t="s">
        <v>555</v>
      </c>
      <c r="AH66" s="86" t="s">
        <v>610</v>
      </c>
      <c r="AI66" s="86">
        <v>1041443</v>
      </c>
      <c r="AJ66" s="86">
        <v>6630</v>
      </c>
      <c r="AK66" s="86">
        <v>173895</v>
      </c>
      <c r="AL66" s="86">
        <v>1199</v>
      </c>
      <c r="AM66" s="86" t="s">
        <v>699</v>
      </c>
      <c r="AN66" s="111" t="str">
        <f>HYPERLINK("https://www.youtube.com/watch?v=mHJ0bRuEz98")</f>
        <v>https://www.youtube.com/watch?v=mHJ0bRuEz98</v>
      </c>
      <c r="AO66" s="86" t="str">
        <f>REPLACE(INDEX(GroupVertices[Group],MATCH(Vertices[[#This Row],[Vertex]],GroupVertices[Vertex],0)),1,1,"")</f>
        <v>1</v>
      </c>
      <c r="AP66" s="51">
        <v>0</v>
      </c>
      <c r="AQ66" s="52">
        <v>0</v>
      </c>
      <c r="AR66" s="51">
        <v>0</v>
      </c>
      <c r="AS66" s="52">
        <v>0</v>
      </c>
      <c r="AT66" s="51">
        <v>0</v>
      </c>
      <c r="AU66" s="52">
        <v>0</v>
      </c>
      <c r="AV66" s="51">
        <v>9</v>
      </c>
      <c r="AW66" s="52">
        <v>100</v>
      </c>
      <c r="AX66" s="51">
        <v>9</v>
      </c>
      <c r="AY66" s="51"/>
      <c r="AZ66" s="51"/>
      <c r="BA66" s="51"/>
      <c r="BB66" s="51"/>
      <c r="BC66" s="2"/>
      <c r="BD66" s="3"/>
      <c r="BE66" s="3"/>
      <c r="BF66" s="3"/>
      <c r="BG66" s="3"/>
    </row>
    <row r="67" spans="1:59" ht="15">
      <c r="A67" s="14" t="s">
        <v>219</v>
      </c>
      <c r="B67" s="15"/>
      <c r="C67" s="15"/>
      <c r="D67" s="88">
        <v>885.2455566225376</v>
      </c>
      <c r="E67" s="82"/>
      <c r="F67" s="109" t="str">
        <f>HYPERLINK("https://i.ytimg.com/vi/jGc08ZwazqM/default.jpg")</f>
        <v>https://i.ytimg.com/vi/jGc08ZwazqM/default.jpg</v>
      </c>
      <c r="G67" s="15"/>
      <c r="H67" s="16" t="s">
        <v>323</v>
      </c>
      <c r="I67" s="67"/>
      <c r="J67" s="67"/>
      <c r="K67" s="107" t="s">
        <v>323</v>
      </c>
      <c r="L67" s="89">
        <v>7092.675297915814</v>
      </c>
      <c r="M67" s="90">
        <v>4999.5</v>
      </c>
      <c r="N67" s="90">
        <v>8236.1708984375</v>
      </c>
      <c r="O67" s="78"/>
      <c r="P67" s="91"/>
      <c r="Q67" s="91"/>
      <c r="R67" s="92"/>
      <c r="S67" s="51">
        <v>1</v>
      </c>
      <c r="T67" s="51">
        <v>0</v>
      </c>
      <c r="U67" s="52">
        <v>0</v>
      </c>
      <c r="V67" s="52">
        <v>0.005525</v>
      </c>
      <c r="W67" s="52">
        <v>0.01087</v>
      </c>
      <c r="X67" s="52">
        <v>0.545586</v>
      </c>
      <c r="Y67" s="52">
        <v>0</v>
      </c>
      <c r="Z67" s="52">
        <v>0</v>
      </c>
      <c r="AA67" s="83">
        <v>67</v>
      </c>
      <c r="AB67" s="83"/>
      <c r="AC67" s="93"/>
      <c r="AD67" s="86" t="s">
        <v>323</v>
      </c>
      <c r="AE67" s="86" t="s">
        <v>409</v>
      </c>
      <c r="AF67" s="86" t="s">
        <v>483</v>
      </c>
      <c r="AG67" s="86" t="s">
        <v>555</v>
      </c>
      <c r="AH67" s="86" t="s">
        <v>614</v>
      </c>
      <c r="AI67" s="86">
        <v>742054</v>
      </c>
      <c r="AJ67" s="86">
        <v>6792</v>
      </c>
      <c r="AK67" s="86">
        <v>133996</v>
      </c>
      <c r="AL67" s="86">
        <v>978</v>
      </c>
      <c r="AM67" s="86" t="s">
        <v>699</v>
      </c>
      <c r="AN67" s="111" t="str">
        <f>HYPERLINK("https://www.youtube.com/watch?v=jGc08ZwazqM")</f>
        <v>https://www.youtube.com/watch?v=jGc08ZwazqM</v>
      </c>
      <c r="AO67" s="86" t="str">
        <f>REPLACE(INDEX(GroupVertices[Group],MATCH(Vertices[[#This Row],[Vertex]],GroupVertices[Vertex],0)),1,1,"")</f>
        <v>1</v>
      </c>
      <c r="AP67" s="51">
        <v>0</v>
      </c>
      <c r="AQ67" s="52">
        <v>0</v>
      </c>
      <c r="AR67" s="51">
        <v>0</v>
      </c>
      <c r="AS67" s="52">
        <v>0</v>
      </c>
      <c r="AT67" s="51">
        <v>0</v>
      </c>
      <c r="AU67" s="52">
        <v>0</v>
      </c>
      <c r="AV67" s="51">
        <v>9</v>
      </c>
      <c r="AW67" s="52">
        <v>100</v>
      </c>
      <c r="AX67" s="51">
        <v>9</v>
      </c>
      <c r="AY67" s="51"/>
      <c r="AZ67" s="51"/>
      <c r="BA67" s="51"/>
      <c r="BB67" s="51"/>
      <c r="BC67" s="2"/>
      <c r="BD67" s="3"/>
      <c r="BE67" s="3"/>
      <c r="BF67" s="3"/>
      <c r="BG67" s="3"/>
    </row>
    <row r="68" spans="1:59" ht="15">
      <c r="A68" s="14" t="s">
        <v>222</v>
      </c>
      <c r="B68" s="15"/>
      <c r="C68" s="15"/>
      <c r="D68" s="88">
        <v>362.63594387412024</v>
      </c>
      <c r="E68" s="82"/>
      <c r="F68" s="109" t="str">
        <f>HYPERLINK("https://i.ytimg.com/vi/rw8ZMfNhjVs/default.jpg")</f>
        <v>https://i.ytimg.com/vi/rw8ZMfNhjVs/default.jpg</v>
      </c>
      <c r="G68" s="15"/>
      <c r="H68" s="16" t="s">
        <v>326</v>
      </c>
      <c r="I68" s="67"/>
      <c r="J68" s="67"/>
      <c r="K68" s="107" t="s">
        <v>326</v>
      </c>
      <c r="L68" s="89">
        <v>8978.898965449014</v>
      </c>
      <c r="M68" s="90">
        <v>9448.0029296875</v>
      </c>
      <c r="N68" s="90">
        <v>7157.2802734375</v>
      </c>
      <c r="O68" s="78"/>
      <c r="P68" s="91"/>
      <c r="Q68" s="91"/>
      <c r="R68" s="92"/>
      <c r="S68" s="51">
        <v>1</v>
      </c>
      <c r="T68" s="51">
        <v>0</v>
      </c>
      <c r="U68" s="52">
        <v>0</v>
      </c>
      <c r="V68" s="52">
        <v>0.005525</v>
      </c>
      <c r="W68" s="52">
        <v>0.01087</v>
      </c>
      <c r="X68" s="52">
        <v>0.545586</v>
      </c>
      <c r="Y68" s="52">
        <v>0</v>
      </c>
      <c r="Z68" s="52">
        <v>0</v>
      </c>
      <c r="AA68" s="83">
        <v>68</v>
      </c>
      <c r="AB68" s="83"/>
      <c r="AC68" s="93"/>
      <c r="AD68" s="86" t="s">
        <v>326</v>
      </c>
      <c r="AE68" s="86" t="s">
        <v>415</v>
      </c>
      <c r="AF68" s="86" t="s">
        <v>488</v>
      </c>
      <c r="AG68" s="86" t="s">
        <v>560</v>
      </c>
      <c r="AH68" s="86" t="s">
        <v>617</v>
      </c>
      <c r="AI68" s="86">
        <v>260534</v>
      </c>
      <c r="AJ68" s="86">
        <v>1755</v>
      </c>
      <c r="AK68" s="86">
        <v>1403</v>
      </c>
      <c r="AL68" s="86">
        <v>1332</v>
      </c>
      <c r="AM68" s="86" t="s">
        <v>699</v>
      </c>
      <c r="AN68" s="111" t="str">
        <f>HYPERLINK("https://www.youtube.com/watch?v=rw8ZMfNhjVs")</f>
        <v>https://www.youtube.com/watch?v=rw8ZMfNhjVs</v>
      </c>
      <c r="AO68" s="86" t="str">
        <f>REPLACE(INDEX(GroupVertices[Group],MATCH(Vertices[[#This Row],[Vertex]],GroupVertices[Vertex],0)),1,1,"")</f>
        <v>1</v>
      </c>
      <c r="AP68" s="51">
        <v>1</v>
      </c>
      <c r="AQ68" s="52">
        <v>6.25</v>
      </c>
      <c r="AR68" s="51">
        <v>1</v>
      </c>
      <c r="AS68" s="52">
        <v>6.25</v>
      </c>
      <c r="AT68" s="51">
        <v>0</v>
      </c>
      <c r="AU68" s="52">
        <v>0</v>
      </c>
      <c r="AV68" s="51">
        <v>14</v>
      </c>
      <c r="AW68" s="52">
        <v>87.5</v>
      </c>
      <c r="AX68" s="51">
        <v>16</v>
      </c>
      <c r="AY68" s="51"/>
      <c r="AZ68" s="51"/>
      <c r="BA68" s="51"/>
      <c r="BB68" s="51"/>
      <c r="BC68" s="2"/>
      <c r="BD68" s="3"/>
      <c r="BE68" s="3"/>
      <c r="BF68" s="3"/>
      <c r="BG68" s="3"/>
    </row>
    <row r="69" spans="1:59" ht="15">
      <c r="A69" s="14" t="s">
        <v>261</v>
      </c>
      <c r="B69" s="15"/>
      <c r="C69" s="15"/>
      <c r="D69" s="88">
        <v>170.75664235677732</v>
      </c>
      <c r="E69" s="82"/>
      <c r="F69" s="109" t="str">
        <f>HYPERLINK("https://i.ytimg.com/vi/aHkSB-1G9NA/default.jpg")</f>
        <v>https://i.ytimg.com/vi/aHkSB-1G9NA/default.jpg</v>
      </c>
      <c r="G69" s="15"/>
      <c r="H69" s="16" t="s">
        <v>364</v>
      </c>
      <c r="I69" s="67"/>
      <c r="J69" s="67"/>
      <c r="K69" s="107" t="s">
        <v>364</v>
      </c>
      <c r="L69" s="89">
        <v>9671.437470296574</v>
      </c>
      <c r="M69" s="90">
        <v>3220.0986328125</v>
      </c>
      <c r="N69" s="90">
        <v>4999.5</v>
      </c>
      <c r="O69" s="78"/>
      <c r="P69" s="91"/>
      <c r="Q69" s="91"/>
      <c r="R69" s="92"/>
      <c r="S69" s="51">
        <v>1</v>
      </c>
      <c r="T69" s="51">
        <v>0</v>
      </c>
      <c r="U69" s="52">
        <v>0</v>
      </c>
      <c r="V69" s="52">
        <v>0.005525</v>
      </c>
      <c r="W69" s="52">
        <v>0.01087</v>
      </c>
      <c r="X69" s="52">
        <v>0.545586</v>
      </c>
      <c r="Y69" s="52">
        <v>0</v>
      </c>
      <c r="Z69" s="52">
        <v>0</v>
      </c>
      <c r="AA69" s="83">
        <v>69</v>
      </c>
      <c r="AB69" s="83"/>
      <c r="AC69" s="93"/>
      <c r="AD69" s="86" t="s">
        <v>364</v>
      </c>
      <c r="AE69" s="86" t="s">
        <v>442</v>
      </c>
      <c r="AF69" s="86" t="s">
        <v>515</v>
      </c>
      <c r="AG69" s="86" t="s">
        <v>559</v>
      </c>
      <c r="AH69" s="86" t="s">
        <v>656</v>
      </c>
      <c r="AI69" s="86">
        <v>83741</v>
      </c>
      <c r="AJ69" s="86">
        <v>1252</v>
      </c>
      <c r="AK69" s="86">
        <v>5562</v>
      </c>
      <c r="AL69" s="86">
        <v>289</v>
      </c>
      <c r="AM69" s="86" t="s">
        <v>699</v>
      </c>
      <c r="AN69" s="111" t="str">
        <f>HYPERLINK("https://www.youtube.com/watch?v=aHkSB-1G9NA")</f>
        <v>https://www.youtube.com/watch?v=aHkSB-1G9NA</v>
      </c>
      <c r="AO69" s="86" t="str">
        <f>REPLACE(INDEX(GroupVertices[Group],MATCH(Vertices[[#This Row],[Vertex]],GroupVertices[Vertex],0)),1,1,"")</f>
        <v>1</v>
      </c>
      <c r="AP69" s="51">
        <v>0</v>
      </c>
      <c r="AQ69" s="52">
        <v>0</v>
      </c>
      <c r="AR69" s="51">
        <v>0</v>
      </c>
      <c r="AS69" s="52">
        <v>0</v>
      </c>
      <c r="AT69" s="51">
        <v>0</v>
      </c>
      <c r="AU69" s="52">
        <v>0</v>
      </c>
      <c r="AV69" s="51">
        <v>11</v>
      </c>
      <c r="AW69" s="52">
        <v>100</v>
      </c>
      <c r="AX69" s="51">
        <v>11</v>
      </c>
      <c r="AY69" s="51"/>
      <c r="AZ69" s="51"/>
      <c r="BA69" s="51"/>
      <c r="BB69" s="51"/>
      <c r="BC69" s="2"/>
      <c r="BD69" s="3"/>
      <c r="BE69" s="3"/>
      <c r="BF69" s="3"/>
      <c r="BG69" s="3"/>
    </row>
    <row r="70" spans="1:59" ht="15">
      <c r="A70" s="14" t="s">
        <v>221</v>
      </c>
      <c r="B70" s="15"/>
      <c r="C70" s="15"/>
      <c r="D70" s="88">
        <v>344.4631258066267</v>
      </c>
      <c r="E70" s="82"/>
      <c r="F70" s="109" t="str">
        <f>HYPERLINK("https://i.ytimg.com/vi/c4he5vQWZjs/default.jpg")</f>
        <v>https://i.ytimg.com/vi/c4he5vQWZjs/default.jpg</v>
      </c>
      <c r="G70" s="15"/>
      <c r="H70" s="16" t="s">
        <v>325</v>
      </c>
      <c r="I70" s="67"/>
      <c r="J70" s="67"/>
      <c r="K70" s="107" t="s">
        <v>325</v>
      </c>
      <c r="L70" s="89">
        <v>9044.489032505784</v>
      </c>
      <c r="M70" s="90">
        <v>2330.398193359375</v>
      </c>
      <c r="N70" s="90">
        <v>6078.39013671875</v>
      </c>
      <c r="O70" s="78"/>
      <c r="P70" s="91"/>
      <c r="Q70" s="91"/>
      <c r="R70" s="92"/>
      <c r="S70" s="51">
        <v>1</v>
      </c>
      <c r="T70" s="51">
        <v>0</v>
      </c>
      <c r="U70" s="52">
        <v>0</v>
      </c>
      <c r="V70" s="52">
        <v>0.005525</v>
      </c>
      <c r="W70" s="52">
        <v>0.01087</v>
      </c>
      <c r="X70" s="52">
        <v>0.545586</v>
      </c>
      <c r="Y70" s="52">
        <v>0</v>
      </c>
      <c r="Z70" s="52">
        <v>0</v>
      </c>
      <c r="AA70" s="83">
        <v>70</v>
      </c>
      <c r="AB70" s="83"/>
      <c r="AC70" s="93"/>
      <c r="AD70" s="86" t="s">
        <v>325</v>
      </c>
      <c r="AE70" s="86" t="s">
        <v>414</v>
      </c>
      <c r="AF70" s="86" t="s">
        <v>487</v>
      </c>
      <c r="AG70" s="86" t="s">
        <v>559</v>
      </c>
      <c r="AH70" s="86" t="s">
        <v>616</v>
      </c>
      <c r="AI70" s="86">
        <v>243790</v>
      </c>
      <c r="AJ70" s="86">
        <v>111</v>
      </c>
      <c r="AK70" s="86">
        <v>8783</v>
      </c>
      <c r="AL70" s="86">
        <v>212</v>
      </c>
      <c r="AM70" s="86" t="s">
        <v>699</v>
      </c>
      <c r="AN70" s="111" t="str">
        <f>HYPERLINK("https://www.youtube.com/watch?v=c4he5vQWZjs")</f>
        <v>https://www.youtube.com/watch?v=c4he5vQWZjs</v>
      </c>
      <c r="AO70" s="86" t="str">
        <f>REPLACE(INDEX(GroupVertices[Group],MATCH(Vertices[[#This Row],[Vertex]],GroupVertices[Vertex],0)),1,1,"")</f>
        <v>1</v>
      </c>
      <c r="AP70" s="51">
        <v>2</v>
      </c>
      <c r="AQ70" s="52">
        <v>9.523809523809524</v>
      </c>
      <c r="AR70" s="51">
        <v>0</v>
      </c>
      <c r="AS70" s="52">
        <v>0</v>
      </c>
      <c r="AT70" s="51">
        <v>0</v>
      </c>
      <c r="AU70" s="52">
        <v>0</v>
      </c>
      <c r="AV70" s="51">
        <v>19</v>
      </c>
      <c r="AW70" s="52">
        <v>90.47619047619048</v>
      </c>
      <c r="AX70" s="51">
        <v>21</v>
      </c>
      <c r="AY70" s="51"/>
      <c r="AZ70" s="51"/>
      <c r="BA70" s="51"/>
      <c r="BB70" s="51"/>
      <c r="BC70" s="2"/>
      <c r="BD70" s="3"/>
      <c r="BE70" s="3"/>
      <c r="BF70" s="3"/>
      <c r="BG70" s="3"/>
    </row>
    <row r="71" spans="1:59" ht="15">
      <c r="A71" s="14" t="s">
        <v>220</v>
      </c>
      <c r="B71" s="15"/>
      <c r="C71" s="15"/>
      <c r="D71" s="88">
        <v>264.04211092576554</v>
      </c>
      <c r="E71" s="82"/>
      <c r="F71" s="109" t="str">
        <f>HYPERLINK("https://i.ytimg.com/vi/Q3Mp0MbuBrE/default.jpg")</f>
        <v>https://i.ytimg.com/vi/Q3Mp0MbuBrE/default.jpg</v>
      </c>
      <c r="G71" s="15"/>
      <c r="H71" s="16" t="s">
        <v>324</v>
      </c>
      <c r="I71" s="67"/>
      <c r="J71" s="67"/>
      <c r="K71" s="107" t="s">
        <v>324</v>
      </c>
      <c r="L71" s="89">
        <v>9334.747799154884</v>
      </c>
      <c r="M71" s="90">
        <v>4999.5</v>
      </c>
      <c r="N71" s="90">
        <v>6078.39013671875</v>
      </c>
      <c r="O71" s="78"/>
      <c r="P71" s="91"/>
      <c r="Q71" s="91"/>
      <c r="R71" s="92"/>
      <c r="S71" s="51">
        <v>1</v>
      </c>
      <c r="T71" s="51">
        <v>0</v>
      </c>
      <c r="U71" s="52">
        <v>0</v>
      </c>
      <c r="V71" s="52">
        <v>0.005525</v>
      </c>
      <c r="W71" s="52">
        <v>0.01087</v>
      </c>
      <c r="X71" s="52">
        <v>0.545586</v>
      </c>
      <c r="Y71" s="52">
        <v>0</v>
      </c>
      <c r="Z71" s="52">
        <v>0</v>
      </c>
      <c r="AA71" s="83">
        <v>71</v>
      </c>
      <c r="AB71" s="83"/>
      <c r="AC71" s="93"/>
      <c r="AD71" s="86" t="s">
        <v>324</v>
      </c>
      <c r="AE71" s="86" t="s">
        <v>413</v>
      </c>
      <c r="AF71" s="86" t="s">
        <v>486</v>
      </c>
      <c r="AG71" s="86" t="s">
        <v>559</v>
      </c>
      <c r="AH71" s="86" t="s">
        <v>615</v>
      </c>
      <c r="AI71" s="86">
        <v>169692</v>
      </c>
      <c r="AJ71" s="86">
        <v>248</v>
      </c>
      <c r="AK71" s="86">
        <v>6947</v>
      </c>
      <c r="AL71" s="86">
        <v>194</v>
      </c>
      <c r="AM71" s="86" t="s">
        <v>699</v>
      </c>
      <c r="AN71" s="111" t="str">
        <f>HYPERLINK("https://www.youtube.com/watch?v=Q3Mp0MbuBrE")</f>
        <v>https://www.youtube.com/watch?v=Q3Mp0MbuBrE</v>
      </c>
      <c r="AO71" s="86" t="str">
        <f>REPLACE(INDEX(GroupVertices[Group],MATCH(Vertices[[#This Row],[Vertex]],GroupVertices[Vertex],0)),1,1,"")</f>
        <v>1</v>
      </c>
      <c r="AP71" s="51">
        <v>0</v>
      </c>
      <c r="AQ71" s="52">
        <v>0</v>
      </c>
      <c r="AR71" s="51">
        <v>0</v>
      </c>
      <c r="AS71" s="52">
        <v>0</v>
      </c>
      <c r="AT71" s="51">
        <v>0</v>
      </c>
      <c r="AU71" s="52">
        <v>0</v>
      </c>
      <c r="AV71" s="51">
        <v>17</v>
      </c>
      <c r="AW71" s="52">
        <v>100</v>
      </c>
      <c r="AX71" s="51">
        <v>17</v>
      </c>
      <c r="AY71" s="51"/>
      <c r="AZ71" s="51"/>
      <c r="BA71" s="51"/>
      <c r="BB71" s="51"/>
      <c r="BC71" s="2"/>
      <c r="BD71" s="3"/>
      <c r="BE71" s="3"/>
      <c r="BF71" s="3"/>
      <c r="BG71" s="3"/>
    </row>
    <row r="72" spans="1:59" ht="15">
      <c r="A72" s="14" t="s">
        <v>239</v>
      </c>
      <c r="B72" s="15"/>
      <c r="C72" s="15"/>
      <c r="D72" s="88">
        <v>117.81843320364388</v>
      </c>
      <c r="E72" s="82"/>
      <c r="F72" s="109" t="str">
        <f>HYPERLINK("https://i.ytimg.com/vi/AOdpug6YYVk/default.jpg")</f>
        <v>https://i.ytimg.com/vi/AOdpug6YYVk/default.jpg</v>
      </c>
      <c r="G72" s="15"/>
      <c r="H72" s="16" t="s">
        <v>342</v>
      </c>
      <c r="I72" s="67"/>
      <c r="J72" s="67"/>
      <c r="K72" s="107" t="s">
        <v>342</v>
      </c>
      <c r="L72" s="89">
        <v>9862.50418737499</v>
      </c>
      <c r="M72" s="90">
        <v>6778.9013671875</v>
      </c>
      <c r="N72" s="90">
        <v>3920.60986328125</v>
      </c>
      <c r="O72" s="78"/>
      <c r="P72" s="91"/>
      <c r="Q72" s="91"/>
      <c r="R72" s="92"/>
      <c r="S72" s="51">
        <v>1</v>
      </c>
      <c r="T72" s="51">
        <v>0</v>
      </c>
      <c r="U72" s="52">
        <v>0</v>
      </c>
      <c r="V72" s="52">
        <v>0.005525</v>
      </c>
      <c r="W72" s="52">
        <v>0.01087</v>
      </c>
      <c r="X72" s="52">
        <v>0.545586</v>
      </c>
      <c r="Y72" s="52">
        <v>0</v>
      </c>
      <c r="Z72" s="52">
        <v>0</v>
      </c>
      <c r="AA72" s="83">
        <v>72</v>
      </c>
      <c r="AB72" s="83"/>
      <c r="AC72" s="93"/>
      <c r="AD72" s="86" t="s">
        <v>342</v>
      </c>
      <c r="AE72" s="86" t="s">
        <v>426</v>
      </c>
      <c r="AF72" s="86" t="s">
        <v>499</v>
      </c>
      <c r="AG72" s="86" t="s">
        <v>559</v>
      </c>
      <c r="AH72" s="86" t="s">
        <v>634</v>
      </c>
      <c r="AI72" s="86">
        <v>34965</v>
      </c>
      <c r="AJ72" s="86">
        <v>699</v>
      </c>
      <c r="AK72" s="86">
        <v>2214</v>
      </c>
      <c r="AL72" s="86">
        <v>86</v>
      </c>
      <c r="AM72" s="86" t="s">
        <v>699</v>
      </c>
      <c r="AN72" s="111" t="str">
        <f>HYPERLINK("https://www.youtube.com/watch?v=AOdpug6YYVk")</f>
        <v>https://www.youtube.com/watch?v=AOdpug6YYVk</v>
      </c>
      <c r="AO72" s="86" t="str">
        <f>REPLACE(INDEX(GroupVertices[Group],MATCH(Vertices[[#This Row],[Vertex]],GroupVertices[Vertex],0)),1,1,"")</f>
        <v>1</v>
      </c>
      <c r="AP72" s="51">
        <v>0</v>
      </c>
      <c r="AQ72" s="52">
        <v>0</v>
      </c>
      <c r="AR72" s="51">
        <v>0</v>
      </c>
      <c r="AS72" s="52">
        <v>0</v>
      </c>
      <c r="AT72" s="51">
        <v>0</v>
      </c>
      <c r="AU72" s="52">
        <v>0</v>
      </c>
      <c r="AV72" s="51">
        <v>9</v>
      </c>
      <c r="AW72" s="52">
        <v>100</v>
      </c>
      <c r="AX72" s="51">
        <v>9</v>
      </c>
      <c r="AY72" s="51"/>
      <c r="AZ72" s="51"/>
      <c r="BA72" s="51"/>
      <c r="BB72" s="51"/>
      <c r="BC72" s="2"/>
      <c r="BD72" s="3"/>
      <c r="BE72" s="3"/>
      <c r="BF72" s="3"/>
      <c r="BG72" s="3"/>
    </row>
    <row r="73" spans="1:59" ht="15">
      <c r="A73" s="14" t="s">
        <v>218</v>
      </c>
      <c r="B73" s="15"/>
      <c r="C73" s="15"/>
      <c r="D73" s="88">
        <v>105.6768113856165</v>
      </c>
      <c r="E73" s="82"/>
      <c r="F73" s="109" t="str">
        <f>HYPERLINK("https://i.ytimg.com/vi/9XsNBuw_VrU/default.jpg")</f>
        <v>https://i.ytimg.com/vi/9XsNBuw_VrU/default.jpg</v>
      </c>
      <c r="G73" s="15"/>
      <c r="H73" s="16" t="s">
        <v>322</v>
      </c>
      <c r="I73" s="67"/>
      <c r="J73" s="67"/>
      <c r="K73" s="107" t="s">
        <v>322</v>
      </c>
      <c r="L73" s="89">
        <v>9906.326217962907</v>
      </c>
      <c r="M73" s="90">
        <v>550.996826171875</v>
      </c>
      <c r="N73" s="90">
        <v>2841.719482421875</v>
      </c>
      <c r="O73" s="78"/>
      <c r="P73" s="91"/>
      <c r="Q73" s="91"/>
      <c r="R73" s="92"/>
      <c r="S73" s="51">
        <v>1</v>
      </c>
      <c r="T73" s="51">
        <v>0</v>
      </c>
      <c r="U73" s="52">
        <v>0</v>
      </c>
      <c r="V73" s="52">
        <v>0.005525</v>
      </c>
      <c r="W73" s="52">
        <v>0.01087</v>
      </c>
      <c r="X73" s="52">
        <v>0.545586</v>
      </c>
      <c r="Y73" s="52">
        <v>0</v>
      </c>
      <c r="Z73" s="52">
        <v>0</v>
      </c>
      <c r="AA73" s="83">
        <v>73</v>
      </c>
      <c r="AB73" s="83"/>
      <c r="AC73" s="93"/>
      <c r="AD73" s="86" t="s">
        <v>322</v>
      </c>
      <c r="AE73" s="86" t="s">
        <v>412</v>
      </c>
      <c r="AF73" s="86" t="s">
        <v>485</v>
      </c>
      <c r="AG73" s="86" t="s">
        <v>558</v>
      </c>
      <c r="AH73" s="86" t="s">
        <v>613</v>
      </c>
      <c r="AI73" s="86">
        <v>23778</v>
      </c>
      <c r="AJ73" s="86">
        <v>800</v>
      </c>
      <c r="AK73" s="86">
        <v>86</v>
      </c>
      <c r="AL73" s="86">
        <v>578</v>
      </c>
      <c r="AM73" s="86" t="s">
        <v>699</v>
      </c>
      <c r="AN73" s="111" t="str">
        <f>HYPERLINK("https://www.youtube.com/watch?v=9XsNBuw_VrU")</f>
        <v>https://www.youtube.com/watch?v=9XsNBuw_VrU</v>
      </c>
      <c r="AO73" s="86" t="str">
        <f>REPLACE(INDEX(GroupVertices[Group],MATCH(Vertices[[#This Row],[Vertex]],GroupVertices[Vertex],0)),1,1,"")</f>
        <v>1</v>
      </c>
      <c r="AP73" s="51">
        <v>0</v>
      </c>
      <c r="AQ73" s="52">
        <v>0</v>
      </c>
      <c r="AR73" s="51">
        <v>0</v>
      </c>
      <c r="AS73" s="52">
        <v>0</v>
      </c>
      <c r="AT73" s="51">
        <v>0</v>
      </c>
      <c r="AU73" s="52">
        <v>0</v>
      </c>
      <c r="AV73" s="51">
        <v>5</v>
      </c>
      <c r="AW73" s="52">
        <v>100</v>
      </c>
      <c r="AX73" s="51">
        <v>5</v>
      </c>
      <c r="AY73" s="51"/>
      <c r="AZ73" s="51"/>
      <c r="BA73" s="51"/>
      <c r="BB73" s="51"/>
      <c r="BC73" s="2"/>
      <c r="BD73" s="3"/>
      <c r="BE73" s="3"/>
      <c r="BF73" s="3"/>
      <c r="BG73" s="3"/>
    </row>
    <row r="74" spans="1:59" ht="15">
      <c r="A74" s="94" t="s">
        <v>302</v>
      </c>
      <c r="B74" s="112"/>
      <c r="C74" s="112"/>
      <c r="D74" s="113">
        <v>1000</v>
      </c>
      <c r="E74" s="114"/>
      <c r="F74" s="109" t="str">
        <f>HYPERLINK("https://i.ytimg.com/vi/copfNPbpLR8/default.jpg")</f>
        <v>https://i.ytimg.com/vi/copfNPbpLR8/default.jpg</v>
      </c>
      <c r="G74" s="112"/>
      <c r="H74" s="115" t="s">
        <v>405</v>
      </c>
      <c r="I74" s="116"/>
      <c r="J74" s="116"/>
      <c r="K74" s="117" t="s">
        <v>405</v>
      </c>
      <c r="L74" s="118">
        <v>1</v>
      </c>
      <c r="M74" s="119">
        <v>550.996826171875</v>
      </c>
      <c r="N74" s="119">
        <v>9315.060546875</v>
      </c>
      <c r="O74" s="120"/>
      <c r="P74" s="121"/>
      <c r="Q74" s="121"/>
      <c r="R74" s="122"/>
      <c r="S74" s="51">
        <v>1</v>
      </c>
      <c r="T74" s="51">
        <v>0</v>
      </c>
      <c r="U74" s="52">
        <v>0</v>
      </c>
      <c r="V74" s="52">
        <v>0.005525</v>
      </c>
      <c r="W74" s="52">
        <v>0.01087</v>
      </c>
      <c r="X74" s="52">
        <v>0.545586</v>
      </c>
      <c r="Y74" s="52">
        <v>0</v>
      </c>
      <c r="Z74" s="52">
        <v>0</v>
      </c>
      <c r="AA74" s="123">
        <v>74</v>
      </c>
      <c r="AB74" s="123"/>
      <c r="AC74" s="106"/>
      <c r="AD74" s="86" t="s">
        <v>405</v>
      </c>
      <c r="AE74" s="86" t="s">
        <v>481</v>
      </c>
      <c r="AF74" s="86" t="s">
        <v>551</v>
      </c>
      <c r="AG74" s="86" t="s">
        <v>606</v>
      </c>
      <c r="AH74" s="86" t="s">
        <v>697</v>
      </c>
      <c r="AI74" s="86">
        <v>2552435</v>
      </c>
      <c r="AJ74" s="86">
        <v>9575</v>
      </c>
      <c r="AK74" s="86">
        <v>70598</v>
      </c>
      <c r="AL74" s="86">
        <v>2157</v>
      </c>
      <c r="AM74" s="86" t="s">
        <v>699</v>
      </c>
      <c r="AN74" s="111" t="str">
        <f>HYPERLINK("https://www.youtube.com/watch?v=copfNPbpLR8")</f>
        <v>https://www.youtube.com/watch?v=copfNPbpLR8</v>
      </c>
      <c r="AO74" s="86" t="str">
        <f>REPLACE(INDEX(GroupVertices[Group],MATCH(Vertices[[#This Row],[Vertex]],GroupVertices[Vertex],0)),1,1,"")</f>
        <v>1</v>
      </c>
      <c r="AP74" s="51">
        <v>0</v>
      </c>
      <c r="AQ74" s="52">
        <v>0</v>
      </c>
      <c r="AR74" s="51">
        <v>3</v>
      </c>
      <c r="AS74" s="52">
        <v>4.225352112676056</v>
      </c>
      <c r="AT74" s="51">
        <v>0</v>
      </c>
      <c r="AU74" s="52">
        <v>0</v>
      </c>
      <c r="AV74" s="51">
        <v>68</v>
      </c>
      <c r="AW74" s="52">
        <v>95.77464788732394</v>
      </c>
      <c r="AX74" s="51">
        <v>71</v>
      </c>
      <c r="AY74" s="51"/>
      <c r="AZ74" s="51"/>
      <c r="BA74" s="51"/>
      <c r="BB74" s="51"/>
      <c r="BC74" s="2"/>
      <c r="BD74" s="3"/>
      <c r="BE74" s="3"/>
      <c r="BF74" s="3"/>
      <c r="BG74" s="3"/>
    </row>
    <row r="75" spans="1:59" ht="15">
      <c r="A75" s="14" t="s">
        <v>264</v>
      </c>
      <c r="B75" s="15"/>
      <c r="C75" s="15"/>
      <c r="D75" s="88">
        <v>250.72073198641917</v>
      </c>
      <c r="E75" s="82"/>
      <c r="F75" s="109" t="str">
        <f>HYPERLINK("https://i.ytimg.com/vi/If9rlemqGO0/default.jpg")</f>
        <v>https://i.ytimg.com/vi/If9rlemqGO0/default.jpg</v>
      </c>
      <c r="G75" s="15"/>
      <c r="H75" s="16" t="s">
        <v>367</v>
      </c>
      <c r="I75" s="67"/>
      <c r="J75" s="67"/>
      <c r="K75" s="107" t="s">
        <v>367</v>
      </c>
      <c r="L75" s="89">
        <v>9382.827856671296</v>
      </c>
      <c r="M75" s="90">
        <v>5889.20068359375</v>
      </c>
      <c r="N75" s="90">
        <v>6078.39013671875</v>
      </c>
      <c r="O75" s="78"/>
      <c r="P75" s="91"/>
      <c r="Q75" s="91"/>
      <c r="R75" s="92"/>
      <c r="S75" s="51">
        <v>1</v>
      </c>
      <c r="T75" s="51">
        <v>0</v>
      </c>
      <c r="U75" s="52">
        <v>0</v>
      </c>
      <c r="V75" s="52">
        <v>0.005525</v>
      </c>
      <c r="W75" s="52">
        <v>0.01087</v>
      </c>
      <c r="X75" s="52">
        <v>0.545586</v>
      </c>
      <c r="Y75" s="52">
        <v>0</v>
      </c>
      <c r="Z75" s="52">
        <v>0</v>
      </c>
      <c r="AA75" s="83">
        <v>75</v>
      </c>
      <c r="AB75" s="83"/>
      <c r="AC75" s="93"/>
      <c r="AD75" s="86" t="s">
        <v>367</v>
      </c>
      <c r="AE75" s="86" t="s">
        <v>445</v>
      </c>
      <c r="AF75" s="86" t="s">
        <v>518</v>
      </c>
      <c r="AG75" s="86" t="s">
        <v>582</v>
      </c>
      <c r="AH75" s="86" t="s">
        <v>659</v>
      </c>
      <c r="AI75" s="86">
        <v>157418</v>
      </c>
      <c r="AJ75" s="86">
        <v>3418</v>
      </c>
      <c r="AK75" s="86">
        <v>4776</v>
      </c>
      <c r="AL75" s="86">
        <v>72</v>
      </c>
      <c r="AM75" s="86" t="s">
        <v>699</v>
      </c>
      <c r="AN75" s="111" t="str">
        <f>HYPERLINK("https://www.youtube.com/watch?v=If9rlemqGO0")</f>
        <v>https://www.youtube.com/watch?v=If9rlemqGO0</v>
      </c>
      <c r="AO75" s="86" t="str">
        <f>REPLACE(INDEX(GroupVertices[Group],MATCH(Vertices[[#This Row],[Vertex]],GroupVertices[Vertex],0)),1,1,"")</f>
        <v>1</v>
      </c>
      <c r="AP75" s="51">
        <v>3</v>
      </c>
      <c r="AQ75" s="52">
        <v>4.6875</v>
      </c>
      <c r="AR75" s="51">
        <v>6</v>
      </c>
      <c r="AS75" s="52">
        <v>9.375</v>
      </c>
      <c r="AT75" s="51">
        <v>0</v>
      </c>
      <c r="AU75" s="52">
        <v>0</v>
      </c>
      <c r="AV75" s="51">
        <v>55</v>
      </c>
      <c r="AW75" s="52">
        <v>85.9375</v>
      </c>
      <c r="AX75" s="51">
        <v>64</v>
      </c>
      <c r="AY75" s="51"/>
      <c r="AZ75" s="51"/>
      <c r="BA75" s="51"/>
      <c r="BB75" s="51"/>
      <c r="BC75" s="2"/>
      <c r="BD75" s="3"/>
      <c r="BE75" s="3"/>
      <c r="BF75" s="3"/>
      <c r="BG75" s="3"/>
    </row>
    <row r="76" spans="1:59" ht="15">
      <c r="A76" s="14" t="s">
        <v>251</v>
      </c>
      <c r="B76" s="15"/>
      <c r="C76" s="15"/>
      <c r="D76" s="88">
        <v>212.7742294724573</v>
      </c>
      <c r="E76" s="82"/>
      <c r="F76" s="109" t="str">
        <f>HYPERLINK("https://i.ytimg.com/vi/0ipNbOr82sg/default.jpg")</f>
        <v>https://i.ytimg.com/vi/0ipNbOr82sg/default.jpg</v>
      </c>
      <c r="G76" s="15"/>
      <c r="H76" s="16" t="s">
        <v>354</v>
      </c>
      <c r="I76" s="67"/>
      <c r="J76" s="67"/>
      <c r="K76" s="107" t="s">
        <v>354</v>
      </c>
      <c r="L76" s="89">
        <v>9519.785902210346</v>
      </c>
      <c r="M76" s="90">
        <v>9448.0029296875</v>
      </c>
      <c r="N76" s="90">
        <v>6078.39013671875</v>
      </c>
      <c r="O76" s="78"/>
      <c r="P76" s="91"/>
      <c r="Q76" s="91"/>
      <c r="R76" s="92"/>
      <c r="S76" s="51">
        <v>1</v>
      </c>
      <c r="T76" s="51">
        <v>0</v>
      </c>
      <c r="U76" s="52">
        <v>0</v>
      </c>
      <c r="V76" s="52">
        <v>0.005525</v>
      </c>
      <c r="W76" s="52">
        <v>0.01087</v>
      </c>
      <c r="X76" s="52">
        <v>0.545586</v>
      </c>
      <c r="Y76" s="52">
        <v>0</v>
      </c>
      <c r="Z76" s="52">
        <v>0</v>
      </c>
      <c r="AA76" s="83">
        <v>76</v>
      </c>
      <c r="AB76" s="83"/>
      <c r="AC76" s="93"/>
      <c r="AD76" s="86" t="s">
        <v>354</v>
      </c>
      <c r="AE76" s="86" t="s">
        <v>433</v>
      </c>
      <c r="AF76" s="86" t="s">
        <v>507</v>
      </c>
      <c r="AG76" s="86" t="s">
        <v>575</v>
      </c>
      <c r="AH76" s="86" t="s">
        <v>646</v>
      </c>
      <c r="AI76" s="86">
        <v>122455</v>
      </c>
      <c r="AJ76" s="86">
        <v>0</v>
      </c>
      <c r="AK76" s="86">
        <v>0</v>
      </c>
      <c r="AL76" s="86">
        <v>0</v>
      </c>
      <c r="AM76" s="86" t="s">
        <v>699</v>
      </c>
      <c r="AN76" s="111" t="str">
        <f>HYPERLINK("https://www.youtube.com/watch?v=0ipNbOr82sg")</f>
        <v>https://www.youtube.com/watch?v=0ipNbOr82sg</v>
      </c>
      <c r="AO76" s="86" t="str">
        <f>REPLACE(INDEX(GroupVertices[Group],MATCH(Vertices[[#This Row],[Vertex]],GroupVertices[Vertex],0)),1,1,"")</f>
        <v>1</v>
      </c>
      <c r="AP76" s="51">
        <v>0</v>
      </c>
      <c r="AQ76" s="52">
        <v>0</v>
      </c>
      <c r="AR76" s="51">
        <v>0</v>
      </c>
      <c r="AS76" s="52">
        <v>0</v>
      </c>
      <c r="AT76" s="51">
        <v>0</v>
      </c>
      <c r="AU76" s="52">
        <v>0</v>
      </c>
      <c r="AV76" s="51">
        <v>14</v>
      </c>
      <c r="AW76" s="52">
        <v>100</v>
      </c>
      <c r="AX76" s="51">
        <v>14</v>
      </c>
      <c r="AY76" s="51"/>
      <c r="AZ76" s="51"/>
      <c r="BA76" s="51"/>
      <c r="BB76" s="51"/>
      <c r="BC76" s="2"/>
      <c r="BD76" s="3"/>
      <c r="BE76" s="3"/>
      <c r="BF76" s="3"/>
      <c r="BG76" s="3"/>
    </row>
    <row r="77" spans="1:59" ht="15">
      <c r="A77" s="14" t="s">
        <v>257</v>
      </c>
      <c r="B77" s="112"/>
      <c r="C77" s="112"/>
      <c r="D77" s="113">
        <v>180.9066778660463</v>
      </c>
      <c r="E77" s="114"/>
      <c r="F77" s="109" t="str">
        <f>HYPERLINK("https://i.ytimg.com/vi/lcU74YFJCoI/default.jpg")</f>
        <v>https://i.ytimg.com/vi/lcU74YFJCoI/default.jpg</v>
      </c>
      <c r="G77" s="112"/>
      <c r="H77" s="115" t="s">
        <v>360</v>
      </c>
      <c r="I77" s="116"/>
      <c r="J77" s="116"/>
      <c r="K77" s="117" t="s">
        <v>360</v>
      </c>
      <c r="L77" s="118">
        <v>9634.8035532448</v>
      </c>
      <c r="M77" s="119">
        <v>550.996826171875</v>
      </c>
      <c r="N77" s="119">
        <v>4999.5</v>
      </c>
      <c r="O77" s="120"/>
      <c r="P77" s="121"/>
      <c r="Q77" s="121"/>
      <c r="R77" s="122"/>
      <c r="S77" s="51">
        <v>1</v>
      </c>
      <c r="T77" s="51">
        <v>0</v>
      </c>
      <c r="U77" s="52">
        <v>0</v>
      </c>
      <c r="V77" s="52">
        <v>0.005525</v>
      </c>
      <c r="W77" s="52">
        <v>0.01087</v>
      </c>
      <c r="X77" s="52">
        <v>0.545586</v>
      </c>
      <c r="Y77" s="52">
        <v>0</v>
      </c>
      <c r="Z77" s="52">
        <v>0</v>
      </c>
      <c r="AA77" s="123">
        <v>77</v>
      </c>
      <c r="AB77" s="123"/>
      <c r="AC77" s="93"/>
      <c r="AD77" s="86" t="s">
        <v>360</v>
      </c>
      <c r="AE77" s="86" t="s">
        <v>438</v>
      </c>
      <c r="AF77" s="86" t="s">
        <v>512</v>
      </c>
      <c r="AG77" s="86" t="s">
        <v>575</v>
      </c>
      <c r="AH77" s="86" t="s">
        <v>652</v>
      </c>
      <c r="AI77" s="86">
        <v>93093</v>
      </c>
      <c r="AJ77" s="86">
        <v>0</v>
      </c>
      <c r="AK77" s="86">
        <v>0</v>
      </c>
      <c r="AL77" s="86">
        <v>0</v>
      </c>
      <c r="AM77" s="86" t="s">
        <v>699</v>
      </c>
      <c r="AN77" s="111" t="str">
        <f>HYPERLINK("https://www.youtube.com/watch?v=lcU74YFJCoI")</f>
        <v>https://www.youtube.com/watch?v=lcU74YFJCoI</v>
      </c>
      <c r="AO77" s="86" t="str">
        <f>REPLACE(INDEX(GroupVertices[Group],MATCH(Vertices[[#This Row],[Vertex]],GroupVertices[Vertex],0)),1,1,"")</f>
        <v>1</v>
      </c>
      <c r="AP77" s="51">
        <v>0</v>
      </c>
      <c r="AQ77" s="52">
        <v>0</v>
      </c>
      <c r="AR77" s="51">
        <v>1</v>
      </c>
      <c r="AS77" s="52">
        <v>7.6923076923076925</v>
      </c>
      <c r="AT77" s="51">
        <v>0</v>
      </c>
      <c r="AU77" s="52">
        <v>0</v>
      </c>
      <c r="AV77" s="51">
        <v>12</v>
      </c>
      <c r="AW77" s="52">
        <v>92.3076923076923</v>
      </c>
      <c r="AX77" s="51">
        <v>13</v>
      </c>
      <c r="AY77" s="51"/>
      <c r="AZ77" s="51"/>
      <c r="BA77" s="51"/>
      <c r="BB77" s="51"/>
      <c r="BC77" s="2"/>
      <c r="BD77" s="3"/>
      <c r="BE77" s="3"/>
      <c r="BF77" s="3"/>
      <c r="BG77" s="3"/>
    </row>
    <row r="78" spans="1:59" ht="15">
      <c r="A78" s="14" t="s">
        <v>254</v>
      </c>
      <c r="B78" s="15"/>
      <c r="C78" s="15"/>
      <c r="D78" s="88">
        <v>1000</v>
      </c>
      <c r="E78" s="82"/>
      <c r="F78" s="109" t="str">
        <f>HYPERLINK("https://i.ytimg.com/vi/Cp775-4XSSU/default.jpg")</f>
        <v>https://i.ytimg.com/vi/Cp775-4XSSU/default.jpg</v>
      </c>
      <c r="G78" s="15"/>
      <c r="H78" s="16" t="s">
        <v>357</v>
      </c>
      <c r="I78" s="67"/>
      <c r="J78" s="67"/>
      <c r="K78" s="107" t="s">
        <v>357</v>
      </c>
      <c r="L78" s="89">
        <v>6296.768978358863</v>
      </c>
      <c r="M78" s="90">
        <v>9448.0029296875</v>
      </c>
      <c r="N78" s="90">
        <v>9315.060546875</v>
      </c>
      <c r="O78" s="78"/>
      <c r="P78" s="91"/>
      <c r="Q78" s="91"/>
      <c r="R78" s="92"/>
      <c r="S78" s="51">
        <v>1</v>
      </c>
      <c r="T78" s="51">
        <v>0</v>
      </c>
      <c r="U78" s="52">
        <v>0</v>
      </c>
      <c r="V78" s="52">
        <v>0.005525</v>
      </c>
      <c r="W78" s="52">
        <v>0.01087</v>
      </c>
      <c r="X78" s="52">
        <v>0.545586</v>
      </c>
      <c r="Y78" s="52">
        <v>0</v>
      </c>
      <c r="Z78" s="52">
        <v>0</v>
      </c>
      <c r="AA78" s="83">
        <v>78</v>
      </c>
      <c r="AB78" s="83"/>
      <c r="AC78" s="93"/>
      <c r="AD78" s="86" t="s">
        <v>357</v>
      </c>
      <c r="AE78" s="86" t="s">
        <v>436</v>
      </c>
      <c r="AF78" s="86" t="s">
        <v>510</v>
      </c>
      <c r="AG78" s="86" t="s">
        <v>578</v>
      </c>
      <c r="AH78" s="86" t="s">
        <v>649</v>
      </c>
      <c r="AI78" s="86">
        <v>945235</v>
      </c>
      <c r="AJ78" s="86">
        <v>2366</v>
      </c>
      <c r="AK78" s="86">
        <v>9300</v>
      </c>
      <c r="AL78" s="86">
        <v>3480</v>
      </c>
      <c r="AM78" s="86" t="s">
        <v>699</v>
      </c>
      <c r="AN78" s="111" t="str">
        <f>HYPERLINK("https://www.youtube.com/watch?v=Cp775-4XSSU")</f>
        <v>https://www.youtube.com/watch?v=Cp775-4XSSU</v>
      </c>
      <c r="AO78" s="86" t="str">
        <f>REPLACE(INDEX(GroupVertices[Group],MATCH(Vertices[[#This Row],[Vertex]],GroupVertices[Vertex],0)),1,1,"")</f>
        <v>1</v>
      </c>
      <c r="AP78" s="51">
        <v>2</v>
      </c>
      <c r="AQ78" s="52">
        <v>6.451612903225806</v>
      </c>
      <c r="AR78" s="51">
        <v>4</v>
      </c>
      <c r="AS78" s="52">
        <v>12.903225806451612</v>
      </c>
      <c r="AT78" s="51">
        <v>0</v>
      </c>
      <c r="AU78" s="52">
        <v>0</v>
      </c>
      <c r="AV78" s="51">
        <v>25</v>
      </c>
      <c r="AW78" s="52">
        <v>80.64516129032258</v>
      </c>
      <c r="AX78" s="51">
        <v>31</v>
      </c>
      <c r="AY78" s="51"/>
      <c r="AZ78" s="51"/>
      <c r="BA78" s="51"/>
      <c r="BB78" s="51"/>
      <c r="BC78" s="2"/>
      <c r="BD78" s="3"/>
      <c r="BE78" s="3"/>
      <c r="BF78" s="3"/>
      <c r="BG78" s="3"/>
    </row>
    <row r="79" spans="1:59" ht="15">
      <c r="A79" s="14" t="s">
        <v>299</v>
      </c>
      <c r="B79" s="15"/>
      <c r="C79" s="15"/>
      <c r="D79" s="88">
        <v>1000</v>
      </c>
      <c r="E79" s="82"/>
      <c r="F79" s="109" t="str">
        <f>HYPERLINK("https://i.ytimg.com/vi/lCJmvnQZK5A/default.jpg")</f>
        <v>https://i.ytimg.com/vi/lCJmvnQZK5A/default.jpg</v>
      </c>
      <c r="G79" s="15"/>
      <c r="H79" s="16" t="s">
        <v>402</v>
      </c>
      <c r="I79" s="67"/>
      <c r="J79" s="67"/>
      <c r="K79" s="107" t="s">
        <v>402</v>
      </c>
      <c r="L79" s="89">
        <v>2086.261943764778</v>
      </c>
      <c r="M79" s="90">
        <v>1440.6976318359375</v>
      </c>
      <c r="N79" s="90">
        <v>9315.060546875</v>
      </c>
      <c r="O79" s="78"/>
      <c r="P79" s="91"/>
      <c r="Q79" s="91"/>
      <c r="R79" s="92"/>
      <c r="S79" s="51">
        <v>1</v>
      </c>
      <c r="T79" s="51">
        <v>0</v>
      </c>
      <c r="U79" s="52">
        <v>0</v>
      </c>
      <c r="V79" s="52">
        <v>0.005525</v>
      </c>
      <c r="W79" s="52">
        <v>0.01087</v>
      </c>
      <c r="X79" s="52">
        <v>0.545586</v>
      </c>
      <c r="Y79" s="52">
        <v>0</v>
      </c>
      <c r="Z79" s="52">
        <v>0</v>
      </c>
      <c r="AA79" s="83">
        <v>79</v>
      </c>
      <c r="AB79" s="83"/>
      <c r="AC79" s="93"/>
      <c r="AD79" s="86" t="s">
        <v>402</v>
      </c>
      <c r="AE79" s="86" t="s">
        <v>478</v>
      </c>
      <c r="AF79" s="86" t="s">
        <v>548</v>
      </c>
      <c r="AG79" s="86" t="s">
        <v>588</v>
      </c>
      <c r="AH79" s="86" t="s">
        <v>694</v>
      </c>
      <c r="AI79" s="86">
        <v>2020104</v>
      </c>
      <c r="AJ79" s="86">
        <v>2721</v>
      </c>
      <c r="AK79" s="86">
        <v>27283</v>
      </c>
      <c r="AL79" s="86">
        <v>1383</v>
      </c>
      <c r="AM79" s="86" t="s">
        <v>699</v>
      </c>
      <c r="AN79" s="111" t="str">
        <f>HYPERLINK("https://www.youtube.com/watch?v=lCJmvnQZK5A")</f>
        <v>https://www.youtube.com/watch?v=lCJmvnQZK5A</v>
      </c>
      <c r="AO79" s="86" t="str">
        <f>REPLACE(INDEX(GroupVertices[Group],MATCH(Vertices[[#This Row],[Vertex]],GroupVertices[Vertex],0)),1,1,"")</f>
        <v>1</v>
      </c>
      <c r="AP79" s="51">
        <v>2</v>
      </c>
      <c r="AQ79" s="52">
        <v>6.666666666666667</v>
      </c>
      <c r="AR79" s="51">
        <v>4</v>
      </c>
      <c r="AS79" s="52">
        <v>13.333333333333334</v>
      </c>
      <c r="AT79" s="51">
        <v>0</v>
      </c>
      <c r="AU79" s="52">
        <v>0</v>
      </c>
      <c r="AV79" s="51">
        <v>24</v>
      </c>
      <c r="AW79" s="52">
        <v>80</v>
      </c>
      <c r="AX79" s="51">
        <v>30</v>
      </c>
      <c r="AY79" s="51"/>
      <c r="AZ79" s="51"/>
      <c r="BA79" s="51"/>
      <c r="BB79" s="51"/>
      <c r="BC79" s="2"/>
      <c r="BD79" s="3"/>
      <c r="BE79" s="3"/>
      <c r="BF79" s="3"/>
      <c r="BG79" s="3"/>
    </row>
    <row r="80" spans="1:59" ht="15" customHeight="1">
      <c r="A80" s="14" t="s">
        <v>271</v>
      </c>
      <c r="B80" s="15"/>
      <c r="C80" s="15"/>
      <c r="D80" s="88">
        <v>375.0597523081025</v>
      </c>
      <c r="E80" s="82"/>
      <c r="F80" s="109" t="str">
        <f>HYPERLINK("https://i.ytimg.com/vi/Or1Gc-XUnmw/default.jpg")</f>
        <v>https://i.ytimg.com/vi/Or1Gc-XUnmw/default.jpg</v>
      </c>
      <c r="G80" s="15"/>
      <c r="H80" s="16" t="s">
        <v>374</v>
      </c>
      <c r="I80" s="67"/>
      <c r="J80" s="67"/>
      <c r="K80" s="107" t="s">
        <v>374</v>
      </c>
      <c r="L80" s="89">
        <v>8934.058455558974</v>
      </c>
      <c r="M80" s="90">
        <v>8558.302734375</v>
      </c>
      <c r="N80" s="90">
        <v>7157.2802734375</v>
      </c>
      <c r="O80" s="78"/>
      <c r="P80" s="91"/>
      <c r="Q80" s="91"/>
      <c r="R80" s="92"/>
      <c r="S80" s="51">
        <v>1</v>
      </c>
      <c r="T80" s="51">
        <v>0</v>
      </c>
      <c r="U80" s="52">
        <v>0</v>
      </c>
      <c r="V80" s="52">
        <v>0.005525</v>
      </c>
      <c r="W80" s="52">
        <v>0.01087</v>
      </c>
      <c r="X80" s="52">
        <v>0.545586</v>
      </c>
      <c r="Y80" s="52">
        <v>0</v>
      </c>
      <c r="Z80" s="52">
        <v>0</v>
      </c>
      <c r="AA80" s="83">
        <v>80</v>
      </c>
      <c r="AB80" s="83"/>
      <c r="AC80" s="93"/>
      <c r="AD80" s="86" t="s">
        <v>374</v>
      </c>
      <c r="AE80" s="86" t="s">
        <v>452</v>
      </c>
      <c r="AF80" s="86" t="s">
        <v>524</v>
      </c>
      <c r="AG80" s="86" t="s">
        <v>588</v>
      </c>
      <c r="AH80" s="86" t="s">
        <v>666</v>
      </c>
      <c r="AI80" s="86">
        <v>271981</v>
      </c>
      <c r="AJ80" s="86">
        <v>600</v>
      </c>
      <c r="AK80" s="86">
        <v>5799</v>
      </c>
      <c r="AL80" s="86">
        <v>550</v>
      </c>
      <c r="AM80" s="86" t="s">
        <v>699</v>
      </c>
      <c r="AN80" s="111" t="str">
        <f>HYPERLINK("https://www.youtube.com/watch?v=Or1Gc-XUnmw")</f>
        <v>https://www.youtube.com/watch?v=Or1Gc-XUnmw</v>
      </c>
      <c r="AO80" s="86" t="str">
        <f>REPLACE(INDEX(GroupVertices[Group],MATCH(Vertices[[#This Row],[Vertex]],GroupVertices[Vertex],0)),1,1,"")</f>
        <v>1</v>
      </c>
      <c r="AP80" s="51">
        <v>1</v>
      </c>
      <c r="AQ80" s="52">
        <v>5.2631578947368425</v>
      </c>
      <c r="AR80" s="51">
        <v>3</v>
      </c>
      <c r="AS80" s="52">
        <v>15.789473684210526</v>
      </c>
      <c r="AT80" s="51">
        <v>0</v>
      </c>
      <c r="AU80" s="52">
        <v>0</v>
      </c>
      <c r="AV80" s="51">
        <v>15</v>
      </c>
      <c r="AW80" s="52">
        <v>78.94736842105263</v>
      </c>
      <c r="AX80" s="51">
        <v>19</v>
      </c>
      <c r="AY80" s="51"/>
      <c r="AZ80" s="51"/>
      <c r="BA80" s="51"/>
      <c r="BB80" s="51"/>
      <c r="BC80" s="2"/>
      <c r="BD80" s="3"/>
      <c r="BE80" s="3"/>
      <c r="BF80" s="3"/>
      <c r="BG80" s="3"/>
    </row>
    <row r="81" spans="1:59" ht="15">
      <c r="A81" s="14" t="s">
        <v>224</v>
      </c>
      <c r="B81" s="15"/>
      <c r="C81" s="15"/>
      <c r="D81" s="88">
        <v>666.5411612592695</v>
      </c>
      <c r="E81" s="82"/>
      <c r="F81" s="109" t="str">
        <f>HYPERLINK("https://i.ytimg.com/vi/TyRb2sN7nxc/default.jpg")</f>
        <v>https://i.ytimg.com/vi/TyRb2sN7nxc/default.jpg</v>
      </c>
      <c r="G81" s="15"/>
      <c r="H81" s="16" t="s">
        <v>328</v>
      </c>
      <c r="I81" s="67"/>
      <c r="J81" s="67"/>
      <c r="K81" s="107" t="s">
        <v>328</v>
      </c>
      <c r="L81" s="89">
        <v>7882.032012114492</v>
      </c>
      <c r="M81" s="90">
        <v>7668.60205078125</v>
      </c>
      <c r="N81" s="90">
        <v>8236.1708984375</v>
      </c>
      <c r="O81" s="78"/>
      <c r="P81" s="91"/>
      <c r="Q81" s="91"/>
      <c r="R81" s="92"/>
      <c r="S81" s="51">
        <v>1</v>
      </c>
      <c r="T81" s="51">
        <v>0</v>
      </c>
      <c r="U81" s="52">
        <v>0</v>
      </c>
      <c r="V81" s="52">
        <v>0.005525</v>
      </c>
      <c r="W81" s="52">
        <v>0.01087</v>
      </c>
      <c r="X81" s="52">
        <v>0.545586</v>
      </c>
      <c r="Y81" s="52">
        <v>0</v>
      </c>
      <c r="Z81" s="52">
        <v>0</v>
      </c>
      <c r="AA81" s="83">
        <v>81</v>
      </c>
      <c r="AB81" s="83"/>
      <c r="AC81" s="93"/>
      <c r="AD81" s="86" t="s">
        <v>328</v>
      </c>
      <c r="AE81" s="86" t="s">
        <v>416</v>
      </c>
      <c r="AF81" s="86"/>
      <c r="AG81" s="86" t="s">
        <v>562</v>
      </c>
      <c r="AH81" s="86" t="s">
        <v>619</v>
      </c>
      <c r="AI81" s="86">
        <v>540545</v>
      </c>
      <c r="AJ81" s="86">
        <v>6483</v>
      </c>
      <c r="AK81" s="86">
        <v>22728</v>
      </c>
      <c r="AL81" s="86">
        <v>798</v>
      </c>
      <c r="AM81" s="86" t="s">
        <v>699</v>
      </c>
      <c r="AN81" s="111" t="str">
        <f>HYPERLINK("https://www.youtube.com/watch?v=TyRb2sN7nxc")</f>
        <v>https://www.youtube.com/watch?v=TyRb2sN7nxc</v>
      </c>
      <c r="AO81" s="86" t="str">
        <f>REPLACE(INDEX(GroupVertices[Group],MATCH(Vertices[[#This Row],[Vertex]],GroupVertices[Vertex],0)),1,1,"")</f>
        <v>1</v>
      </c>
      <c r="AP81" s="51"/>
      <c r="AQ81" s="52"/>
      <c r="AR81" s="51"/>
      <c r="AS81" s="52"/>
      <c r="AT81" s="51"/>
      <c r="AU81" s="52"/>
      <c r="AV81" s="51"/>
      <c r="AW81" s="52"/>
      <c r="AX81" s="51"/>
      <c r="AY81" s="51"/>
      <c r="AZ81" s="51"/>
      <c r="BA81" s="51"/>
      <c r="BB81" s="51"/>
      <c r="BC81" s="2"/>
      <c r="BD81" s="3"/>
      <c r="BE81" s="3"/>
      <c r="BF81" s="3"/>
      <c r="BG81" s="3"/>
    </row>
    <row r="82" spans="1:59" ht="15">
      <c r="A82" s="14" t="s">
        <v>284</v>
      </c>
      <c r="B82" s="15"/>
      <c r="C82" s="15"/>
      <c r="D82" s="88">
        <v>359.849893708135</v>
      </c>
      <c r="E82" s="82"/>
      <c r="F82" s="109" t="str">
        <f>HYPERLINK("https://i.ytimg.com/vi/RBOEvx72o68/default.jpg")</f>
        <v>https://i.ytimg.com/vi/RBOEvx72o68/default.jpg</v>
      </c>
      <c r="G82" s="15"/>
      <c r="H82" s="16" t="s">
        <v>387</v>
      </c>
      <c r="I82" s="67"/>
      <c r="J82" s="67"/>
      <c r="K82" s="107" t="s">
        <v>387</v>
      </c>
      <c r="L82" s="89">
        <v>8988.954489943444</v>
      </c>
      <c r="M82" s="90">
        <v>550.996826171875</v>
      </c>
      <c r="N82" s="90">
        <v>6078.39013671875</v>
      </c>
      <c r="O82" s="78"/>
      <c r="P82" s="91"/>
      <c r="Q82" s="91"/>
      <c r="R82" s="92"/>
      <c r="S82" s="51">
        <v>1</v>
      </c>
      <c r="T82" s="51">
        <v>0</v>
      </c>
      <c r="U82" s="52">
        <v>0</v>
      </c>
      <c r="V82" s="52">
        <v>0.005525</v>
      </c>
      <c r="W82" s="52">
        <v>0.01087</v>
      </c>
      <c r="X82" s="52">
        <v>0.545586</v>
      </c>
      <c r="Y82" s="52">
        <v>0</v>
      </c>
      <c r="Z82" s="52">
        <v>0</v>
      </c>
      <c r="AA82" s="83">
        <v>82</v>
      </c>
      <c r="AB82" s="83"/>
      <c r="AC82" s="93"/>
      <c r="AD82" s="86" t="s">
        <v>387</v>
      </c>
      <c r="AE82" s="86" t="s">
        <v>464</v>
      </c>
      <c r="AF82" s="86" t="s">
        <v>535</v>
      </c>
      <c r="AG82" s="86" t="s">
        <v>599</v>
      </c>
      <c r="AH82" s="86" t="s">
        <v>679</v>
      </c>
      <c r="AI82" s="86">
        <v>257967</v>
      </c>
      <c r="AJ82" s="86">
        <v>3834</v>
      </c>
      <c r="AK82" s="86">
        <v>2822</v>
      </c>
      <c r="AL82" s="86">
        <v>486</v>
      </c>
      <c r="AM82" s="86" t="s">
        <v>699</v>
      </c>
      <c r="AN82" s="111" t="str">
        <f>HYPERLINK("https://www.youtube.com/watch?v=RBOEvx72o68")</f>
        <v>https://www.youtube.com/watch?v=RBOEvx72o68</v>
      </c>
      <c r="AO82" s="86" t="str">
        <f>REPLACE(INDEX(GroupVertices[Group],MATCH(Vertices[[#This Row],[Vertex]],GroupVertices[Vertex],0)),1,1,"")</f>
        <v>1</v>
      </c>
      <c r="AP82" s="51">
        <v>1</v>
      </c>
      <c r="AQ82" s="52">
        <v>3.8461538461538463</v>
      </c>
      <c r="AR82" s="51">
        <v>1</v>
      </c>
      <c r="AS82" s="52">
        <v>3.8461538461538463</v>
      </c>
      <c r="AT82" s="51">
        <v>0</v>
      </c>
      <c r="AU82" s="52">
        <v>0</v>
      </c>
      <c r="AV82" s="51">
        <v>24</v>
      </c>
      <c r="AW82" s="52">
        <v>92.3076923076923</v>
      </c>
      <c r="AX82" s="51">
        <v>26</v>
      </c>
      <c r="AY82" s="51"/>
      <c r="AZ82" s="51"/>
      <c r="BA82" s="51"/>
      <c r="BB82" s="51"/>
      <c r="BC82" s="2"/>
      <c r="BD82" s="3"/>
      <c r="BE82" s="3"/>
      <c r="BF82" s="3"/>
      <c r="BG82" s="3"/>
    </row>
    <row r="83" spans="1:59" ht="15">
      <c r="A83" s="14" t="s">
        <v>235</v>
      </c>
      <c r="B83" s="15"/>
      <c r="C83" s="15"/>
      <c r="D83" s="88">
        <v>152.73251492922918</v>
      </c>
      <c r="E83" s="82"/>
      <c r="F83" s="109" t="str">
        <f>HYPERLINK("https://i.ytimg.com/vi/L4QZ_XJcXjA/default.jpg")</f>
        <v>https://i.ytimg.com/vi/L4QZ_XJcXjA/default.jpg</v>
      </c>
      <c r="G83" s="15"/>
      <c r="H83" s="16" t="s">
        <v>338</v>
      </c>
      <c r="I83" s="67"/>
      <c r="J83" s="67"/>
      <c r="K83" s="107" t="s">
        <v>338</v>
      </c>
      <c r="L83" s="89">
        <v>9736.490877105687</v>
      </c>
      <c r="M83" s="90">
        <v>6778.9013671875</v>
      </c>
      <c r="N83" s="90">
        <v>4999.5</v>
      </c>
      <c r="O83" s="78"/>
      <c r="P83" s="91"/>
      <c r="Q83" s="91"/>
      <c r="R83" s="92"/>
      <c r="S83" s="51">
        <v>1</v>
      </c>
      <c r="T83" s="51">
        <v>0</v>
      </c>
      <c r="U83" s="52">
        <v>0</v>
      </c>
      <c r="V83" s="52">
        <v>0.005525</v>
      </c>
      <c r="W83" s="52">
        <v>0.01087</v>
      </c>
      <c r="X83" s="52">
        <v>0.545586</v>
      </c>
      <c r="Y83" s="52">
        <v>0</v>
      </c>
      <c r="Z83" s="52">
        <v>0</v>
      </c>
      <c r="AA83" s="83">
        <v>83</v>
      </c>
      <c r="AB83" s="83"/>
      <c r="AC83" s="93"/>
      <c r="AD83" s="86" t="s">
        <v>338</v>
      </c>
      <c r="AE83" s="86" t="s">
        <v>424</v>
      </c>
      <c r="AF83" s="86"/>
      <c r="AG83" s="86" t="s">
        <v>563</v>
      </c>
      <c r="AH83" s="86" t="s">
        <v>630</v>
      </c>
      <c r="AI83" s="86">
        <v>67134</v>
      </c>
      <c r="AJ83" s="86">
        <v>899</v>
      </c>
      <c r="AK83" s="86">
        <v>1119</v>
      </c>
      <c r="AL83" s="86">
        <v>151</v>
      </c>
      <c r="AM83" s="86" t="s">
        <v>699</v>
      </c>
      <c r="AN83" s="111" t="str">
        <f>HYPERLINK("https://www.youtube.com/watch?v=L4QZ_XJcXjA")</f>
        <v>https://www.youtube.com/watch?v=L4QZ_XJcXjA</v>
      </c>
      <c r="AO83" s="86" t="str">
        <f>REPLACE(INDEX(GroupVertices[Group],MATCH(Vertices[[#This Row],[Vertex]],GroupVertices[Vertex],0)),1,1,"")</f>
        <v>1</v>
      </c>
      <c r="AP83" s="51"/>
      <c r="AQ83" s="52"/>
      <c r="AR83" s="51"/>
      <c r="AS83" s="52"/>
      <c r="AT83" s="51"/>
      <c r="AU83" s="52"/>
      <c r="AV83" s="51"/>
      <c r="AW83" s="52"/>
      <c r="AX83" s="51"/>
      <c r="AY83" s="51"/>
      <c r="AZ83" s="51"/>
      <c r="BA83" s="51"/>
      <c r="BB83" s="51"/>
      <c r="BC83" s="2"/>
      <c r="BD83" s="3"/>
      <c r="BE83" s="3"/>
      <c r="BF83" s="3"/>
      <c r="BG83" s="3"/>
    </row>
    <row r="84" spans="1:59" ht="15">
      <c r="A84" s="14" t="s">
        <v>258</v>
      </c>
      <c r="B84" s="15"/>
      <c r="C84" s="15"/>
      <c r="D84" s="88">
        <v>110.12559191945884</v>
      </c>
      <c r="E84" s="82"/>
      <c r="F84" s="109" t="str">
        <f>HYPERLINK("https://i.ytimg.com/vi/Gj5T3lAaKTU/default.jpg")</f>
        <v>https://i.ytimg.com/vi/Gj5T3lAaKTU/default.jpg</v>
      </c>
      <c r="G84" s="15"/>
      <c r="H84" s="16" t="s">
        <v>361</v>
      </c>
      <c r="I84" s="67"/>
      <c r="J84" s="67"/>
      <c r="K84" s="107" t="s">
        <v>361</v>
      </c>
      <c r="L84" s="89">
        <v>9890.269500042119</v>
      </c>
      <c r="M84" s="90">
        <v>7668.60205078125</v>
      </c>
      <c r="N84" s="90">
        <v>3920.60986328125</v>
      </c>
      <c r="O84" s="78"/>
      <c r="P84" s="91"/>
      <c r="Q84" s="91"/>
      <c r="R84" s="92"/>
      <c r="S84" s="51">
        <v>1</v>
      </c>
      <c r="T84" s="51">
        <v>0</v>
      </c>
      <c r="U84" s="52">
        <v>0</v>
      </c>
      <c r="V84" s="52">
        <v>0.005525</v>
      </c>
      <c r="W84" s="52">
        <v>0.01087</v>
      </c>
      <c r="X84" s="52">
        <v>0.545586</v>
      </c>
      <c r="Y84" s="52">
        <v>0</v>
      </c>
      <c r="Z84" s="52">
        <v>0</v>
      </c>
      <c r="AA84" s="83">
        <v>84</v>
      </c>
      <c r="AB84" s="83"/>
      <c r="AC84" s="93"/>
      <c r="AD84" s="86" t="s">
        <v>361</v>
      </c>
      <c r="AE84" s="86" t="s">
        <v>439</v>
      </c>
      <c r="AF84" s="86"/>
      <c r="AG84" s="86" t="s">
        <v>563</v>
      </c>
      <c r="AH84" s="86" t="s">
        <v>653</v>
      </c>
      <c r="AI84" s="86">
        <v>27877</v>
      </c>
      <c r="AJ84" s="86">
        <v>279</v>
      </c>
      <c r="AK84" s="86">
        <v>339</v>
      </c>
      <c r="AL84" s="86">
        <v>29</v>
      </c>
      <c r="AM84" s="86" t="s">
        <v>699</v>
      </c>
      <c r="AN84" s="111" t="str">
        <f>HYPERLINK("https://www.youtube.com/watch?v=Gj5T3lAaKTU")</f>
        <v>https://www.youtube.com/watch?v=Gj5T3lAaKTU</v>
      </c>
      <c r="AO84" s="86" t="str">
        <f>REPLACE(INDEX(GroupVertices[Group],MATCH(Vertices[[#This Row],[Vertex]],GroupVertices[Vertex],0)),1,1,"")</f>
        <v>1</v>
      </c>
      <c r="AP84" s="51"/>
      <c r="AQ84" s="52"/>
      <c r="AR84" s="51"/>
      <c r="AS84" s="52"/>
      <c r="AT84" s="51"/>
      <c r="AU84" s="52"/>
      <c r="AV84" s="51"/>
      <c r="AW84" s="52"/>
      <c r="AX84" s="51"/>
      <c r="AY84" s="51"/>
      <c r="AZ84" s="51"/>
      <c r="BA84" s="51"/>
      <c r="BB84" s="51"/>
      <c r="BC84" s="2"/>
      <c r="BD84" s="3"/>
      <c r="BE84" s="3"/>
      <c r="BF84" s="3"/>
      <c r="BG84" s="3"/>
    </row>
    <row r="85" spans="1:59" ht="15">
      <c r="A85" s="14" t="s">
        <v>247</v>
      </c>
      <c r="B85" s="15"/>
      <c r="C85" s="15"/>
      <c r="D85" s="88">
        <v>95.62988252448488</v>
      </c>
      <c r="E85" s="82"/>
      <c r="F85" s="109" t="str">
        <f>HYPERLINK("https://i.ytimg.com/vi/Z8VCiwCZDyg/default.jpg")</f>
        <v>https://i.ytimg.com/vi/Z8VCiwCZDyg/default.jpg</v>
      </c>
      <c r="G85" s="15"/>
      <c r="H85" s="16" t="s">
        <v>350</v>
      </c>
      <c r="I85" s="67"/>
      <c r="J85" s="67"/>
      <c r="K85" s="107" t="s">
        <v>350</v>
      </c>
      <c r="L85" s="89">
        <v>9942.587998346598</v>
      </c>
      <c r="M85" s="90">
        <v>4109.79931640625</v>
      </c>
      <c r="N85" s="90">
        <v>2841.719482421875</v>
      </c>
      <c r="O85" s="78"/>
      <c r="P85" s="91"/>
      <c r="Q85" s="91"/>
      <c r="R85" s="92"/>
      <c r="S85" s="51">
        <v>1</v>
      </c>
      <c r="T85" s="51">
        <v>0</v>
      </c>
      <c r="U85" s="52">
        <v>0</v>
      </c>
      <c r="V85" s="52">
        <v>0.005525</v>
      </c>
      <c r="W85" s="52">
        <v>0.01087</v>
      </c>
      <c r="X85" s="52">
        <v>0.545586</v>
      </c>
      <c r="Y85" s="52">
        <v>0</v>
      </c>
      <c r="Z85" s="52">
        <v>0</v>
      </c>
      <c r="AA85" s="83">
        <v>85</v>
      </c>
      <c r="AB85" s="83"/>
      <c r="AC85" s="93"/>
      <c r="AD85" s="86" t="s">
        <v>350</v>
      </c>
      <c r="AE85" s="86" t="s">
        <v>429</v>
      </c>
      <c r="AF85" s="86"/>
      <c r="AG85" s="86" t="s">
        <v>563</v>
      </c>
      <c r="AH85" s="86" t="s">
        <v>642</v>
      </c>
      <c r="AI85" s="86">
        <v>14521</v>
      </c>
      <c r="AJ85" s="86">
        <v>164</v>
      </c>
      <c r="AK85" s="86">
        <v>319</v>
      </c>
      <c r="AL85" s="86">
        <v>26</v>
      </c>
      <c r="AM85" s="86" t="s">
        <v>699</v>
      </c>
      <c r="AN85" s="111" t="str">
        <f>HYPERLINK("https://www.youtube.com/watch?v=Z8VCiwCZDyg")</f>
        <v>https://www.youtube.com/watch?v=Z8VCiwCZDyg</v>
      </c>
      <c r="AO85" s="86" t="str">
        <f>REPLACE(INDEX(GroupVertices[Group],MATCH(Vertices[[#This Row],[Vertex]],GroupVertices[Vertex],0)),1,1,"")</f>
        <v>1</v>
      </c>
      <c r="AP85" s="51"/>
      <c r="AQ85" s="52"/>
      <c r="AR85" s="51"/>
      <c r="AS85" s="52"/>
      <c r="AT85" s="51"/>
      <c r="AU85" s="52"/>
      <c r="AV85" s="51"/>
      <c r="AW85" s="52"/>
      <c r="AX85" s="51"/>
      <c r="AY85" s="51"/>
      <c r="AZ85" s="51"/>
      <c r="BA85" s="51"/>
      <c r="BB85" s="51"/>
      <c r="BC85" s="2"/>
      <c r="BD85" s="3"/>
      <c r="BE85" s="3"/>
      <c r="BF85" s="3"/>
      <c r="BG85" s="3"/>
    </row>
    <row r="86" spans="1:59" ht="15">
      <c r="A86" s="14" t="s">
        <v>225</v>
      </c>
      <c r="B86" s="15"/>
      <c r="C86" s="15"/>
      <c r="D86" s="88">
        <v>86.38392951940976</v>
      </c>
      <c r="E86" s="82"/>
      <c r="F86" s="109" t="str">
        <f>HYPERLINK("https://i.ytimg.com/vi/BeeAFB49xCM/default.jpg")</f>
        <v>https://i.ytimg.com/vi/BeeAFB49xCM/default.jpg</v>
      </c>
      <c r="G86" s="15"/>
      <c r="H86" s="16" t="s">
        <v>329</v>
      </c>
      <c r="I86" s="67"/>
      <c r="J86" s="67"/>
      <c r="K86" s="107" t="s">
        <v>329</v>
      </c>
      <c r="L86" s="89">
        <v>9975.958864403492</v>
      </c>
      <c r="M86" s="90">
        <v>1440.6976318359375</v>
      </c>
      <c r="N86" s="90">
        <v>1762.8294677734375</v>
      </c>
      <c r="O86" s="78"/>
      <c r="P86" s="91"/>
      <c r="Q86" s="91"/>
      <c r="R86" s="92"/>
      <c r="S86" s="51">
        <v>1</v>
      </c>
      <c r="T86" s="51">
        <v>0</v>
      </c>
      <c r="U86" s="52">
        <v>0</v>
      </c>
      <c r="V86" s="52">
        <v>0.005525</v>
      </c>
      <c r="W86" s="52">
        <v>0.01087</v>
      </c>
      <c r="X86" s="52">
        <v>0.545586</v>
      </c>
      <c r="Y86" s="52">
        <v>0</v>
      </c>
      <c r="Z86" s="52">
        <v>0</v>
      </c>
      <c r="AA86" s="83">
        <v>86</v>
      </c>
      <c r="AB86" s="83"/>
      <c r="AC86" s="93"/>
      <c r="AD86" s="86" t="s">
        <v>329</v>
      </c>
      <c r="AE86" s="86" t="s">
        <v>417</v>
      </c>
      <c r="AF86" s="86" t="s">
        <v>490</v>
      </c>
      <c r="AG86" s="86" t="s">
        <v>563</v>
      </c>
      <c r="AH86" s="86" t="s">
        <v>620</v>
      </c>
      <c r="AI86" s="86">
        <v>6002</v>
      </c>
      <c r="AJ86" s="86">
        <v>42</v>
      </c>
      <c r="AK86" s="86">
        <v>68</v>
      </c>
      <c r="AL86" s="86">
        <v>25</v>
      </c>
      <c r="AM86" s="86" t="s">
        <v>699</v>
      </c>
      <c r="AN86" s="111" t="str">
        <f>HYPERLINK("https://www.youtube.com/watch?v=BeeAFB49xCM")</f>
        <v>https://www.youtube.com/watch?v=BeeAFB49xCM</v>
      </c>
      <c r="AO86" s="86" t="str">
        <f>REPLACE(INDEX(GroupVertices[Group],MATCH(Vertices[[#This Row],[Vertex]],GroupVertices[Vertex],0)),1,1,"")</f>
        <v>1</v>
      </c>
      <c r="AP86" s="51">
        <v>1</v>
      </c>
      <c r="AQ86" s="52">
        <v>1.8867924528301887</v>
      </c>
      <c r="AR86" s="51">
        <v>0</v>
      </c>
      <c r="AS86" s="52">
        <v>0</v>
      </c>
      <c r="AT86" s="51">
        <v>0</v>
      </c>
      <c r="AU86" s="52">
        <v>0</v>
      </c>
      <c r="AV86" s="51">
        <v>52</v>
      </c>
      <c r="AW86" s="52">
        <v>98.11320754716981</v>
      </c>
      <c r="AX86" s="51">
        <v>53</v>
      </c>
      <c r="AY86" s="51"/>
      <c r="AZ86" s="51"/>
      <c r="BA86" s="51"/>
      <c r="BB86" s="51"/>
      <c r="BC86" s="2"/>
      <c r="BD86" s="3"/>
      <c r="BE86" s="3"/>
      <c r="BF86" s="3"/>
      <c r="BG86" s="3"/>
    </row>
    <row r="87" spans="1:59" ht="15">
      <c r="A87" s="14" t="s">
        <v>237</v>
      </c>
      <c r="B87" s="15"/>
      <c r="C87" s="15"/>
      <c r="D87" s="88">
        <v>107.36776041506914</v>
      </c>
      <c r="E87" s="82"/>
      <c r="F87" s="109" t="str">
        <f>HYPERLINK("https://i.ytimg.com/vi/9zWI_dpgaeU/default.jpg")</f>
        <v>https://i.ytimg.com/vi/9zWI_dpgaeU/default.jpg</v>
      </c>
      <c r="G87" s="15"/>
      <c r="H87" s="16" t="s">
        <v>340</v>
      </c>
      <c r="I87" s="67"/>
      <c r="J87" s="67"/>
      <c r="K87" s="107" t="s">
        <v>340</v>
      </c>
      <c r="L87" s="89">
        <v>9900.223176606336</v>
      </c>
      <c r="M87" s="90">
        <v>9448.0029296875</v>
      </c>
      <c r="N87" s="90">
        <v>3920.60986328125</v>
      </c>
      <c r="O87" s="78"/>
      <c r="P87" s="91"/>
      <c r="Q87" s="91"/>
      <c r="R87" s="92"/>
      <c r="S87" s="51">
        <v>1</v>
      </c>
      <c r="T87" s="51">
        <v>0</v>
      </c>
      <c r="U87" s="52">
        <v>0</v>
      </c>
      <c r="V87" s="52">
        <v>0.005525</v>
      </c>
      <c r="W87" s="52">
        <v>0.01087</v>
      </c>
      <c r="X87" s="52">
        <v>0.545586</v>
      </c>
      <c r="Y87" s="52">
        <v>0</v>
      </c>
      <c r="Z87" s="52">
        <v>0</v>
      </c>
      <c r="AA87" s="83">
        <v>87</v>
      </c>
      <c r="AB87" s="83"/>
      <c r="AC87" s="93"/>
      <c r="AD87" s="86" t="s">
        <v>340</v>
      </c>
      <c r="AE87" s="86" t="s">
        <v>425</v>
      </c>
      <c r="AF87" s="86" t="s">
        <v>498</v>
      </c>
      <c r="AG87" s="86" t="s">
        <v>569</v>
      </c>
      <c r="AH87" s="86" t="s">
        <v>632</v>
      </c>
      <c r="AI87" s="86">
        <v>25336</v>
      </c>
      <c r="AJ87" s="86">
        <v>151</v>
      </c>
      <c r="AK87" s="86">
        <v>2015</v>
      </c>
      <c r="AL87" s="86">
        <v>15</v>
      </c>
      <c r="AM87" s="86" t="s">
        <v>699</v>
      </c>
      <c r="AN87" s="111" t="str">
        <f>HYPERLINK("https://www.youtube.com/watch?v=9zWI_dpgaeU")</f>
        <v>https://www.youtube.com/watch?v=9zWI_dpgaeU</v>
      </c>
      <c r="AO87" s="86" t="str">
        <f>REPLACE(INDEX(GroupVertices[Group],MATCH(Vertices[[#This Row],[Vertex]],GroupVertices[Vertex],0)),1,1,"")</f>
        <v>1</v>
      </c>
      <c r="AP87" s="51">
        <v>0</v>
      </c>
      <c r="AQ87" s="52">
        <v>0</v>
      </c>
      <c r="AR87" s="51">
        <v>0</v>
      </c>
      <c r="AS87" s="52">
        <v>0</v>
      </c>
      <c r="AT87" s="51">
        <v>0</v>
      </c>
      <c r="AU87" s="52">
        <v>0</v>
      </c>
      <c r="AV87" s="51">
        <v>39</v>
      </c>
      <c r="AW87" s="52">
        <v>100</v>
      </c>
      <c r="AX87" s="51">
        <v>39</v>
      </c>
      <c r="AY87" s="51"/>
      <c r="AZ87" s="51"/>
      <c r="BA87" s="51"/>
      <c r="BB87" s="51"/>
      <c r="BC87" s="2"/>
      <c r="BD87" s="3"/>
      <c r="BE87" s="3"/>
      <c r="BF87" s="3"/>
      <c r="BG87" s="3"/>
    </row>
    <row r="88" spans="1:59" ht="15">
      <c r="A88" s="14" t="s">
        <v>252</v>
      </c>
      <c r="B88" s="15"/>
      <c r="C88" s="15"/>
      <c r="D88" s="88">
        <v>80.25179728808281</v>
      </c>
      <c r="E88" s="82"/>
      <c r="F88" s="109" t="str">
        <f>HYPERLINK("https://i.ytimg.com/vi/aMvjFWe3eKM/default.jpg")</f>
        <v>https://i.ytimg.com/vi/aMvjFWe3eKM/default.jpg</v>
      </c>
      <c r="G88" s="15"/>
      <c r="H88" s="16" t="s">
        <v>355</v>
      </c>
      <c r="I88" s="67"/>
      <c r="J88" s="67"/>
      <c r="K88" s="107" t="s">
        <v>355</v>
      </c>
      <c r="L88" s="89">
        <v>9998.09120308426</v>
      </c>
      <c r="M88" s="90">
        <v>1440.6976318359375</v>
      </c>
      <c r="N88" s="90">
        <v>683.93896484375</v>
      </c>
      <c r="O88" s="78"/>
      <c r="P88" s="91"/>
      <c r="Q88" s="91"/>
      <c r="R88" s="92"/>
      <c r="S88" s="51">
        <v>1</v>
      </c>
      <c r="T88" s="51">
        <v>0</v>
      </c>
      <c r="U88" s="52">
        <v>0</v>
      </c>
      <c r="V88" s="52">
        <v>0.005525</v>
      </c>
      <c r="W88" s="52">
        <v>0.01087</v>
      </c>
      <c r="X88" s="52">
        <v>0.545586</v>
      </c>
      <c r="Y88" s="52">
        <v>0</v>
      </c>
      <c r="Z88" s="52">
        <v>0</v>
      </c>
      <c r="AA88" s="83">
        <v>88</v>
      </c>
      <c r="AB88" s="83"/>
      <c r="AC88" s="93"/>
      <c r="AD88" s="86" t="s">
        <v>355</v>
      </c>
      <c r="AE88" s="86" t="s">
        <v>434</v>
      </c>
      <c r="AF88" s="86" t="s">
        <v>508</v>
      </c>
      <c r="AG88" s="86" t="s">
        <v>576</v>
      </c>
      <c r="AH88" s="86" t="s">
        <v>647</v>
      </c>
      <c r="AI88" s="86">
        <v>352</v>
      </c>
      <c r="AJ88" s="86">
        <v>3</v>
      </c>
      <c r="AK88" s="86">
        <v>11</v>
      </c>
      <c r="AL88" s="86">
        <v>0</v>
      </c>
      <c r="AM88" s="86" t="s">
        <v>699</v>
      </c>
      <c r="AN88" s="111" t="str">
        <f>HYPERLINK("https://www.youtube.com/watch?v=aMvjFWe3eKM")</f>
        <v>https://www.youtube.com/watch?v=aMvjFWe3eKM</v>
      </c>
      <c r="AO88" s="86" t="str">
        <f>REPLACE(INDEX(GroupVertices[Group],MATCH(Vertices[[#This Row],[Vertex]],GroupVertices[Vertex],0)),1,1,"")</f>
        <v>1</v>
      </c>
      <c r="AP88" s="51">
        <v>0</v>
      </c>
      <c r="AQ88" s="52">
        <v>0</v>
      </c>
      <c r="AR88" s="51">
        <v>0</v>
      </c>
      <c r="AS88" s="52">
        <v>0</v>
      </c>
      <c r="AT88" s="51">
        <v>0</v>
      </c>
      <c r="AU88" s="52">
        <v>0</v>
      </c>
      <c r="AV88" s="51">
        <v>3</v>
      </c>
      <c r="AW88" s="52">
        <v>100</v>
      </c>
      <c r="AX88" s="51">
        <v>3</v>
      </c>
      <c r="AY88" s="51"/>
      <c r="AZ88" s="51"/>
      <c r="BA88" s="51"/>
      <c r="BB88" s="51"/>
      <c r="BC88" s="2"/>
      <c r="BD88" s="3"/>
      <c r="BE88" s="3"/>
      <c r="BF88" s="3"/>
      <c r="BG88" s="3"/>
    </row>
    <row r="89" spans="1:59" ht="15">
      <c r="A89" s="14" t="s">
        <v>283</v>
      </c>
      <c r="B89" s="15"/>
      <c r="C89" s="15"/>
      <c r="D89" s="88">
        <v>402.4698407155649</v>
      </c>
      <c r="E89" s="82"/>
      <c r="F89" s="109" t="str">
        <f>HYPERLINK("https://i.ytimg.com/vi/zavQ1XZosEc/default.jpg")</f>
        <v>https://i.ytimg.com/vi/zavQ1XZosEc/default.jpg</v>
      </c>
      <c r="G89" s="15"/>
      <c r="H89" s="16" t="s">
        <v>386</v>
      </c>
      <c r="I89" s="67"/>
      <c r="J89" s="67"/>
      <c r="K89" s="107" t="s">
        <v>386</v>
      </c>
      <c r="L89" s="89">
        <v>8835.12886026999</v>
      </c>
      <c r="M89" s="90">
        <v>5889.20068359375</v>
      </c>
      <c r="N89" s="90">
        <v>7157.2802734375</v>
      </c>
      <c r="O89" s="78"/>
      <c r="P89" s="91"/>
      <c r="Q89" s="91"/>
      <c r="R89" s="92"/>
      <c r="S89" s="51">
        <v>1</v>
      </c>
      <c r="T89" s="51">
        <v>0</v>
      </c>
      <c r="U89" s="52">
        <v>0</v>
      </c>
      <c r="V89" s="52">
        <v>0.005525</v>
      </c>
      <c r="W89" s="52">
        <v>0.01087</v>
      </c>
      <c r="X89" s="52">
        <v>0.545586</v>
      </c>
      <c r="Y89" s="52">
        <v>0</v>
      </c>
      <c r="Z89" s="52">
        <v>0</v>
      </c>
      <c r="AA89" s="83">
        <v>89</v>
      </c>
      <c r="AB89" s="83"/>
      <c r="AC89" s="93"/>
      <c r="AD89" s="86" t="s">
        <v>386</v>
      </c>
      <c r="AE89" s="86" t="s">
        <v>463</v>
      </c>
      <c r="AF89" s="86" t="s">
        <v>534</v>
      </c>
      <c r="AG89" s="86" t="s">
        <v>598</v>
      </c>
      <c r="AH89" s="86" t="s">
        <v>678</v>
      </c>
      <c r="AI89" s="86">
        <v>297236</v>
      </c>
      <c r="AJ89" s="86">
        <v>4629</v>
      </c>
      <c r="AK89" s="86">
        <v>2404</v>
      </c>
      <c r="AL89" s="86">
        <v>3189</v>
      </c>
      <c r="AM89" s="86" t="s">
        <v>699</v>
      </c>
      <c r="AN89" s="111" t="str">
        <f>HYPERLINK("https://www.youtube.com/watch?v=zavQ1XZosEc")</f>
        <v>https://www.youtube.com/watch?v=zavQ1XZosEc</v>
      </c>
      <c r="AO89" s="86" t="str">
        <f>REPLACE(INDEX(GroupVertices[Group],MATCH(Vertices[[#This Row],[Vertex]],GroupVertices[Vertex],0)),1,1,"")</f>
        <v>1</v>
      </c>
      <c r="AP89" s="51">
        <v>0</v>
      </c>
      <c r="AQ89" s="52">
        <v>0</v>
      </c>
      <c r="AR89" s="51">
        <v>0</v>
      </c>
      <c r="AS89" s="52">
        <v>0</v>
      </c>
      <c r="AT89" s="51">
        <v>0</v>
      </c>
      <c r="AU89" s="52">
        <v>0</v>
      </c>
      <c r="AV89" s="51">
        <v>41</v>
      </c>
      <c r="AW89" s="52">
        <v>100</v>
      </c>
      <c r="AX89" s="51">
        <v>41</v>
      </c>
      <c r="AY89" s="51"/>
      <c r="AZ89" s="51"/>
      <c r="BA89" s="51"/>
      <c r="BB89" s="51"/>
      <c r="BC89" s="2"/>
      <c r="BD89" s="3"/>
      <c r="BE89" s="3"/>
      <c r="BF89" s="3"/>
      <c r="BG89" s="3"/>
    </row>
    <row r="90" spans="1:59" ht="15">
      <c r="A90" s="14" t="s">
        <v>282</v>
      </c>
      <c r="B90" s="15"/>
      <c r="C90" s="15"/>
      <c r="D90" s="88">
        <v>217.9751458711332</v>
      </c>
      <c r="E90" s="82"/>
      <c r="F90" s="109" t="str">
        <f>HYPERLINK("https://i.ytimg.com/vi/x0Yf4UgkXvk/default.jpg")</f>
        <v>https://i.ytimg.com/vi/x0Yf4UgkXvk/default.jpg</v>
      </c>
      <c r="G90" s="15"/>
      <c r="H90" s="16" t="s">
        <v>385</v>
      </c>
      <c r="I90" s="67"/>
      <c r="J90" s="67"/>
      <c r="K90" s="107" t="s">
        <v>385</v>
      </c>
      <c r="L90" s="89">
        <v>9501.014545226588</v>
      </c>
      <c r="M90" s="90">
        <v>8558.302734375</v>
      </c>
      <c r="N90" s="90">
        <v>6078.39013671875</v>
      </c>
      <c r="O90" s="78"/>
      <c r="P90" s="91"/>
      <c r="Q90" s="91"/>
      <c r="R90" s="92"/>
      <c r="S90" s="51">
        <v>1</v>
      </c>
      <c r="T90" s="51">
        <v>0</v>
      </c>
      <c r="U90" s="52">
        <v>0</v>
      </c>
      <c r="V90" s="52">
        <v>0.005525</v>
      </c>
      <c r="W90" s="52">
        <v>0.01087</v>
      </c>
      <c r="X90" s="52">
        <v>0.545586</v>
      </c>
      <c r="Y90" s="52">
        <v>0</v>
      </c>
      <c r="Z90" s="52">
        <v>0</v>
      </c>
      <c r="AA90" s="83">
        <v>90</v>
      </c>
      <c r="AB90" s="83"/>
      <c r="AC90" s="93"/>
      <c r="AD90" s="86" t="s">
        <v>385</v>
      </c>
      <c r="AE90" s="86" t="s">
        <v>462</v>
      </c>
      <c r="AF90" s="86" t="s">
        <v>533</v>
      </c>
      <c r="AG90" s="86" t="s">
        <v>598</v>
      </c>
      <c r="AH90" s="86" t="s">
        <v>677</v>
      </c>
      <c r="AI90" s="86">
        <v>127247</v>
      </c>
      <c r="AJ90" s="86">
        <v>1357</v>
      </c>
      <c r="AK90" s="86">
        <v>906</v>
      </c>
      <c r="AL90" s="86">
        <v>497</v>
      </c>
      <c r="AM90" s="86" t="s">
        <v>699</v>
      </c>
      <c r="AN90" s="111" t="str">
        <f>HYPERLINK("https://www.youtube.com/watch?v=x0Yf4UgkXvk")</f>
        <v>https://www.youtube.com/watch?v=x0Yf4UgkXvk</v>
      </c>
      <c r="AO90" s="86" t="str">
        <f>REPLACE(INDEX(GroupVertices[Group],MATCH(Vertices[[#This Row],[Vertex]],GroupVertices[Vertex],0)),1,1,"")</f>
        <v>1</v>
      </c>
      <c r="AP90" s="51">
        <v>1</v>
      </c>
      <c r="AQ90" s="52">
        <v>1.9607843137254901</v>
      </c>
      <c r="AR90" s="51">
        <v>0</v>
      </c>
      <c r="AS90" s="52">
        <v>0</v>
      </c>
      <c r="AT90" s="51">
        <v>0</v>
      </c>
      <c r="AU90" s="52">
        <v>0</v>
      </c>
      <c r="AV90" s="51">
        <v>50</v>
      </c>
      <c r="AW90" s="52">
        <v>98.03921568627452</v>
      </c>
      <c r="AX90" s="51">
        <v>51</v>
      </c>
      <c r="AY90" s="51"/>
      <c r="AZ90" s="51"/>
      <c r="BA90" s="51"/>
      <c r="BB90" s="51"/>
      <c r="BC90" s="2"/>
      <c r="BD90" s="3"/>
      <c r="BE90" s="3"/>
      <c r="BF90" s="3"/>
      <c r="BG90" s="3"/>
    </row>
    <row r="91" spans="1:59" ht="15">
      <c r="A91" s="14" t="s">
        <v>276</v>
      </c>
      <c r="B91" s="15"/>
      <c r="C91" s="15"/>
      <c r="D91" s="88">
        <v>86.46858550419623</v>
      </c>
      <c r="E91" s="82"/>
      <c r="F91" s="109" t="str">
        <f>HYPERLINK("https://i.ytimg.com/vi/lRGr3-rtrKs/default.jpg")</f>
        <v>https://i.ytimg.com/vi/lRGr3-rtrKs/default.jpg</v>
      </c>
      <c r="G91" s="15"/>
      <c r="H91" s="16" t="s">
        <v>379</v>
      </c>
      <c r="I91" s="67"/>
      <c r="J91" s="67"/>
      <c r="K91" s="107" t="s">
        <v>379</v>
      </c>
      <c r="L91" s="89">
        <v>9975.653320612855</v>
      </c>
      <c r="M91" s="90">
        <v>550.996826171875</v>
      </c>
      <c r="N91" s="90">
        <v>1762.8294677734375</v>
      </c>
      <c r="O91" s="78"/>
      <c r="P91" s="91"/>
      <c r="Q91" s="91"/>
      <c r="R91" s="92"/>
      <c r="S91" s="51">
        <v>1</v>
      </c>
      <c r="T91" s="51">
        <v>0</v>
      </c>
      <c r="U91" s="52">
        <v>0</v>
      </c>
      <c r="V91" s="52">
        <v>0.005525</v>
      </c>
      <c r="W91" s="52">
        <v>0.01087</v>
      </c>
      <c r="X91" s="52">
        <v>0.545586</v>
      </c>
      <c r="Y91" s="52">
        <v>0</v>
      </c>
      <c r="Z91" s="52">
        <v>0</v>
      </c>
      <c r="AA91" s="83">
        <v>91</v>
      </c>
      <c r="AB91" s="83"/>
      <c r="AC91" s="93"/>
      <c r="AD91" s="86" t="s">
        <v>379</v>
      </c>
      <c r="AE91" s="86" t="s">
        <v>457</v>
      </c>
      <c r="AF91" s="86" t="s">
        <v>529</v>
      </c>
      <c r="AG91" s="86" t="s">
        <v>592</v>
      </c>
      <c r="AH91" s="86" t="s">
        <v>671</v>
      </c>
      <c r="AI91" s="86">
        <v>6080</v>
      </c>
      <c r="AJ91" s="86">
        <v>98</v>
      </c>
      <c r="AK91" s="86">
        <v>161</v>
      </c>
      <c r="AL91" s="86">
        <v>57</v>
      </c>
      <c r="AM91" s="86" t="s">
        <v>699</v>
      </c>
      <c r="AN91" s="111" t="str">
        <f>HYPERLINK("https://www.youtube.com/watch?v=lRGr3-rtrKs")</f>
        <v>https://www.youtube.com/watch?v=lRGr3-rtrKs</v>
      </c>
      <c r="AO91" s="86" t="str">
        <f>REPLACE(INDEX(GroupVertices[Group],MATCH(Vertices[[#This Row],[Vertex]],GroupVertices[Vertex],0)),1,1,"")</f>
        <v>1</v>
      </c>
      <c r="AP91" s="51">
        <v>0</v>
      </c>
      <c r="AQ91" s="52">
        <v>0</v>
      </c>
      <c r="AR91" s="51">
        <v>0</v>
      </c>
      <c r="AS91" s="52">
        <v>0</v>
      </c>
      <c r="AT91" s="51">
        <v>0</v>
      </c>
      <c r="AU91" s="52">
        <v>0</v>
      </c>
      <c r="AV91" s="51">
        <v>20</v>
      </c>
      <c r="AW91" s="52">
        <v>100</v>
      </c>
      <c r="AX91" s="51">
        <v>20</v>
      </c>
      <c r="AY91" s="51"/>
      <c r="AZ91" s="51"/>
      <c r="BA91" s="51"/>
      <c r="BB91" s="51"/>
      <c r="BC91" s="2"/>
      <c r="BD91" s="3"/>
      <c r="BE91" s="3"/>
      <c r="BF91" s="3"/>
      <c r="BG91" s="3"/>
    </row>
    <row r="92" spans="1:59" ht="15">
      <c r="A92" s="14" t="s">
        <v>290</v>
      </c>
      <c r="B92" s="15"/>
      <c r="C92" s="15"/>
      <c r="D92" s="88">
        <v>1000</v>
      </c>
      <c r="E92" s="82"/>
      <c r="F92" s="109" t="str">
        <f>HYPERLINK("https://i.ytimg.com/vi/niCxnEyG0SM/default.jpg")</f>
        <v>https://i.ytimg.com/vi/niCxnEyG0SM/default.jpg</v>
      </c>
      <c r="G92" s="15"/>
      <c r="H92" s="16" t="s">
        <v>393</v>
      </c>
      <c r="I92" s="67"/>
      <c r="J92" s="67"/>
      <c r="K92" s="107" t="s">
        <v>393</v>
      </c>
      <c r="L92" s="89">
        <v>2844.852748583149</v>
      </c>
      <c r="M92" s="90">
        <v>3220.0986328125</v>
      </c>
      <c r="N92" s="90">
        <v>9315.060546875</v>
      </c>
      <c r="O92" s="78"/>
      <c r="P92" s="91"/>
      <c r="Q92" s="91"/>
      <c r="R92" s="92"/>
      <c r="S92" s="51">
        <v>1</v>
      </c>
      <c r="T92" s="51">
        <v>0</v>
      </c>
      <c r="U92" s="52">
        <v>0</v>
      </c>
      <c r="V92" s="52">
        <v>0.005525</v>
      </c>
      <c r="W92" s="52">
        <v>0.01087</v>
      </c>
      <c r="X92" s="52">
        <v>0.545586</v>
      </c>
      <c r="Y92" s="52">
        <v>0</v>
      </c>
      <c r="Z92" s="52">
        <v>0</v>
      </c>
      <c r="AA92" s="83">
        <v>92</v>
      </c>
      <c r="AB92" s="83"/>
      <c r="AC92" s="93"/>
      <c r="AD92" s="86" t="s">
        <v>393</v>
      </c>
      <c r="AE92" s="86" t="s">
        <v>469</v>
      </c>
      <c r="AF92" s="86" t="s">
        <v>539</v>
      </c>
      <c r="AG92" s="86" t="s">
        <v>602</v>
      </c>
      <c r="AH92" s="86" t="s">
        <v>685</v>
      </c>
      <c r="AI92" s="86">
        <v>1826449</v>
      </c>
      <c r="AJ92" s="86">
        <v>6843</v>
      </c>
      <c r="AK92" s="86">
        <v>21772</v>
      </c>
      <c r="AL92" s="86">
        <v>13761</v>
      </c>
      <c r="AM92" s="86" t="s">
        <v>699</v>
      </c>
      <c r="AN92" s="111" t="str">
        <f>HYPERLINK("https://www.youtube.com/watch?v=niCxnEyG0SM")</f>
        <v>https://www.youtube.com/watch?v=niCxnEyG0SM</v>
      </c>
      <c r="AO92" s="86" t="str">
        <f>REPLACE(INDEX(GroupVertices[Group],MATCH(Vertices[[#This Row],[Vertex]],GroupVertices[Vertex],0)),1,1,"")</f>
        <v>1</v>
      </c>
      <c r="AP92" s="51">
        <v>0</v>
      </c>
      <c r="AQ92" s="52">
        <v>0</v>
      </c>
      <c r="AR92" s="51">
        <v>1</v>
      </c>
      <c r="AS92" s="52">
        <v>20</v>
      </c>
      <c r="AT92" s="51">
        <v>0</v>
      </c>
      <c r="AU92" s="52">
        <v>0</v>
      </c>
      <c r="AV92" s="51">
        <v>4</v>
      </c>
      <c r="AW92" s="52">
        <v>80</v>
      </c>
      <c r="AX92" s="51">
        <v>5</v>
      </c>
      <c r="AY92" s="51"/>
      <c r="AZ92" s="51"/>
      <c r="BA92" s="51"/>
      <c r="BB92" s="51"/>
      <c r="BC92" s="2"/>
      <c r="BD92" s="3"/>
      <c r="BE92" s="3"/>
      <c r="BF92" s="3"/>
      <c r="BG92" s="3"/>
    </row>
    <row r="93" spans="1:59" ht="15">
      <c r="A93" s="14" t="s">
        <v>217</v>
      </c>
      <c r="B93" s="15"/>
      <c r="C93" s="15"/>
      <c r="D93" s="88">
        <v>533.6844464683024</v>
      </c>
      <c r="E93" s="82"/>
      <c r="F93" s="109" t="str">
        <f>HYPERLINK("https://i.ytimg.com/vi/Dh5n9EbTsQg/default.jpg")</f>
        <v>https://i.ytimg.com/vi/Dh5n9EbTsQg/default.jpg</v>
      </c>
      <c r="G93" s="15"/>
      <c r="H93" s="16" t="s">
        <v>321</v>
      </c>
      <c r="I93" s="67"/>
      <c r="J93" s="67"/>
      <c r="K93" s="107" t="s">
        <v>321</v>
      </c>
      <c r="L93" s="89">
        <v>8361.543819238614</v>
      </c>
      <c r="M93" s="90">
        <v>2330.398193359375</v>
      </c>
      <c r="N93" s="90">
        <v>7157.2802734375</v>
      </c>
      <c r="O93" s="78"/>
      <c r="P93" s="91"/>
      <c r="Q93" s="91"/>
      <c r="R93" s="92"/>
      <c r="S93" s="51">
        <v>1</v>
      </c>
      <c r="T93" s="51">
        <v>0</v>
      </c>
      <c r="U93" s="52">
        <v>0</v>
      </c>
      <c r="V93" s="52">
        <v>0.005525</v>
      </c>
      <c r="W93" s="52">
        <v>0.01087</v>
      </c>
      <c r="X93" s="52">
        <v>0.545586</v>
      </c>
      <c r="Y93" s="52">
        <v>0</v>
      </c>
      <c r="Z93" s="52">
        <v>0</v>
      </c>
      <c r="AA93" s="83">
        <v>93</v>
      </c>
      <c r="AB93" s="83"/>
      <c r="AC93" s="93"/>
      <c r="AD93" s="86" t="s">
        <v>321</v>
      </c>
      <c r="AE93" s="86" t="s">
        <v>411</v>
      </c>
      <c r="AF93" s="86"/>
      <c r="AG93" s="86" t="s">
        <v>557</v>
      </c>
      <c r="AH93" s="86" t="s">
        <v>612</v>
      </c>
      <c r="AI93" s="86">
        <v>418134</v>
      </c>
      <c r="AJ93" s="86">
        <v>959</v>
      </c>
      <c r="AK93" s="86">
        <v>13362</v>
      </c>
      <c r="AL93" s="86">
        <v>375</v>
      </c>
      <c r="AM93" s="86" t="s">
        <v>699</v>
      </c>
      <c r="AN93" s="111" t="str">
        <f>HYPERLINK("https://www.youtube.com/watch?v=Dh5n9EbTsQg")</f>
        <v>https://www.youtube.com/watch?v=Dh5n9EbTsQg</v>
      </c>
      <c r="AO93" s="86" t="str">
        <f>REPLACE(INDEX(GroupVertices[Group],MATCH(Vertices[[#This Row],[Vertex]],GroupVertices[Vertex],0)),1,1,"")</f>
        <v>1</v>
      </c>
      <c r="AP93" s="51"/>
      <c r="AQ93" s="52"/>
      <c r="AR93" s="51"/>
      <c r="AS93" s="52"/>
      <c r="AT93" s="51"/>
      <c r="AU93" s="52"/>
      <c r="AV93" s="51"/>
      <c r="AW93" s="52"/>
      <c r="AX93" s="51"/>
      <c r="AY93" s="51"/>
      <c r="AZ93" s="51"/>
      <c r="BA93" s="51"/>
      <c r="BB93" s="51"/>
      <c r="BC93" s="2"/>
      <c r="BD93" s="3"/>
      <c r="BE93" s="3"/>
      <c r="BF93" s="3"/>
      <c r="BG93" s="3"/>
    </row>
    <row r="94" spans="1:59" ht="15">
      <c r="A94" s="14" t="s">
        <v>214</v>
      </c>
      <c r="B94" s="95"/>
      <c r="C94" s="95"/>
      <c r="D94" s="96">
        <v>407.06514122307607</v>
      </c>
      <c r="E94" s="97"/>
      <c r="F94" s="110" t="str">
        <f>HYPERLINK("https://i.ytimg.com/vi/grEaluG1a0A/default.jpg")</f>
        <v>https://i.ytimg.com/vi/grEaluG1a0A/default.jpg</v>
      </c>
      <c r="G94" s="95"/>
      <c r="H94" s="98" t="s">
        <v>318</v>
      </c>
      <c r="I94" s="99"/>
      <c r="J94" s="99"/>
      <c r="K94" s="108" t="s">
        <v>318</v>
      </c>
      <c r="L94" s="100">
        <v>8818.543316557712</v>
      </c>
      <c r="M94" s="101">
        <v>4999.5</v>
      </c>
      <c r="N94" s="101">
        <v>7157.2802734375</v>
      </c>
      <c r="O94" s="102"/>
      <c r="P94" s="103"/>
      <c r="Q94" s="103"/>
      <c r="R94" s="104"/>
      <c r="S94" s="51">
        <v>1</v>
      </c>
      <c r="T94" s="51">
        <v>0</v>
      </c>
      <c r="U94" s="52">
        <v>0</v>
      </c>
      <c r="V94" s="52">
        <v>0.005525</v>
      </c>
      <c r="W94" s="52">
        <v>0.01087</v>
      </c>
      <c r="X94" s="52">
        <v>0.545586</v>
      </c>
      <c r="Y94" s="52">
        <v>0</v>
      </c>
      <c r="Z94" s="52">
        <v>0</v>
      </c>
      <c r="AA94" s="105">
        <v>94</v>
      </c>
      <c r="AB94" s="105"/>
      <c r="AC94" s="93"/>
      <c r="AD94" s="86" t="s">
        <v>318</v>
      </c>
      <c r="AE94" s="86" t="s">
        <v>408</v>
      </c>
      <c r="AF94" s="86"/>
      <c r="AG94" s="86" t="s">
        <v>554</v>
      </c>
      <c r="AH94" s="86" t="s">
        <v>609</v>
      </c>
      <c r="AI94" s="86">
        <v>301470</v>
      </c>
      <c r="AJ94" s="86">
        <v>1263</v>
      </c>
      <c r="AK94" s="86">
        <v>10820</v>
      </c>
      <c r="AL94" s="86">
        <v>149</v>
      </c>
      <c r="AM94" s="86" t="s">
        <v>699</v>
      </c>
      <c r="AN94" s="111" t="str">
        <f>HYPERLINK("https://www.youtube.com/watch?v=grEaluG1a0A")</f>
        <v>https://www.youtube.com/watch?v=grEaluG1a0A</v>
      </c>
      <c r="AO94" s="86" t="str">
        <f>REPLACE(INDEX(GroupVertices[Group],MATCH(Vertices[[#This Row],[Vertex]],GroupVertices[Vertex],0)),1,1,"")</f>
        <v>1</v>
      </c>
      <c r="AP94" s="51"/>
      <c r="AQ94" s="52"/>
      <c r="AR94" s="51"/>
      <c r="AS94" s="52"/>
      <c r="AT94" s="51"/>
      <c r="AU94" s="52"/>
      <c r="AV94" s="51"/>
      <c r="AW94" s="52"/>
      <c r="AX94" s="51"/>
      <c r="AY94" s="51"/>
      <c r="AZ94" s="51"/>
      <c r="BA94" s="51"/>
      <c r="BB94" s="51"/>
      <c r="BC94" s="2"/>
      <c r="BD94" s="3"/>
      <c r="BE94" s="3"/>
      <c r="BF94" s="3"/>
      <c r="BG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4.00390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995</v>
      </c>
      <c r="Z2" s="68" t="s">
        <v>996</v>
      </c>
      <c r="AA2" s="68" t="s">
        <v>997</v>
      </c>
      <c r="AB2" s="68" t="s">
        <v>998</v>
      </c>
      <c r="AC2" s="68" t="s">
        <v>999</v>
      </c>
      <c r="AD2" s="68" t="s">
        <v>1000</v>
      </c>
      <c r="AE2" s="68" t="s">
        <v>1001</v>
      </c>
      <c r="AF2" s="68" t="s">
        <v>1002</v>
      </c>
      <c r="AG2" s="68" t="s">
        <v>1005</v>
      </c>
      <c r="AH2" s="13" t="s">
        <v>1043</v>
      </c>
      <c r="AI2" s="13" t="s">
        <v>1058</v>
      </c>
    </row>
    <row r="3" spans="1:35" ht="15">
      <c r="A3" s="85" t="s">
        <v>701</v>
      </c>
      <c r="B3" s="125" t="s">
        <v>702</v>
      </c>
      <c r="C3" s="125" t="s">
        <v>56</v>
      </c>
      <c r="D3" s="15"/>
      <c r="E3" s="15"/>
      <c r="F3" s="16" t="s">
        <v>1066</v>
      </c>
      <c r="G3" s="78"/>
      <c r="H3" s="78"/>
      <c r="I3" s="64">
        <v>3</v>
      </c>
      <c r="J3" s="64"/>
      <c r="K3" s="51">
        <v>92</v>
      </c>
      <c r="L3" s="51">
        <v>91</v>
      </c>
      <c r="M3" s="51">
        <v>0</v>
      </c>
      <c r="N3" s="51">
        <v>91</v>
      </c>
      <c r="O3" s="51">
        <v>0</v>
      </c>
      <c r="P3" s="52">
        <v>0</v>
      </c>
      <c r="Q3" s="52">
        <v>0</v>
      </c>
      <c r="R3" s="51">
        <v>1</v>
      </c>
      <c r="S3" s="51">
        <v>0</v>
      </c>
      <c r="T3" s="51">
        <v>92</v>
      </c>
      <c r="U3" s="51">
        <v>91</v>
      </c>
      <c r="V3" s="51">
        <v>2</v>
      </c>
      <c r="W3" s="52">
        <v>1.956758</v>
      </c>
      <c r="X3" s="52">
        <v>0.010869565217391304</v>
      </c>
      <c r="Y3" s="51">
        <v>40</v>
      </c>
      <c r="Z3" s="52">
        <v>1.4716703458425313</v>
      </c>
      <c r="AA3" s="51">
        <v>70</v>
      </c>
      <c r="AB3" s="52">
        <v>2.57542310522443</v>
      </c>
      <c r="AC3" s="51">
        <v>0</v>
      </c>
      <c r="AD3" s="52">
        <v>0</v>
      </c>
      <c r="AE3" s="51">
        <v>2608</v>
      </c>
      <c r="AF3" s="52">
        <v>95.95290654893304</v>
      </c>
      <c r="AG3" s="51">
        <v>2718</v>
      </c>
      <c r="AH3" s="126" t="s">
        <v>1044</v>
      </c>
      <c r="AI3" s="126" t="s">
        <v>1059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701</v>
      </c>
      <c r="B2" s="126" t="s">
        <v>212</v>
      </c>
      <c r="C2" s="86">
        <f>VLOOKUP(GroupVertices[[#This Row],[Vertex]],Vertices[],MATCH("ID",Vertices[[#Headers],[Vertex]:[Top Word Pairs in Tags by Salience]],0),FALSE)</f>
        <v>44</v>
      </c>
    </row>
    <row r="3" spans="1:3" ht="15">
      <c r="A3" s="86" t="s">
        <v>701</v>
      </c>
      <c r="B3" s="126" t="s">
        <v>302</v>
      </c>
      <c r="C3" s="86">
        <f>VLOOKUP(GroupVertices[[#This Row],[Vertex]],Vertices[],MATCH("ID",Vertices[[#Headers],[Vertex]:[Top Word Pairs in Tags by Salience]],0),FALSE)</f>
        <v>74</v>
      </c>
    </row>
    <row r="4" spans="1:3" ht="15">
      <c r="A4" s="86" t="s">
        <v>701</v>
      </c>
      <c r="B4" s="126" t="s">
        <v>301</v>
      </c>
      <c r="C4" s="86">
        <f>VLOOKUP(GroupVertices[[#This Row],[Vertex]],Vertices[],MATCH("ID",Vertices[[#Headers],[Vertex]:[Top Word Pairs in Tags by Salience]],0),FALSE)</f>
        <v>30</v>
      </c>
    </row>
    <row r="5" spans="1:3" ht="15">
      <c r="A5" s="86" t="s">
        <v>701</v>
      </c>
      <c r="B5" s="126" t="s">
        <v>300</v>
      </c>
      <c r="C5" s="86">
        <f>VLOOKUP(GroupVertices[[#This Row],[Vertex]],Vertices[],MATCH("ID",Vertices[[#Headers],[Vertex]:[Top Word Pairs in Tags by Salience]],0),FALSE)</f>
        <v>32</v>
      </c>
    </row>
    <row r="6" spans="1:3" ht="15">
      <c r="A6" s="86" t="s">
        <v>701</v>
      </c>
      <c r="B6" s="126" t="s">
        <v>299</v>
      </c>
      <c r="C6" s="86">
        <f>VLOOKUP(GroupVertices[[#This Row],[Vertex]],Vertices[],MATCH("ID",Vertices[[#Headers],[Vertex]:[Top Word Pairs in Tags by Salience]],0),FALSE)</f>
        <v>79</v>
      </c>
    </row>
    <row r="7" spans="1:3" ht="15">
      <c r="A7" s="86" t="s">
        <v>701</v>
      </c>
      <c r="B7" s="126" t="s">
        <v>298</v>
      </c>
      <c r="C7" s="86">
        <f>VLOOKUP(GroupVertices[[#This Row],[Vertex]],Vertices[],MATCH("ID",Vertices[[#Headers],[Vertex]:[Top Word Pairs in Tags by Salience]],0),FALSE)</f>
        <v>52</v>
      </c>
    </row>
    <row r="8" spans="1:3" ht="15">
      <c r="A8" s="86" t="s">
        <v>701</v>
      </c>
      <c r="B8" s="126" t="s">
        <v>297</v>
      </c>
      <c r="C8" s="86">
        <f>VLOOKUP(GroupVertices[[#This Row],[Vertex]],Vertices[],MATCH("ID",Vertices[[#Headers],[Vertex]:[Top Word Pairs in Tags by Salience]],0),FALSE)</f>
        <v>58</v>
      </c>
    </row>
    <row r="9" spans="1:3" ht="15">
      <c r="A9" s="86" t="s">
        <v>701</v>
      </c>
      <c r="B9" s="126" t="s">
        <v>296</v>
      </c>
      <c r="C9" s="86">
        <f>VLOOKUP(GroupVertices[[#This Row],[Vertex]],Vertices[],MATCH("ID",Vertices[[#Headers],[Vertex]:[Top Word Pairs in Tags by Salience]],0),FALSE)</f>
        <v>14</v>
      </c>
    </row>
    <row r="10" spans="1:3" ht="15">
      <c r="A10" s="86" t="s">
        <v>701</v>
      </c>
      <c r="B10" s="126" t="s">
        <v>295</v>
      </c>
      <c r="C10" s="86">
        <f>VLOOKUP(GroupVertices[[#This Row],[Vertex]],Vertices[],MATCH("ID",Vertices[[#Headers],[Vertex]:[Top Word Pairs in Tags by Salience]],0),FALSE)</f>
        <v>19</v>
      </c>
    </row>
    <row r="11" spans="1:3" ht="15">
      <c r="A11" s="86" t="s">
        <v>701</v>
      </c>
      <c r="B11" s="126" t="s">
        <v>294</v>
      </c>
      <c r="C11" s="86">
        <f>VLOOKUP(GroupVertices[[#This Row],[Vertex]],Vertices[],MATCH("ID",Vertices[[#Headers],[Vertex]:[Top Word Pairs in Tags by Salience]],0),FALSE)</f>
        <v>23</v>
      </c>
    </row>
    <row r="12" spans="1:3" ht="15">
      <c r="A12" s="86" t="s">
        <v>701</v>
      </c>
      <c r="B12" s="126" t="s">
        <v>293</v>
      </c>
      <c r="C12" s="86">
        <f>VLOOKUP(GroupVertices[[#This Row],[Vertex]],Vertices[],MATCH("ID",Vertices[[#Headers],[Vertex]:[Top Word Pairs in Tags by Salience]],0),FALSE)</f>
        <v>60</v>
      </c>
    </row>
    <row r="13" spans="1:3" ht="15">
      <c r="A13" s="86" t="s">
        <v>701</v>
      </c>
      <c r="B13" s="126" t="s">
        <v>292</v>
      </c>
      <c r="C13" s="86">
        <f>VLOOKUP(GroupVertices[[#This Row],[Vertex]],Vertices[],MATCH("ID",Vertices[[#Headers],[Vertex]:[Top Word Pairs in Tags by Salience]],0),FALSE)</f>
        <v>57</v>
      </c>
    </row>
    <row r="14" spans="1:3" ht="15">
      <c r="A14" s="86" t="s">
        <v>701</v>
      </c>
      <c r="B14" s="126" t="s">
        <v>291</v>
      </c>
      <c r="C14" s="86">
        <f>VLOOKUP(GroupVertices[[#This Row],[Vertex]],Vertices[],MATCH("ID",Vertices[[#Headers],[Vertex]:[Top Word Pairs in Tags by Salience]],0),FALSE)</f>
        <v>62</v>
      </c>
    </row>
    <row r="15" spans="1:3" ht="15">
      <c r="A15" s="86" t="s">
        <v>701</v>
      </c>
      <c r="B15" s="126" t="s">
        <v>290</v>
      </c>
      <c r="C15" s="86">
        <f>VLOOKUP(GroupVertices[[#This Row],[Vertex]],Vertices[],MATCH("ID",Vertices[[#Headers],[Vertex]:[Top Word Pairs in Tags by Salience]],0),FALSE)</f>
        <v>92</v>
      </c>
    </row>
    <row r="16" spans="1:3" ht="15">
      <c r="A16" s="86" t="s">
        <v>701</v>
      </c>
      <c r="B16" s="126" t="s">
        <v>289</v>
      </c>
      <c r="C16" s="86">
        <f>VLOOKUP(GroupVertices[[#This Row],[Vertex]],Vertices[],MATCH("ID",Vertices[[#Headers],[Vertex]:[Top Word Pairs in Tags by Salience]],0),FALSE)</f>
        <v>18</v>
      </c>
    </row>
    <row r="17" spans="1:3" ht="15">
      <c r="A17" s="86" t="s">
        <v>701</v>
      </c>
      <c r="B17" s="126" t="s">
        <v>288</v>
      </c>
      <c r="C17" s="86">
        <f>VLOOKUP(GroupVertices[[#This Row],[Vertex]],Vertices[],MATCH("ID",Vertices[[#Headers],[Vertex]:[Top Word Pairs in Tags by Salience]],0),FALSE)</f>
        <v>26</v>
      </c>
    </row>
    <row r="18" spans="1:3" ht="15">
      <c r="A18" s="86" t="s">
        <v>701</v>
      </c>
      <c r="B18" s="126" t="s">
        <v>287</v>
      </c>
      <c r="C18" s="86">
        <f>VLOOKUP(GroupVertices[[#This Row],[Vertex]],Vertices[],MATCH("ID",Vertices[[#Headers],[Vertex]:[Top Word Pairs in Tags by Salience]],0),FALSE)</f>
        <v>35</v>
      </c>
    </row>
    <row r="19" spans="1:3" ht="15">
      <c r="A19" s="86" t="s">
        <v>701</v>
      </c>
      <c r="B19" s="126" t="s">
        <v>286</v>
      </c>
      <c r="C19" s="86">
        <f>VLOOKUP(GroupVertices[[#This Row],[Vertex]],Vertices[],MATCH("ID",Vertices[[#Headers],[Vertex]:[Top Word Pairs in Tags by Salience]],0),FALSE)</f>
        <v>31</v>
      </c>
    </row>
    <row r="20" spans="1:3" ht="15">
      <c r="A20" s="86" t="s">
        <v>701</v>
      </c>
      <c r="B20" s="126" t="s">
        <v>285</v>
      </c>
      <c r="C20" s="86">
        <f>VLOOKUP(GroupVertices[[#This Row],[Vertex]],Vertices[],MATCH("ID",Vertices[[#Headers],[Vertex]:[Top Word Pairs in Tags by Salience]],0),FALSE)</f>
        <v>33</v>
      </c>
    </row>
    <row r="21" spans="1:3" ht="15">
      <c r="A21" s="86" t="s">
        <v>701</v>
      </c>
      <c r="B21" s="126" t="s">
        <v>284</v>
      </c>
      <c r="C21" s="86">
        <f>VLOOKUP(GroupVertices[[#This Row],[Vertex]],Vertices[],MATCH("ID",Vertices[[#Headers],[Vertex]:[Top Word Pairs in Tags by Salience]],0),FALSE)</f>
        <v>82</v>
      </c>
    </row>
    <row r="22" spans="1:3" ht="15">
      <c r="A22" s="86" t="s">
        <v>701</v>
      </c>
      <c r="B22" s="126" t="s">
        <v>283</v>
      </c>
      <c r="C22" s="86">
        <f>VLOOKUP(GroupVertices[[#This Row],[Vertex]],Vertices[],MATCH("ID",Vertices[[#Headers],[Vertex]:[Top Word Pairs in Tags by Salience]],0),FALSE)</f>
        <v>89</v>
      </c>
    </row>
    <row r="23" spans="1:3" ht="15">
      <c r="A23" s="86" t="s">
        <v>701</v>
      </c>
      <c r="B23" s="126" t="s">
        <v>282</v>
      </c>
      <c r="C23" s="86">
        <f>VLOOKUP(GroupVertices[[#This Row],[Vertex]],Vertices[],MATCH("ID",Vertices[[#Headers],[Vertex]:[Top Word Pairs in Tags by Salience]],0),FALSE)</f>
        <v>90</v>
      </c>
    </row>
    <row r="24" spans="1:3" ht="15">
      <c r="A24" s="86" t="s">
        <v>701</v>
      </c>
      <c r="B24" s="126" t="s">
        <v>281</v>
      </c>
      <c r="C24" s="86">
        <f>VLOOKUP(GroupVertices[[#This Row],[Vertex]],Vertices[],MATCH("ID",Vertices[[#Headers],[Vertex]:[Top Word Pairs in Tags by Salience]],0),FALSE)</f>
        <v>25</v>
      </c>
    </row>
    <row r="25" spans="1:3" ht="15">
      <c r="A25" s="86" t="s">
        <v>701</v>
      </c>
      <c r="B25" s="126" t="s">
        <v>280</v>
      </c>
      <c r="C25" s="86">
        <f>VLOOKUP(GroupVertices[[#This Row],[Vertex]],Vertices[],MATCH("ID",Vertices[[#Headers],[Vertex]:[Top Word Pairs in Tags by Salience]],0),FALSE)</f>
        <v>17</v>
      </c>
    </row>
    <row r="26" spans="1:3" ht="15">
      <c r="A26" s="86" t="s">
        <v>701</v>
      </c>
      <c r="B26" s="126" t="s">
        <v>279</v>
      </c>
      <c r="C26" s="86">
        <f>VLOOKUP(GroupVertices[[#This Row],[Vertex]],Vertices[],MATCH("ID",Vertices[[#Headers],[Vertex]:[Top Word Pairs in Tags by Salience]],0),FALSE)</f>
        <v>3</v>
      </c>
    </row>
    <row r="27" spans="1:3" ht="15">
      <c r="A27" s="86" t="s">
        <v>701</v>
      </c>
      <c r="B27" s="126" t="s">
        <v>278</v>
      </c>
      <c r="C27" s="86">
        <f>VLOOKUP(GroupVertices[[#This Row],[Vertex]],Vertices[],MATCH("ID",Vertices[[#Headers],[Vertex]:[Top Word Pairs in Tags by Salience]],0),FALSE)</f>
        <v>28</v>
      </c>
    </row>
    <row r="28" spans="1:3" ht="15">
      <c r="A28" s="86" t="s">
        <v>701</v>
      </c>
      <c r="B28" s="126" t="s">
        <v>277</v>
      </c>
      <c r="C28" s="86">
        <f>VLOOKUP(GroupVertices[[#This Row],[Vertex]],Vertices[],MATCH("ID",Vertices[[#Headers],[Vertex]:[Top Word Pairs in Tags by Salience]],0),FALSE)</f>
        <v>53</v>
      </c>
    </row>
    <row r="29" spans="1:3" ht="15">
      <c r="A29" s="86" t="s">
        <v>701</v>
      </c>
      <c r="B29" s="126" t="s">
        <v>276</v>
      </c>
      <c r="C29" s="86">
        <f>VLOOKUP(GroupVertices[[#This Row],[Vertex]],Vertices[],MATCH("ID",Vertices[[#Headers],[Vertex]:[Top Word Pairs in Tags by Salience]],0),FALSE)</f>
        <v>91</v>
      </c>
    </row>
    <row r="30" spans="1:3" ht="15">
      <c r="A30" s="86" t="s">
        <v>701</v>
      </c>
      <c r="B30" s="126" t="s">
        <v>275</v>
      </c>
      <c r="C30" s="86">
        <f>VLOOKUP(GroupVertices[[#This Row],[Vertex]],Vertices[],MATCH("ID",Vertices[[#Headers],[Vertex]:[Top Word Pairs in Tags by Salience]],0),FALSE)</f>
        <v>54</v>
      </c>
    </row>
    <row r="31" spans="1:3" ht="15">
      <c r="A31" s="86" t="s">
        <v>701</v>
      </c>
      <c r="B31" s="126" t="s">
        <v>274</v>
      </c>
      <c r="C31" s="86">
        <f>VLOOKUP(GroupVertices[[#This Row],[Vertex]],Vertices[],MATCH("ID",Vertices[[#Headers],[Vertex]:[Top Word Pairs in Tags by Salience]],0),FALSE)</f>
        <v>12</v>
      </c>
    </row>
    <row r="32" spans="1:3" ht="15">
      <c r="A32" s="86" t="s">
        <v>701</v>
      </c>
      <c r="B32" s="126" t="s">
        <v>273</v>
      </c>
      <c r="C32" s="86">
        <f>VLOOKUP(GroupVertices[[#This Row],[Vertex]],Vertices[],MATCH("ID",Vertices[[#Headers],[Vertex]:[Top Word Pairs in Tags by Salience]],0),FALSE)</f>
        <v>61</v>
      </c>
    </row>
    <row r="33" spans="1:3" ht="15">
      <c r="A33" s="86" t="s">
        <v>701</v>
      </c>
      <c r="B33" s="126" t="s">
        <v>272</v>
      </c>
      <c r="C33" s="86">
        <f>VLOOKUP(GroupVertices[[#This Row],[Vertex]],Vertices[],MATCH("ID",Vertices[[#Headers],[Vertex]:[Top Word Pairs in Tags by Salience]],0),FALSE)</f>
        <v>21</v>
      </c>
    </row>
    <row r="34" spans="1:3" ht="15">
      <c r="A34" s="86" t="s">
        <v>701</v>
      </c>
      <c r="B34" s="126" t="s">
        <v>271</v>
      </c>
      <c r="C34" s="86">
        <f>VLOOKUP(GroupVertices[[#This Row],[Vertex]],Vertices[],MATCH("ID",Vertices[[#Headers],[Vertex]:[Top Word Pairs in Tags by Salience]],0),FALSE)</f>
        <v>80</v>
      </c>
    </row>
    <row r="35" spans="1:3" ht="15">
      <c r="A35" s="86" t="s">
        <v>701</v>
      </c>
      <c r="B35" s="126" t="s">
        <v>270</v>
      </c>
      <c r="C35" s="86">
        <f>VLOOKUP(GroupVertices[[#This Row],[Vertex]],Vertices[],MATCH("ID",Vertices[[#Headers],[Vertex]:[Top Word Pairs in Tags by Salience]],0),FALSE)</f>
        <v>34</v>
      </c>
    </row>
    <row r="36" spans="1:3" ht="15">
      <c r="A36" s="86" t="s">
        <v>701</v>
      </c>
      <c r="B36" s="126" t="s">
        <v>269</v>
      </c>
      <c r="C36" s="86">
        <f>VLOOKUP(GroupVertices[[#This Row],[Vertex]],Vertices[],MATCH("ID",Vertices[[#Headers],[Vertex]:[Top Word Pairs in Tags by Salience]],0),FALSE)</f>
        <v>55</v>
      </c>
    </row>
    <row r="37" spans="1:3" ht="15">
      <c r="A37" s="86" t="s">
        <v>701</v>
      </c>
      <c r="B37" s="126" t="s">
        <v>268</v>
      </c>
      <c r="C37" s="86">
        <f>VLOOKUP(GroupVertices[[#This Row],[Vertex]],Vertices[],MATCH("ID",Vertices[[#Headers],[Vertex]:[Top Word Pairs in Tags by Salience]],0),FALSE)</f>
        <v>56</v>
      </c>
    </row>
    <row r="38" spans="1:3" ht="15">
      <c r="A38" s="86" t="s">
        <v>701</v>
      </c>
      <c r="B38" s="126" t="s">
        <v>267</v>
      </c>
      <c r="C38" s="86">
        <f>VLOOKUP(GroupVertices[[#This Row],[Vertex]],Vertices[],MATCH("ID",Vertices[[#Headers],[Vertex]:[Top Word Pairs in Tags by Salience]],0),FALSE)</f>
        <v>16</v>
      </c>
    </row>
    <row r="39" spans="1:3" ht="15">
      <c r="A39" s="86" t="s">
        <v>701</v>
      </c>
      <c r="B39" s="126" t="s">
        <v>266</v>
      </c>
      <c r="C39" s="86">
        <f>VLOOKUP(GroupVertices[[#This Row],[Vertex]],Vertices[],MATCH("ID",Vertices[[#Headers],[Vertex]:[Top Word Pairs in Tags by Salience]],0),FALSE)</f>
        <v>15</v>
      </c>
    </row>
    <row r="40" spans="1:3" ht="15">
      <c r="A40" s="86" t="s">
        <v>701</v>
      </c>
      <c r="B40" s="126" t="s">
        <v>265</v>
      </c>
      <c r="C40" s="86">
        <f>VLOOKUP(GroupVertices[[#This Row],[Vertex]],Vertices[],MATCH("ID",Vertices[[#Headers],[Vertex]:[Top Word Pairs in Tags by Salience]],0),FALSE)</f>
        <v>13</v>
      </c>
    </row>
    <row r="41" spans="1:3" ht="15">
      <c r="A41" s="86" t="s">
        <v>701</v>
      </c>
      <c r="B41" s="126" t="s">
        <v>264</v>
      </c>
      <c r="C41" s="86">
        <f>VLOOKUP(GroupVertices[[#This Row],[Vertex]],Vertices[],MATCH("ID",Vertices[[#Headers],[Vertex]:[Top Word Pairs in Tags by Salience]],0),FALSE)</f>
        <v>75</v>
      </c>
    </row>
    <row r="42" spans="1:3" ht="15">
      <c r="A42" s="86" t="s">
        <v>701</v>
      </c>
      <c r="B42" s="126" t="s">
        <v>263</v>
      </c>
      <c r="C42" s="86">
        <f>VLOOKUP(GroupVertices[[#This Row],[Vertex]],Vertices[],MATCH("ID",Vertices[[#Headers],[Vertex]:[Top Word Pairs in Tags by Salience]],0),FALSE)</f>
        <v>63</v>
      </c>
    </row>
    <row r="43" spans="1:3" ht="15">
      <c r="A43" s="86" t="s">
        <v>701</v>
      </c>
      <c r="B43" s="126" t="s">
        <v>262</v>
      </c>
      <c r="C43" s="86">
        <f>VLOOKUP(GroupVertices[[#This Row],[Vertex]],Vertices[],MATCH("ID",Vertices[[#Headers],[Vertex]:[Top Word Pairs in Tags by Salience]],0),FALSE)</f>
        <v>9</v>
      </c>
    </row>
    <row r="44" spans="1:3" ht="15">
      <c r="A44" s="86" t="s">
        <v>701</v>
      </c>
      <c r="B44" s="126" t="s">
        <v>261</v>
      </c>
      <c r="C44" s="86">
        <f>VLOOKUP(GroupVertices[[#This Row],[Vertex]],Vertices[],MATCH("ID",Vertices[[#Headers],[Vertex]:[Top Word Pairs in Tags by Salience]],0),FALSE)</f>
        <v>69</v>
      </c>
    </row>
    <row r="45" spans="1:3" ht="15">
      <c r="A45" s="86" t="s">
        <v>701</v>
      </c>
      <c r="B45" s="126" t="s">
        <v>260</v>
      </c>
      <c r="C45" s="86">
        <f>VLOOKUP(GroupVertices[[#This Row],[Vertex]],Vertices[],MATCH("ID",Vertices[[#Headers],[Vertex]:[Top Word Pairs in Tags by Salience]],0),FALSE)</f>
        <v>51</v>
      </c>
    </row>
    <row r="46" spans="1:3" ht="15">
      <c r="A46" s="86" t="s">
        <v>701</v>
      </c>
      <c r="B46" s="126" t="s">
        <v>259</v>
      </c>
      <c r="C46" s="86">
        <f>VLOOKUP(GroupVertices[[#This Row],[Vertex]],Vertices[],MATCH("ID",Vertices[[#Headers],[Vertex]:[Top Word Pairs in Tags by Salience]],0),FALSE)</f>
        <v>10</v>
      </c>
    </row>
    <row r="47" spans="1:3" ht="15">
      <c r="A47" s="86" t="s">
        <v>701</v>
      </c>
      <c r="B47" s="126" t="s">
        <v>258</v>
      </c>
      <c r="C47" s="86">
        <f>VLOOKUP(GroupVertices[[#This Row],[Vertex]],Vertices[],MATCH("ID",Vertices[[#Headers],[Vertex]:[Top Word Pairs in Tags by Salience]],0),FALSE)</f>
        <v>84</v>
      </c>
    </row>
    <row r="48" spans="1:3" ht="15">
      <c r="A48" s="86" t="s">
        <v>701</v>
      </c>
      <c r="B48" s="126" t="s">
        <v>257</v>
      </c>
      <c r="C48" s="86">
        <f>VLOOKUP(GroupVertices[[#This Row],[Vertex]],Vertices[],MATCH("ID",Vertices[[#Headers],[Vertex]:[Top Word Pairs in Tags by Salience]],0),FALSE)</f>
        <v>77</v>
      </c>
    </row>
    <row r="49" spans="1:3" ht="15">
      <c r="A49" s="86" t="s">
        <v>701</v>
      </c>
      <c r="B49" s="126" t="s">
        <v>256</v>
      </c>
      <c r="C49" s="86">
        <f>VLOOKUP(GroupVertices[[#This Row],[Vertex]],Vertices[],MATCH("ID",Vertices[[#Headers],[Vertex]:[Top Word Pairs in Tags by Salience]],0),FALSE)</f>
        <v>38</v>
      </c>
    </row>
    <row r="50" spans="1:3" ht="15">
      <c r="A50" s="86" t="s">
        <v>701</v>
      </c>
      <c r="B50" s="126" t="s">
        <v>255</v>
      </c>
      <c r="C50" s="86">
        <f>VLOOKUP(GroupVertices[[#This Row],[Vertex]],Vertices[],MATCH("ID",Vertices[[#Headers],[Vertex]:[Top Word Pairs in Tags by Salience]],0),FALSE)</f>
        <v>22</v>
      </c>
    </row>
    <row r="51" spans="1:3" ht="15">
      <c r="A51" s="86" t="s">
        <v>701</v>
      </c>
      <c r="B51" s="126" t="s">
        <v>254</v>
      </c>
      <c r="C51" s="86">
        <f>VLOOKUP(GroupVertices[[#This Row],[Vertex]],Vertices[],MATCH("ID",Vertices[[#Headers],[Vertex]:[Top Word Pairs in Tags by Salience]],0),FALSE)</f>
        <v>78</v>
      </c>
    </row>
    <row r="52" spans="1:3" ht="15">
      <c r="A52" s="86" t="s">
        <v>701</v>
      </c>
      <c r="B52" s="126" t="s">
        <v>253</v>
      </c>
      <c r="C52" s="86">
        <f>VLOOKUP(GroupVertices[[#This Row],[Vertex]],Vertices[],MATCH("ID",Vertices[[#Headers],[Vertex]:[Top Word Pairs in Tags by Salience]],0),FALSE)</f>
        <v>20</v>
      </c>
    </row>
    <row r="53" spans="1:3" ht="15">
      <c r="A53" s="86" t="s">
        <v>701</v>
      </c>
      <c r="B53" s="126" t="s">
        <v>252</v>
      </c>
      <c r="C53" s="86">
        <f>VLOOKUP(GroupVertices[[#This Row],[Vertex]],Vertices[],MATCH("ID",Vertices[[#Headers],[Vertex]:[Top Word Pairs in Tags by Salience]],0),FALSE)</f>
        <v>88</v>
      </c>
    </row>
    <row r="54" spans="1:3" ht="15">
      <c r="A54" s="86" t="s">
        <v>701</v>
      </c>
      <c r="B54" s="126" t="s">
        <v>251</v>
      </c>
      <c r="C54" s="86">
        <f>VLOOKUP(GroupVertices[[#This Row],[Vertex]],Vertices[],MATCH("ID",Vertices[[#Headers],[Vertex]:[Top Word Pairs in Tags by Salience]],0),FALSE)</f>
        <v>76</v>
      </c>
    </row>
    <row r="55" spans="1:3" ht="15">
      <c r="A55" s="86" t="s">
        <v>701</v>
      </c>
      <c r="B55" s="126" t="s">
        <v>250</v>
      </c>
      <c r="C55" s="86">
        <f>VLOOKUP(GroupVertices[[#This Row],[Vertex]],Vertices[],MATCH("ID",Vertices[[#Headers],[Vertex]:[Top Word Pairs in Tags by Salience]],0),FALSE)</f>
        <v>50</v>
      </c>
    </row>
    <row r="56" spans="1:3" ht="15">
      <c r="A56" s="86" t="s">
        <v>701</v>
      </c>
      <c r="B56" s="126" t="s">
        <v>249</v>
      </c>
      <c r="C56" s="86">
        <f>VLOOKUP(GroupVertices[[#This Row],[Vertex]],Vertices[],MATCH("ID",Vertices[[#Headers],[Vertex]:[Top Word Pairs in Tags by Salience]],0),FALSE)</f>
        <v>27</v>
      </c>
    </row>
    <row r="57" spans="1:3" ht="15">
      <c r="A57" s="86" t="s">
        <v>701</v>
      </c>
      <c r="B57" s="126" t="s">
        <v>248</v>
      </c>
      <c r="C57" s="86">
        <f>VLOOKUP(GroupVertices[[#This Row],[Vertex]],Vertices[],MATCH("ID",Vertices[[#Headers],[Vertex]:[Top Word Pairs in Tags by Salience]],0),FALSE)</f>
        <v>5</v>
      </c>
    </row>
    <row r="58" spans="1:3" ht="15">
      <c r="A58" s="86" t="s">
        <v>701</v>
      </c>
      <c r="B58" s="126" t="s">
        <v>247</v>
      </c>
      <c r="C58" s="86">
        <f>VLOOKUP(GroupVertices[[#This Row],[Vertex]],Vertices[],MATCH("ID",Vertices[[#Headers],[Vertex]:[Top Word Pairs in Tags by Salience]],0),FALSE)</f>
        <v>85</v>
      </c>
    </row>
    <row r="59" spans="1:3" ht="15">
      <c r="A59" s="86" t="s">
        <v>701</v>
      </c>
      <c r="B59" s="126" t="s">
        <v>246</v>
      </c>
      <c r="C59" s="86">
        <f>VLOOKUP(GroupVertices[[#This Row],[Vertex]],Vertices[],MATCH("ID",Vertices[[#Headers],[Vertex]:[Top Word Pairs in Tags by Salience]],0),FALSE)</f>
        <v>59</v>
      </c>
    </row>
    <row r="60" spans="1:3" ht="15">
      <c r="A60" s="86" t="s">
        <v>701</v>
      </c>
      <c r="B60" s="126" t="s">
        <v>245</v>
      </c>
      <c r="C60" s="86">
        <f>VLOOKUP(GroupVertices[[#This Row],[Vertex]],Vertices[],MATCH("ID",Vertices[[#Headers],[Vertex]:[Top Word Pairs in Tags by Salience]],0),FALSE)</f>
        <v>49</v>
      </c>
    </row>
    <row r="61" spans="1:3" ht="15">
      <c r="A61" s="86" t="s">
        <v>701</v>
      </c>
      <c r="B61" s="126" t="s">
        <v>244</v>
      </c>
      <c r="C61" s="86">
        <f>VLOOKUP(GroupVertices[[#This Row],[Vertex]],Vertices[],MATCH("ID",Vertices[[#Headers],[Vertex]:[Top Word Pairs in Tags by Salience]],0),FALSE)</f>
        <v>43</v>
      </c>
    </row>
    <row r="62" spans="1:3" ht="15">
      <c r="A62" s="86" t="s">
        <v>701</v>
      </c>
      <c r="B62" s="126" t="s">
        <v>243</v>
      </c>
      <c r="C62" s="86">
        <f>VLOOKUP(GroupVertices[[#This Row],[Vertex]],Vertices[],MATCH("ID",Vertices[[#Headers],[Vertex]:[Top Word Pairs in Tags by Salience]],0),FALSE)</f>
        <v>39</v>
      </c>
    </row>
    <row r="63" spans="1:3" ht="15">
      <c r="A63" s="86" t="s">
        <v>701</v>
      </c>
      <c r="B63" s="126" t="s">
        <v>242</v>
      </c>
      <c r="C63" s="86">
        <f>VLOOKUP(GroupVertices[[#This Row],[Vertex]],Vertices[],MATCH("ID",Vertices[[#Headers],[Vertex]:[Top Word Pairs in Tags by Salience]],0),FALSE)</f>
        <v>6</v>
      </c>
    </row>
    <row r="64" spans="1:3" ht="15">
      <c r="A64" s="86" t="s">
        <v>701</v>
      </c>
      <c r="B64" s="126" t="s">
        <v>241</v>
      </c>
      <c r="C64" s="86">
        <f>VLOOKUP(GroupVertices[[#This Row],[Vertex]],Vertices[],MATCH("ID",Vertices[[#Headers],[Vertex]:[Top Word Pairs in Tags by Salience]],0),FALSE)</f>
        <v>48</v>
      </c>
    </row>
    <row r="65" spans="1:3" ht="15">
      <c r="A65" s="86" t="s">
        <v>701</v>
      </c>
      <c r="B65" s="126" t="s">
        <v>240</v>
      </c>
      <c r="C65" s="86">
        <f>VLOOKUP(GroupVertices[[#This Row],[Vertex]],Vertices[],MATCH("ID",Vertices[[#Headers],[Vertex]:[Top Word Pairs in Tags by Salience]],0),FALSE)</f>
        <v>47</v>
      </c>
    </row>
    <row r="66" spans="1:3" ht="15">
      <c r="A66" s="86" t="s">
        <v>701</v>
      </c>
      <c r="B66" s="126" t="s">
        <v>239</v>
      </c>
      <c r="C66" s="86">
        <f>VLOOKUP(GroupVertices[[#This Row],[Vertex]],Vertices[],MATCH("ID",Vertices[[#Headers],[Vertex]:[Top Word Pairs in Tags by Salience]],0),FALSE)</f>
        <v>72</v>
      </c>
    </row>
    <row r="67" spans="1:3" ht="15">
      <c r="A67" s="86" t="s">
        <v>701</v>
      </c>
      <c r="B67" s="126" t="s">
        <v>238</v>
      </c>
      <c r="C67" s="86">
        <f>VLOOKUP(GroupVertices[[#This Row],[Vertex]],Vertices[],MATCH("ID",Vertices[[#Headers],[Vertex]:[Top Word Pairs in Tags by Salience]],0),FALSE)</f>
        <v>46</v>
      </c>
    </row>
    <row r="68" spans="1:3" ht="15">
      <c r="A68" s="86" t="s">
        <v>701</v>
      </c>
      <c r="B68" s="126" t="s">
        <v>237</v>
      </c>
      <c r="C68" s="86">
        <f>VLOOKUP(GroupVertices[[#This Row],[Vertex]],Vertices[],MATCH("ID",Vertices[[#Headers],[Vertex]:[Top Word Pairs in Tags by Salience]],0),FALSE)</f>
        <v>87</v>
      </c>
    </row>
    <row r="69" spans="1:3" ht="15">
      <c r="A69" s="86" t="s">
        <v>701</v>
      </c>
      <c r="B69" s="126" t="s">
        <v>236</v>
      </c>
      <c r="C69" s="86">
        <f>VLOOKUP(GroupVertices[[#This Row],[Vertex]],Vertices[],MATCH("ID",Vertices[[#Headers],[Vertex]:[Top Word Pairs in Tags by Salience]],0),FALSE)</f>
        <v>36</v>
      </c>
    </row>
    <row r="70" spans="1:3" ht="15">
      <c r="A70" s="86" t="s">
        <v>701</v>
      </c>
      <c r="B70" s="126" t="s">
        <v>235</v>
      </c>
      <c r="C70" s="86">
        <f>VLOOKUP(GroupVertices[[#This Row],[Vertex]],Vertices[],MATCH("ID",Vertices[[#Headers],[Vertex]:[Top Word Pairs in Tags by Salience]],0),FALSE)</f>
        <v>83</v>
      </c>
    </row>
    <row r="71" spans="1:3" ht="15">
      <c r="A71" s="86" t="s">
        <v>701</v>
      </c>
      <c r="B71" s="126" t="s">
        <v>234</v>
      </c>
      <c r="C71" s="86">
        <f>VLOOKUP(GroupVertices[[#This Row],[Vertex]],Vertices[],MATCH("ID",Vertices[[#Headers],[Vertex]:[Top Word Pairs in Tags by Salience]],0),FALSE)</f>
        <v>11</v>
      </c>
    </row>
    <row r="72" spans="1:3" ht="15">
      <c r="A72" s="86" t="s">
        <v>701</v>
      </c>
      <c r="B72" s="126" t="s">
        <v>233</v>
      </c>
      <c r="C72" s="86">
        <f>VLOOKUP(GroupVertices[[#This Row],[Vertex]],Vertices[],MATCH("ID",Vertices[[#Headers],[Vertex]:[Top Word Pairs in Tags by Salience]],0),FALSE)</f>
        <v>45</v>
      </c>
    </row>
    <row r="73" spans="1:3" ht="15">
      <c r="A73" s="86" t="s">
        <v>701</v>
      </c>
      <c r="B73" s="126" t="s">
        <v>232</v>
      </c>
      <c r="C73" s="86">
        <f>VLOOKUP(GroupVertices[[#This Row],[Vertex]],Vertices[],MATCH("ID",Vertices[[#Headers],[Vertex]:[Top Word Pairs in Tags by Salience]],0),FALSE)</f>
        <v>41</v>
      </c>
    </row>
    <row r="74" spans="1:3" ht="15">
      <c r="A74" s="86" t="s">
        <v>701</v>
      </c>
      <c r="B74" s="126" t="s">
        <v>231</v>
      </c>
      <c r="C74" s="86">
        <f>VLOOKUP(GroupVertices[[#This Row],[Vertex]],Vertices[],MATCH("ID",Vertices[[#Headers],[Vertex]:[Top Word Pairs in Tags by Salience]],0),FALSE)</f>
        <v>42</v>
      </c>
    </row>
    <row r="75" spans="1:3" ht="15">
      <c r="A75" s="86" t="s">
        <v>701</v>
      </c>
      <c r="B75" s="126" t="s">
        <v>230</v>
      </c>
      <c r="C75" s="86">
        <f>VLOOKUP(GroupVertices[[#This Row],[Vertex]],Vertices[],MATCH("ID",Vertices[[#Headers],[Vertex]:[Top Word Pairs in Tags by Salience]],0),FALSE)</f>
        <v>37</v>
      </c>
    </row>
    <row r="76" spans="1:3" ht="15">
      <c r="A76" s="86" t="s">
        <v>701</v>
      </c>
      <c r="B76" s="126" t="s">
        <v>229</v>
      </c>
      <c r="C76" s="86">
        <f>VLOOKUP(GroupVertices[[#This Row],[Vertex]],Vertices[],MATCH("ID",Vertices[[#Headers],[Vertex]:[Top Word Pairs in Tags by Salience]],0),FALSE)</f>
        <v>4</v>
      </c>
    </row>
    <row r="77" spans="1:3" ht="15">
      <c r="A77" s="86" t="s">
        <v>701</v>
      </c>
      <c r="B77" s="126" t="s">
        <v>228</v>
      </c>
      <c r="C77" s="86">
        <f>VLOOKUP(GroupVertices[[#This Row],[Vertex]],Vertices[],MATCH("ID",Vertices[[#Headers],[Vertex]:[Top Word Pairs in Tags by Salience]],0),FALSE)</f>
        <v>40</v>
      </c>
    </row>
    <row r="78" spans="1:3" ht="15">
      <c r="A78" s="86" t="s">
        <v>701</v>
      </c>
      <c r="B78" s="126" t="s">
        <v>227</v>
      </c>
      <c r="C78" s="86">
        <f>VLOOKUP(GroupVertices[[#This Row],[Vertex]],Vertices[],MATCH("ID",Vertices[[#Headers],[Vertex]:[Top Word Pairs in Tags by Salience]],0),FALSE)</f>
        <v>24</v>
      </c>
    </row>
    <row r="79" spans="1:3" ht="15">
      <c r="A79" s="86" t="s">
        <v>701</v>
      </c>
      <c r="B79" s="126" t="s">
        <v>226</v>
      </c>
      <c r="C79" s="86">
        <f>VLOOKUP(GroupVertices[[#This Row],[Vertex]],Vertices[],MATCH("ID",Vertices[[#Headers],[Vertex]:[Top Word Pairs in Tags by Salience]],0),FALSE)</f>
        <v>7</v>
      </c>
    </row>
    <row r="80" spans="1:3" ht="15">
      <c r="A80" s="86" t="s">
        <v>701</v>
      </c>
      <c r="B80" s="126" t="s">
        <v>225</v>
      </c>
      <c r="C80" s="86">
        <f>VLOOKUP(GroupVertices[[#This Row],[Vertex]],Vertices[],MATCH("ID",Vertices[[#Headers],[Vertex]:[Top Word Pairs in Tags by Salience]],0),FALSE)</f>
        <v>86</v>
      </c>
    </row>
    <row r="81" spans="1:3" ht="15">
      <c r="A81" s="86" t="s">
        <v>701</v>
      </c>
      <c r="B81" s="126" t="s">
        <v>224</v>
      </c>
      <c r="C81" s="86">
        <f>VLOOKUP(GroupVertices[[#This Row],[Vertex]],Vertices[],MATCH("ID",Vertices[[#Headers],[Vertex]:[Top Word Pairs in Tags by Salience]],0),FALSE)</f>
        <v>81</v>
      </c>
    </row>
    <row r="82" spans="1:3" ht="15">
      <c r="A82" s="86" t="s">
        <v>701</v>
      </c>
      <c r="B82" s="126" t="s">
        <v>223</v>
      </c>
      <c r="C82" s="86">
        <f>VLOOKUP(GroupVertices[[#This Row],[Vertex]],Vertices[],MATCH("ID",Vertices[[#Headers],[Vertex]:[Top Word Pairs in Tags by Salience]],0),FALSE)</f>
        <v>8</v>
      </c>
    </row>
    <row r="83" spans="1:3" ht="15">
      <c r="A83" s="86" t="s">
        <v>701</v>
      </c>
      <c r="B83" s="126" t="s">
        <v>222</v>
      </c>
      <c r="C83" s="86">
        <f>VLOOKUP(GroupVertices[[#This Row],[Vertex]],Vertices[],MATCH("ID",Vertices[[#Headers],[Vertex]:[Top Word Pairs in Tags by Salience]],0),FALSE)</f>
        <v>68</v>
      </c>
    </row>
    <row r="84" spans="1:3" ht="15">
      <c r="A84" s="86" t="s">
        <v>701</v>
      </c>
      <c r="B84" s="126" t="s">
        <v>221</v>
      </c>
      <c r="C84" s="86">
        <f>VLOOKUP(GroupVertices[[#This Row],[Vertex]],Vertices[],MATCH("ID",Vertices[[#Headers],[Vertex]:[Top Word Pairs in Tags by Salience]],0),FALSE)</f>
        <v>70</v>
      </c>
    </row>
    <row r="85" spans="1:3" ht="15">
      <c r="A85" s="86" t="s">
        <v>701</v>
      </c>
      <c r="B85" s="126" t="s">
        <v>220</v>
      </c>
      <c r="C85" s="86">
        <f>VLOOKUP(GroupVertices[[#This Row],[Vertex]],Vertices[],MATCH("ID",Vertices[[#Headers],[Vertex]:[Top Word Pairs in Tags by Salience]],0),FALSE)</f>
        <v>71</v>
      </c>
    </row>
    <row r="86" spans="1:3" ht="15">
      <c r="A86" s="86" t="s">
        <v>701</v>
      </c>
      <c r="B86" s="126" t="s">
        <v>219</v>
      </c>
      <c r="C86" s="86">
        <f>VLOOKUP(GroupVertices[[#This Row],[Vertex]],Vertices[],MATCH("ID",Vertices[[#Headers],[Vertex]:[Top Word Pairs in Tags by Salience]],0),FALSE)</f>
        <v>67</v>
      </c>
    </row>
    <row r="87" spans="1:3" ht="15">
      <c r="A87" s="86" t="s">
        <v>701</v>
      </c>
      <c r="B87" s="126" t="s">
        <v>218</v>
      </c>
      <c r="C87" s="86">
        <f>VLOOKUP(GroupVertices[[#This Row],[Vertex]],Vertices[],MATCH("ID",Vertices[[#Headers],[Vertex]:[Top Word Pairs in Tags by Salience]],0),FALSE)</f>
        <v>73</v>
      </c>
    </row>
    <row r="88" spans="1:3" ht="15">
      <c r="A88" s="86" t="s">
        <v>701</v>
      </c>
      <c r="B88" s="126" t="s">
        <v>217</v>
      </c>
      <c r="C88" s="86">
        <f>VLOOKUP(GroupVertices[[#This Row],[Vertex]],Vertices[],MATCH("ID",Vertices[[#Headers],[Vertex]:[Top Word Pairs in Tags by Salience]],0),FALSE)</f>
        <v>93</v>
      </c>
    </row>
    <row r="89" spans="1:3" ht="15">
      <c r="A89" s="86" t="s">
        <v>701</v>
      </c>
      <c r="B89" s="126" t="s">
        <v>216</v>
      </c>
      <c r="C89" s="86">
        <f>VLOOKUP(GroupVertices[[#This Row],[Vertex]],Vertices[],MATCH("ID",Vertices[[#Headers],[Vertex]:[Top Word Pairs in Tags by Salience]],0),FALSE)</f>
        <v>29</v>
      </c>
    </row>
    <row r="90" spans="1:3" ht="15">
      <c r="A90" s="86" t="s">
        <v>701</v>
      </c>
      <c r="B90" s="126" t="s">
        <v>215</v>
      </c>
      <c r="C90" s="86">
        <f>VLOOKUP(GroupVertices[[#This Row],[Vertex]],Vertices[],MATCH("ID",Vertices[[#Headers],[Vertex]:[Top Word Pairs in Tags by Salience]],0),FALSE)</f>
        <v>66</v>
      </c>
    </row>
    <row r="91" spans="1:3" ht="15">
      <c r="A91" s="86" t="s">
        <v>701</v>
      </c>
      <c r="B91" s="126" t="s">
        <v>214</v>
      </c>
      <c r="C91" s="86">
        <f>VLOOKUP(GroupVertices[[#This Row],[Vertex]],Vertices[],MATCH("ID",Vertices[[#Headers],[Vertex]:[Top Word Pairs in Tags by Salience]],0),FALSE)</f>
        <v>94</v>
      </c>
    </row>
    <row r="92" spans="1:3" ht="15">
      <c r="A92" s="86" t="s">
        <v>701</v>
      </c>
      <c r="B92" s="126" t="s">
        <v>213</v>
      </c>
      <c r="C92" s="86">
        <f>VLOOKUP(GroupVertices[[#This Row],[Vertex]],Vertices[],MATCH("ID",Vertices[[#Headers],[Vertex]:[Top Word Pairs in Tags by Salience]],0),FALSE)</f>
        <v>65</v>
      </c>
    </row>
    <row r="93" spans="1:3" ht="15">
      <c r="A93" s="86" t="s">
        <v>701</v>
      </c>
      <c r="B93" s="126" t="s">
        <v>303</v>
      </c>
      <c r="C93" s="86">
        <f>VLOOKUP(GroupVertices[[#This Row],[Vertex]],Vertices[],MATCH("ID",Vertices[[#Headers],[Vertex]:[Top Word Pairs in Tags by Salience]],0),FALSE)</f>
        <v>64</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1009</v>
      </c>
      <c r="B2" s="36" t="s">
        <v>191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91</v>
      </c>
      <c r="J2" s="39">
        <f>MIN(Vertices[Betweenness Centrality])</f>
        <v>0</v>
      </c>
      <c r="K2" s="40">
        <f>COUNTIF(Vertices[Betweenness Centrality],"&gt;= "&amp;J2)-COUNTIF(Vertices[Betweenness Centrality],"&gt;="&amp;J3)</f>
        <v>91</v>
      </c>
      <c r="L2" s="39">
        <f>MIN(Vertices[Closeness Centrality])</f>
        <v>0.005525</v>
      </c>
      <c r="M2" s="40">
        <f>COUNTIF(Vertices[Closeness Centrality],"&gt;= "&amp;L2)-COUNTIF(Vertices[Closeness Centrality],"&gt;="&amp;L3)</f>
        <v>91</v>
      </c>
      <c r="N2" s="39">
        <f>MIN(Vertices[Eigenvector Centrality])</f>
        <v>0.01087</v>
      </c>
      <c r="O2" s="40">
        <f>COUNTIF(Vertices[Eigenvector Centrality],"&gt;= "&amp;N2)-COUNTIF(Vertices[Eigenvector Centrality],"&gt;="&amp;N3)</f>
        <v>0</v>
      </c>
      <c r="P2" s="39">
        <f>MIN(Vertices[PageRank])</f>
        <v>0.545586</v>
      </c>
      <c r="Q2" s="40">
        <f>COUNTIF(Vertices[PageRank],"&gt;= "&amp;P2)-COUNTIF(Vertices[PageRank],"&gt;="&amp;P3)</f>
        <v>91</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2"/>
      <c r="B3" s="132"/>
      <c r="D3" s="34">
        <f aca="true" t="shared" si="1" ref="D3:D26">D2+($D$50-$D$2)/BinDivisor</f>
        <v>0</v>
      </c>
      <c r="E3" s="3">
        <f>COUNTIF(Vertices[Degree],"&gt;= "&amp;D3)-COUNTIF(Vertices[Degree],"&gt;="&amp;D4)</f>
        <v>0</v>
      </c>
      <c r="F3" s="41">
        <f aca="true" t="shared" si="2" ref="F3:F26">F2+($F$50-$F$2)/BinDivisor</f>
        <v>0.020833333333333332</v>
      </c>
      <c r="G3" s="42">
        <f>COUNTIF(Vertices[In-Degree],"&gt;= "&amp;F3)-COUNTIF(Vertices[In-Degree],"&gt;="&amp;F4)</f>
        <v>0</v>
      </c>
      <c r="H3" s="41">
        <f aca="true" t="shared" si="3" ref="H3:H26">H2+($H$50-$H$2)/BinDivisor</f>
        <v>1.8958333333333333</v>
      </c>
      <c r="I3" s="42">
        <f>COUNTIF(Vertices[Out-Degree],"&gt;= "&amp;H3)-COUNTIF(Vertices[Out-Degree],"&gt;="&amp;H4)</f>
        <v>0</v>
      </c>
      <c r="J3" s="41">
        <f aca="true" t="shared" si="4" ref="J3:J26">J2+($J$50-$J$2)/BinDivisor</f>
        <v>170.625</v>
      </c>
      <c r="K3" s="42">
        <f>COUNTIF(Vertices[Betweenness Centrality],"&gt;= "&amp;J3)-COUNTIF(Vertices[Betweenness Centrality],"&gt;="&amp;J4)</f>
        <v>0</v>
      </c>
      <c r="L3" s="41">
        <f aca="true" t="shared" si="5" ref="L3:L26">L2+($L$50-$L$2)/BinDivisor</f>
        <v>0.005638833333333333</v>
      </c>
      <c r="M3" s="42">
        <f>COUNTIF(Vertices[Closeness Centrality],"&gt;= "&amp;L3)-COUNTIF(Vertices[Closeness Centrality],"&gt;="&amp;L4)</f>
        <v>0</v>
      </c>
      <c r="N3" s="41">
        <f aca="true" t="shared" si="6" ref="N3:N26">N2+($N$50-$N$2)/BinDivisor</f>
        <v>0.01087</v>
      </c>
      <c r="O3" s="42">
        <f>COUNTIF(Vertices[Eigenvector Centrality],"&gt;= "&amp;N3)-COUNTIF(Vertices[Eigenvector Centrality],"&gt;="&amp;N4)</f>
        <v>0</v>
      </c>
      <c r="P3" s="41">
        <f aca="true" t="shared" si="7" ref="P3:P26">P2+($P$50-$P$2)/BinDivisor</f>
        <v>1.4165341666666666</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92</v>
      </c>
      <c r="D4" s="34">
        <f t="shared" si="1"/>
        <v>0</v>
      </c>
      <c r="E4" s="3">
        <f>COUNTIF(Vertices[Degree],"&gt;= "&amp;D4)-COUNTIF(Vertices[Degree],"&gt;="&amp;D5)</f>
        <v>0</v>
      </c>
      <c r="F4" s="39">
        <f t="shared" si="2"/>
        <v>0.041666666666666664</v>
      </c>
      <c r="G4" s="40">
        <f>COUNTIF(Vertices[In-Degree],"&gt;= "&amp;F4)-COUNTIF(Vertices[In-Degree],"&gt;="&amp;F5)</f>
        <v>0</v>
      </c>
      <c r="H4" s="39">
        <f t="shared" si="3"/>
        <v>3.7916666666666665</v>
      </c>
      <c r="I4" s="40">
        <f>COUNTIF(Vertices[Out-Degree],"&gt;= "&amp;H4)-COUNTIF(Vertices[Out-Degree],"&gt;="&amp;H5)</f>
        <v>0</v>
      </c>
      <c r="J4" s="39">
        <f t="shared" si="4"/>
        <v>341.25</v>
      </c>
      <c r="K4" s="40">
        <f>COUNTIF(Vertices[Betweenness Centrality],"&gt;= "&amp;J4)-COUNTIF(Vertices[Betweenness Centrality],"&gt;="&amp;J5)</f>
        <v>0</v>
      </c>
      <c r="L4" s="39">
        <f t="shared" si="5"/>
        <v>0.005752666666666666</v>
      </c>
      <c r="M4" s="40">
        <f>COUNTIF(Vertices[Closeness Centrality],"&gt;= "&amp;L4)-COUNTIF(Vertices[Closeness Centrality],"&gt;="&amp;L5)</f>
        <v>0</v>
      </c>
      <c r="N4" s="39">
        <f t="shared" si="6"/>
        <v>0.01087</v>
      </c>
      <c r="O4" s="40">
        <f>COUNTIF(Vertices[Eigenvector Centrality],"&gt;= "&amp;N4)-COUNTIF(Vertices[Eigenvector Centrality],"&gt;="&amp;N5)</f>
        <v>0</v>
      </c>
      <c r="P4" s="39">
        <f t="shared" si="7"/>
        <v>2.287482333333333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2"/>
      <c r="B5" s="132"/>
      <c r="D5" s="34">
        <f t="shared" si="1"/>
        <v>0</v>
      </c>
      <c r="E5" s="3">
        <f>COUNTIF(Vertices[Degree],"&gt;= "&amp;D5)-COUNTIF(Vertices[Degree],"&gt;="&amp;D6)</f>
        <v>0</v>
      </c>
      <c r="F5" s="41">
        <f t="shared" si="2"/>
        <v>0.0625</v>
      </c>
      <c r="G5" s="42">
        <f>COUNTIF(Vertices[In-Degree],"&gt;= "&amp;F5)-COUNTIF(Vertices[In-Degree],"&gt;="&amp;F6)</f>
        <v>0</v>
      </c>
      <c r="H5" s="41">
        <f t="shared" si="3"/>
        <v>5.6875</v>
      </c>
      <c r="I5" s="42">
        <f>COUNTIF(Vertices[Out-Degree],"&gt;= "&amp;H5)-COUNTIF(Vertices[Out-Degree],"&gt;="&amp;H6)</f>
        <v>0</v>
      </c>
      <c r="J5" s="41">
        <f t="shared" si="4"/>
        <v>511.875</v>
      </c>
      <c r="K5" s="42">
        <f>COUNTIF(Vertices[Betweenness Centrality],"&gt;= "&amp;J5)-COUNTIF(Vertices[Betweenness Centrality],"&gt;="&amp;J6)</f>
        <v>0</v>
      </c>
      <c r="L5" s="41">
        <f t="shared" si="5"/>
        <v>0.005866499999999999</v>
      </c>
      <c r="M5" s="42">
        <f>COUNTIF(Vertices[Closeness Centrality],"&gt;= "&amp;L5)-COUNTIF(Vertices[Closeness Centrality],"&gt;="&amp;L6)</f>
        <v>0</v>
      </c>
      <c r="N5" s="41">
        <f t="shared" si="6"/>
        <v>0.01087</v>
      </c>
      <c r="O5" s="42">
        <f>COUNTIF(Vertices[Eigenvector Centrality],"&gt;= "&amp;N5)-COUNTIF(Vertices[Eigenvector Centrality],"&gt;="&amp;N6)</f>
        <v>0</v>
      </c>
      <c r="P5" s="41">
        <f t="shared" si="7"/>
        <v>3.1584304999999997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91</v>
      </c>
      <c r="D6" s="34">
        <f t="shared" si="1"/>
        <v>0</v>
      </c>
      <c r="E6" s="3">
        <f>COUNTIF(Vertices[Degree],"&gt;= "&amp;D6)-COUNTIF(Vertices[Degree],"&gt;="&amp;D7)</f>
        <v>0</v>
      </c>
      <c r="F6" s="39">
        <f t="shared" si="2"/>
        <v>0.08333333333333333</v>
      </c>
      <c r="G6" s="40">
        <f>COUNTIF(Vertices[In-Degree],"&gt;= "&amp;F6)-COUNTIF(Vertices[In-Degree],"&gt;="&amp;F7)</f>
        <v>0</v>
      </c>
      <c r="H6" s="39">
        <f t="shared" si="3"/>
        <v>7.583333333333333</v>
      </c>
      <c r="I6" s="40">
        <f>COUNTIF(Vertices[Out-Degree],"&gt;= "&amp;H6)-COUNTIF(Vertices[Out-Degree],"&gt;="&amp;H7)</f>
        <v>0</v>
      </c>
      <c r="J6" s="39">
        <f t="shared" si="4"/>
        <v>682.5</v>
      </c>
      <c r="K6" s="40">
        <f>COUNTIF(Vertices[Betweenness Centrality],"&gt;= "&amp;J6)-COUNTIF(Vertices[Betweenness Centrality],"&gt;="&amp;J7)</f>
        <v>0</v>
      </c>
      <c r="L6" s="39">
        <f t="shared" si="5"/>
        <v>0.005980333333333332</v>
      </c>
      <c r="M6" s="40">
        <f>COUNTIF(Vertices[Closeness Centrality],"&gt;= "&amp;L6)-COUNTIF(Vertices[Closeness Centrality],"&gt;="&amp;L7)</f>
        <v>0</v>
      </c>
      <c r="N6" s="39">
        <f t="shared" si="6"/>
        <v>0.01087</v>
      </c>
      <c r="O6" s="40">
        <f>COUNTIF(Vertices[Eigenvector Centrality],"&gt;= "&amp;N6)-COUNTIF(Vertices[Eigenvector Centrality],"&gt;="&amp;N7)</f>
        <v>0</v>
      </c>
      <c r="P6" s="39">
        <f t="shared" si="7"/>
        <v>4.029378666666666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0.10416666666666666</v>
      </c>
      <c r="G7" s="42">
        <f>COUNTIF(Vertices[In-Degree],"&gt;= "&amp;F7)-COUNTIF(Vertices[In-Degree],"&gt;="&amp;F8)</f>
        <v>0</v>
      </c>
      <c r="H7" s="41">
        <f t="shared" si="3"/>
        <v>9.479166666666666</v>
      </c>
      <c r="I7" s="42">
        <f>COUNTIF(Vertices[Out-Degree],"&gt;= "&amp;H7)-COUNTIF(Vertices[Out-Degree],"&gt;="&amp;H8)</f>
        <v>0</v>
      </c>
      <c r="J7" s="41">
        <f t="shared" si="4"/>
        <v>853.125</v>
      </c>
      <c r="K7" s="42">
        <f>COUNTIF(Vertices[Betweenness Centrality],"&gt;= "&amp;J7)-COUNTIF(Vertices[Betweenness Centrality],"&gt;="&amp;J8)</f>
        <v>0</v>
      </c>
      <c r="L7" s="41">
        <f t="shared" si="5"/>
        <v>0.006094166666666665</v>
      </c>
      <c r="M7" s="42">
        <f>COUNTIF(Vertices[Closeness Centrality],"&gt;= "&amp;L7)-COUNTIF(Vertices[Closeness Centrality],"&gt;="&amp;L8)</f>
        <v>0</v>
      </c>
      <c r="N7" s="41">
        <f t="shared" si="6"/>
        <v>0.01087</v>
      </c>
      <c r="O7" s="42">
        <f>COUNTIF(Vertices[Eigenvector Centrality],"&gt;= "&amp;N7)-COUNTIF(Vertices[Eigenvector Centrality],"&gt;="&amp;N8)</f>
        <v>0</v>
      </c>
      <c r="P7" s="41">
        <f t="shared" si="7"/>
        <v>4.900326833333333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91</v>
      </c>
      <c r="D8" s="34">
        <f t="shared" si="1"/>
        <v>0</v>
      </c>
      <c r="E8" s="3">
        <f>COUNTIF(Vertices[Degree],"&gt;= "&amp;D8)-COUNTIF(Vertices[Degree],"&gt;="&amp;D9)</f>
        <v>0</v>
      </c>
      <c r="F8" s="39">
        <f t="shared" si="2"/>
        <v>0.12499999999999999</v>
      </c>
      <c r="G8" s="40">
        <f>COUNTIF(Vertices[In-Degree],"&gt;= "&amp;F8)-COUNTIF(Vertices[In-Degree],"&gt;="&amp;F9)</f>
        <v>0</v>
      </c>
      <c r="H8" s="39">
        <f t="shared" si="3"/>
        <v>11.375</v>
      </c>
      <c r="I8" s="40">
        <f>COUNTIF(Vertices[Out-Degree],"&gt;= "&amp;H8)-COUNTIF(Vertices[Out-Degree],"&gt;="&amp;H9)</f>
        <v>0</v>
      </c>
      <c r="J8" s="39">
        <f t="shared" si="4"/>
        <v>1023.75</v>
      </c>
      <c r="K8" s="40">
        <f>COUNTIF(Vertices[Betweenness Centrality],"&gt;= "&amp;J8)-COUNTIF(Vertices[Betweenness Centrality],"&gt;="&amp;J9)</f>
        <v>0</v>
      </c>
      <c r="L8" s="39">
        <f t="shared" si="5"/>
        <v>0.006207999999999998</v>
      </c>
      <c r="M8" s="40">
        <f>COUNTIF(Vertices[Closeness Centrality],"&gt;= "&amp;L8)-COUNTIF(Vertices[Closeness Centrality],"&gt;="&amp;L9)</f>
        <v>0</v>
      </c>
      <c r="N8" s="39">
        <f t="shared" si="6"/>
        <v>0.01087</v>
      </c>
      <c r="O8" s="40">
        <f>COUNTIF(Vertices[Eigenvector Centrality],"&gt;= "&amp;N8)-COUNTIF(Vertices[Eigenvector Centrality],"&gt;="&amp;N9)</f>
        <v>0</v>
      </c>
      <c r="P8" s="39">
        <f t="shared" si="7"/>
        <v>5.771274999999999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2"/>
      <c r="B9" s="132"/>
      <c r="D9" s="34">
        <f t="shared" si="1"/>
        <v>0</v>
      </c>
      <c r="E9" s="3">
        <f>COUNTIF(Vertices[Degree],"&gt;= "&amp;D9)-COUNTIF(Vertices[Degree],"&gt;="&amp;D10)</f>
        <v>0</v>
      </c>
      <c r="F9" s="41">
        <f t="shared" si="2"/>
        <v>0.14583333333333331</v>
      </c>
      <c r="G9" s="42">
        <f>COUNTIF(Vertices[In-Degree],"&gt;= "&amp;F9)-COUNTIF(Vertices[In-Degree],"&gt;="&amp;F10)</f>
        <v>0</v>
      </c>
      <c r="H9" s="41">
        <f t="shared" si="3"/>
        <v>13.270833333333334</v>
      </c>
      <c r="I9" s="42">
        <f>COUNTIF(Vertices[Out-Degree],"&gt;= "&amp;H9)-COUNTIF(Vertices[Out-Degree],"&gt;="&amp;H10)</f>
        <v>0</v>
      </c>
      <c r="J9" s="41">
        <f t="shared" si="4"/>
        <v>1194.375</v>
      </c>
      <c r="K9" s="42">
        <f>COUNTIF(Vertices[Betweenness Centrality],"&gt;= "&amp;J9)-COUNTIF(Vertices[Betweenness Centrality],"&gt;="&amp;J10)</f>
        <v>0</v>
      </c>
      <c r="L9" s="41">
        <f t="shared" si="5"/>
        <v>0.006321833333333331</v>
      </c>
      <c r="M9" s="42">
        <f>COUNTIF(Vertices[Closeness Centrality],"&gt;= "&amp;L9)-COUNTIF(Vertices[Closeness Centrality],"&gt;="&amp;L10)</f>
        <v>0</v>
      </c>
      <c r="N9" s="41">
        <f t="shared" si="6"/>
        <v>0.01087</v>
      </c>
      <c r="O9" s="42">
        <f>COUNTIF(Vertices[Eigenvector Centrality],"&gt;= "&amp;N9)-COUNTIF(Vertices[Eigenvector Centrality],"&gt;="&amp;N10)</f>
        <v>0</v>
      </c>
      <c r="P9" s="41">
        <f t="shared" si="7"/>
        <v>6.642223166666666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0.16666666666666666</v>
      </c>
      <c r="G10" s="40">
        <f>COUNTIF(Vertices[In-Degree],"&gt;= "&amp;F10)-COUNTIF(Vertices[In-Degree],"&gt;="&amp;F11)</f>
        <v>0</v>
      </c>
      <c r="H10" s="39">
        <f t="shared" si="3"/>
        <v>15.166666666666668</v>
      </c>
      <c r="I10" s="40">
        <f>COUNTIF(Vertices[Out-Degree],"&gt;= "&amp;H10)-COUNTIF(Vertices[Out-Degree],"&gt;="&amp;H11)</f>
        <v>0</v>
      </c>
      <c r="J10" s="39">
        <f t="shared" si="4"/>
        <v>1365</v>
      </c>
      <c r="K10" s="40">
        <f>COUNTIF(Vertices[Betweenness Centrality],"&gt;= "&amp;J10)-COUNTIF(Vertices[Betweenness Centrality],"&gt;="&amp;J11)</f>
        <v>0</v>
      </c>
      <c r="L10" s="39">
        <f t="shared" si="5"/>
        <v>0.006435666666666664</v>
      </c>
      <c r="M10" s="40">
        <f>COUNTIF(Vertices[Closeness Centrality],"&gt;= "&amp;L10)-COUNTIF(Vertices[Closeness Centrality],"&gt;="&amp;L11)</f>
        <v>0</v>
      </c>
      <c r="N10" s="39">
        <f t="shared" si="6"/>
        <v>0.01087</v>
      </c>
      <c r="O10" s="40">
        <f>COUNTIF(Vertices[Eigenvector Centrality],"&gt;= "&amp;N10)-COUNTIF(Vertices[Eigenvector Centrality],"&gt;="&amp;N11)</f>
        <v>0</v>
      </c>
      <c r="P10" s="39">
        <f t="shared" si="7"/>
        <v>7.513171333333332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2"/>
      <c r="B11" s="132"/>
      <c r="D11" s="34">
        <f t="shared" si="1"/>
        <v>0</v>
      </c>
      <c r="E11" s="3">
        <f>COUNTIF(Vertices[Degree],"&gt;= "&amp;D11)-COUNTIF(Vertices[Degree],"&gt;="&amp;D12)</f>
        <v>0</v>
      </c>
      <c r="F11" s="41">
        <f t="shared" si="2"/>
        <v>0.1875</v>
      </c>
      <c r="G11" s="42">
        <f>COUNTIF(Vertices[In-Degree],"&gt;= "&amp;F11)-COUNTIF(Vertices[In-Degree],"&gt;="&amp;F12)</f>
        <v>0</v>
      </c>
      <c r="H11" s="41">
        <f t="shared" si="3"/>
        <v>17.0625</v>
      </c>
      <c r="I11" s="42">
        <f>COUNTIF(Vertices[Out-Degree],"&gt;= "&amp;H11)-COUNTIF(Vertices[Out-Degree],"&gt;="&amp;H12)</f>
        <v>0</v>
      </c>
      <c r="J11" s="41">
        <f t="shared" si="4"/>
        <v>1535.625</v>
      </c>
      <c r="K11" s="42">
        <f>COUNTIF(Vertices[Betweenness Centrality],"&gt;= "&amp;J11)-COUNTIF(Vertices[Betweenness Centrality],"&gt;="&amp;J12)</f>
        <v>0</v>
      </c>
      <c r="L11" s="41">
        <f t="shared" si="5"/>
        <v>0.006549499999999997</v>
      </c>
      <c r="M11" s="42">
        <f>COUNTIF(Vertices[Closeness Centrality],"&gt;= "&amp;L11)-COUNTIF(Vertices[Closeness Centrality],"&gt;="&amp;L12)</f>
        <v>0</v>
      </c>
      <c r="N11" s="41">
        <f t="shared" si="6"/>
        <v>0.01087</v>
      </c>
      <c r="O11" s="42">
        <f>COUNTIF(Vertices[Eigenvector Centrality],"&gt;= "&amp;N11)-COUNTIF(Vertices[Eigenvector Centrality],"&gt;="&amp;N12)</f>
        <v>0</v>
      </c>
      <c r="P11" s="41">
        <f t="shared" si="7"/>
        <v>8.384119499999999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0.20833333333333334</v>
      </c>
      <c r="G12" s="40">
        <f>COUNTIF(Vertices[In-Degree],"&gt;= "&amp;F12)-COUNTIF(Vertices[In-Degree],"&gt;="&amp;F13)</f>
        <v>0</v>
      </c>
      <c r="H12" s="39">
        <f t="shared" si="3"/>
        <v>18.958333333333332</v>
      </c>
      <c r="I12" s="40">
        <f>COUNTIF(Vertices[Out-Degree],"&gt;= "&amp;H12)-COUNTIF(Vertices[Out-Degree],"&gt;="&amp;H13)</f>
        <v>0</v>
      </c>
      <c r="J12" s="39">
        <f t="shared" si="4"/>
        <v>1706.25</v>
      </c>
      <c r="K12" s="40">
        <f>COUNTIF(Vertices[Betweenness Centrality],"&gt;= "&amp;J12)-COUNTIF(Vertices[Betweenness Centrality],"&gt;="&amp;J13)</f>
        <v>0</v>
      </c>
      <c r="L12" s="39">
        <f t="shared" si="5"/>
        <v>0.00666333333333333</v>
      </c>
      <c r="M12" s="40">
        <f>COUNTIF(Vertices[Closeness Centrality],"&gt;= "&amp;L12)-COUNTIF(Vertices[Closeness Centrality],"&gt;="&amp;L13)</f>
        <v>0</v>
      </c>
      <c r="N12" s="39">
        <f t="shared" si="6"/>
        <v>0.01087</v>
      </c>
      <c r="O12" s="40">
        <f>COUNTIF(Vertices[Eigenvector Centrality],"&gt;= "&amp;N12)-COUNTIF(Vertices[Eigenvector Centrality],"&gt;="&amp;N13)</f>
        <v>0</v>
      </c>
      <c r="P12" s="39">
        <f t="shared" si="7"/>
        <v>9.255067666666665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0.22916666666666669</v>
      </c>
      <c r="G13" s="42">
        <f>COUNTIF(Vertices[In-Degree],"&gt;= "&amp;F13)-COUNTIF(Vertices[In-Degree],"&gt;="&amp;F14)</f>
        <v>0</v>
      </c>
      <c r="H13" s="41">
        <f t="shared" si="3"/>
        <v>20.854166666666664</v>
      </c>
      <c r="I13" s="42">
        <f>COUNTIF(Vertices[Out-Degree],"&gt;= "&amp;H13)-COUNTIF(Vertices[Out-Degree],"&gt;="&amp;H14)</f>
        <v>0</v>
      </c>
      <c r="J13" s="41">
        <f t="shared" si="4"/>
        <v>1876.875</v>
      </c>
      <c r="K13" s="42">
        <f>COUNTIF(Vertices[Betweenness Centrality],"&gt;= "&amp;J13)-COUNTIF(Vertices[Betweenness Centrality],"&gt;="&amp;J14)</f>
        <v>0</v>
      </c>
      <c r="L13" s="41">
        <f t="shared" si="5"/>
        <v>0.006777166666666663</v>
      </c>
      <c r="M13" s="42">
        <f>COUNTIF(Vertices[Closeness Centrality],"&gt;= "&amp;L13)-COUNTIF(Vertices[Closeness Centrality],"&gt;="&amp;L14)</f>
        <v>0</v>
      </c>
      <c r="N13" s="41">
        <f t="shared" si="6"/>
        <v>0.01087</v>
      </c>
      <c r="O13" s="42">
        <f>COUNTIF(Vertices[Eigenvector Centrality],"&gt;= "&amp;N13)-COUNTIF(Vertices[Eigenvector Centrality],"&gt;="&amp;N14)</f>
        <v>0</v>
      </c>
      <c r="P13" s="41">
        <f t="shared" si="7"/>
        <v>10.126015833333332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2"/>
      <c r="B14" s="132"/>
      <c r="D14" s="34">
        <f t="shared" si="1"/>
        <v>0</v>
      </c>
      <c r="E14" s="3">
        <f>COUNTIF(Vertices[Degree],"&gt;= "&amp;D14)-COUNTIF(Vertices[Degree],"&gt;="&amp;D15)</f>
        <v>0</v>
      </c>
      <c r="F14" s="39">
        <f t="shared" si="2"/>
        <v>0.25</v>
      </c>
      <c r="G14" s="40">
        <f>COUNTIF(Vertices[In-Degree],"&gt;= "&amp;F14)-COUNTIF(Vertices[In-Degree],"&gt;="&amp;F15)</f>
        <v>0</v>
      </c>
      <c r="H14" s="39">
        <f t="shared" si="3"/>
        <v>22.749999999999996</v>
      </c>
      <c r="I14" s="40">
        <f>COUNTIF(Vertices[Out-Degree],"&gt;= "&amp;H14)-COUNTIF(Vertices[Out-Degree],"&gt;="&amp;H15)</f>
        <v>0</v>
      </c>
      <c r="J14" s="39">
        <f t="shared" si="4"/>
        <v>2047.5</v>
      </c>
      <c r="K14" s="40">
        <f>COUNTIF(Vertices[Betweenness Centrality],"&gt;= "&amp;J14)-COUNTIF(Vertices[Betweenness Centrality],"&gt;="&amp;J15)</f>
        <v>0</v>
      </c>
      <c r="L14" s="39">
        <f t="shared" si="5"/>
        <v>0.006890999999999996</v>
      </c>
      <c r="M14" s="40">
        <f>COUNTIF(Vertices[Closeness Centrality],"&gt;= "&amp;L14)-COUNTIF(Vertices[Closeness Centrality],"&gt;="&amp;L15)</f>
        <v>0</v>
      </c>
      <c r="N14" s="39">
        <f t="shared" si="6"/>
        <v>0.01087</v>
      </c>
      <c r="O14" s="40">
        <f>COUNTIF(Vertices[Eigenvector Centrality],"&gt;= "&amp;N14)-COUNTIF(Vertices[Eigenvector Centrality],"&gt;="&amp;N15)</f>
        <v>0</v>
      </c>
      <c r="P14" s="39">
        <f t="shared" si="7"/>
        <v>10.996963999999998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0.2708333333333333</v>
      </c>
      <c r="G15" s="42">
        <f>COUNTIF(Vertices[In-Degree],"&gt;= "&amp;F15)-COUNTIF(Vertices[In-Degree],"&gt;="&amp;F16)</f>
        <v>0</v>
      </c>
      <c r="H15" s="41">
        <f t="shared" si="3"/>
        <v>24.64583333333333</v>
      </c>
      <c r="I15" s="42">
        <f>COUNTIF(Vertices[Out-Degree],"&gt;= "&amp;H15)-COUNTIF(Vertices[Out-Degree],"&gt;="&amp;H16)</f>
        <v>0</v>
      </c>
      <c r="J15" s="41">
        <f t="shared" si="4"/>
        <v>2218.125</v>
      </c>
      <c r="K15" s="42">
        <f>COUNTIF(Vertices[Betweenness Centrality],"&gt;= "&amp;J15)-COUNTIF(Vertices[Betweenness Centrality],"&gt;="&amp;J16)</f>
        <v>0</v>
      </c>
      <c r="L15" s="41">
        <f t="shared" si="5"/>
        <v>0.007004833333333329</v>
      </c>
      <c r="M15" s="42">
        <f>COUNTIF(Vertices[Closeness Centrality],"&gt;= "&amp;L15)-COUNTIF(Vertices[Closeness Centrality],"&gt;="&amp;L16)</f>
        <v>0</v>
      </c>
      <c r="N15" s="41">
        <f t="shared" si="6"/>
        <v>0.01087</v>
      </c>
      <c r="O15" s="42">
        <f>COUNTIF(Vertices[Eigenvector Centrality],"&gt;= "&amp;N15)-COUNTIF(Vertices[Eigenvector Centrality],"&gt;="&amp;N16)</f>
        <v>0</v>
      </c>
      <c r="P15" s="41">
        <f t="shared" si="7"/>
        <v>11.867912166666665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0.29166666666666663</v>
      </c>
      <c r="G16" s="40">
        <f>COUNTIF(Vertices[In-Degree],"&gt;= "&amp;F16)-COUNTIF(Vertices[In-Degree],"&gt;="&amp;F17)</f>
        <v>0</v>
      </c>
      <c r="H16" s="39">
        <f t="shared" si="3"/>
        <v>26.54166666666666</v>
      </c>
      <c r="I16" s="40">
        <f>COUNTIF(Vertices[Out-Degree],"&gt;= "&amp;H16)-COUNTIF(Vertices[Out-Degree],"&gt;="&amp;H17)</f>
        <v>0</v>
      </c>
      <c r="J16" s="39">
        <f t="shared" si="4"/>
        <v>2388.75</v>
      </c>
      <c r="K16" s="40">
        <f>COUNTIF(Vertices[Betweenness Centrality],"&gt;= "&amp;J16)-COUNTIF(Vertices[Betweenness Centrality],"&gt;="&amp;J17)</f>
        <v>0</v>
      </c>
      <c r="L16" s="39">
        <f t="shared" si="5"/>
        <v>0.007118666666666662</v>
      </c>
      <c r="M16" s="40">
        <f>COUNTIF(Vertices[Closeness Centrality],"&gt;= "&amp;L16)-COUNTIF(Vertices[Closeness Centrality],"&gt;="&amp;L17)</f>
        <v>0</v>
      </c>
      <c r="N16" s="39">
        <f t="shared" si="6"/>
        <v>0.01087</v>
      </c>
      <c r="O16" s="40">
        <f>COUNTIF(Vertices[Eigenvector Centrality],"&gt;= "&amp;N16)-COUNTIF(Vertices[Eigenvector Centrality],"&gt;="&amp;N17)</f>
        <v>0</v>
      </c>
      <c r="P16" s="39">
        <f t="shared" si="7"/>
        <v>12.738860333333331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92</v>
      </c>
      <c r="D17" s="34">
        <f t="shared" si="1"/>
        <v>0</v>
      </c>
      <c r="E17" s="3">
        <f>COUNTIF(Vertices[Degree],"&gt;= "&amp;D17)-COUNTIF(Vertices[Degree],"&gt;="&amp;D18)</f>
        <v>0</v>
      </c>
      <c r="F17" s="41">
        <f t="shared" si="2"/>
        <v>0.31249999999999994</v>
      </c>
      <c r="G17" s="42">
        <f>COUNTIF(Vertices[In-Degree],"&gt;= "&amp;F17)-COUNTIF(Vertices[In-Degree],"&gt;="&amp;F18)</f>
        <v>0</v>
      </c>
      <c r="H17" s="41">
        <f t="shared" si="3"/>
        <v>28.437499999999993</v>
      </c>
      <c r="I17" s="42">
        <f>COUNTIF(Vertices[Out-Degree],"&gt;= "&amp;H17)-COUNTIF(Vertices[Out-Degree],"&gt;="&amp;H18)</f>
        <v>0</v>
      </c>
      <c r="J17" s="41">
        <f t="shared" si="4"/>
        <v>2559.375</v>
      </c>
      <c r="K17" s="42">
        <f>COUNTIF(Vertices[Betweenness Centrality],"&gt;= "&amp;J17)-COUNTIF(Vertices[Betweenness Centrality],"&gt;="&amp;J18)</f>
        <v>0</v>
      </c>
      <c r="L17" s="41">
        <f t="shared" si="5"/>
        <v>0.007232499999999995</v>
      </c>
      <c r="M17" s="42">
        <f>COUNTIF(Vertices[Closeness Centrality],"&gt;= "&amp;L17)-COUNTIF(Vertices[Closeness Centrality],"&gt;="&amp;L18)</f>
        <v>0</v>
      </c>
      <c r="N17" s="41">
        <f t="shared" si="6"/>
        <v>0.01087</v>
      </c>
      <c r="O17" s="42">
        <f>COUNTIF(Vertices[Eigenvector Centrality],"&gt;= "&amp;N17)-COUNTIF(Vertices[Eigenvector Centrality],"&gt;="&amp;N18)</f>
        <v>0</v>
      </c>
      <c r="P17" s="41">
        <f t="shared" si="7"/>
        <v>13.609808499999998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91</v>
      </c>
      <c r="D18" s="34">
        <f t="shared" si="1"/>
        <v>0</v>
      </c>
      <c r="E18" s="3">
        <f>COUNTIF(Vertices[Degree],"&gt;= "&amp;D18)-COUNTIF(Vertices[Degree],"&gt;="&amp;D19)</f>
        <v>0</v>
      </c>
      <c r="F18" s="39">
        <f t="shared" si="2"/>
        <v>0.33333333333333326</v>
      </c>
      <c r="G18" s="40">
        <f>COUNTIF(Vertices[In-Degree],"&gt;= "&amp;F18)-COUNTIF(Vertices[In-Degree],"&gt;="&amp;F19)</f>
        <v>0</v>
      </c>
      <c r="H18" s="39">
        <f t="shared" si="3"/>
        <v>30.333333333333325</v>
      </c>
      <c r="I18" s="40">
        <f>COUNTIF(Vertices[Out-Degree],"&gt;= "&amp;H18)-COUNTIF(Vertices[Out-Degree],"&gt;="&amp;H19)</f>
        <v>0</v>
      </c>
      <c r="J18" s="39">
        <f t="shared" si="4"/>
        <v>2730</v>
      </c>
      <c r="K18" s="40">
        <f>COUNTIF(Vertices[Betweenness Centrality],"&gt;= "&amp;J18)-COUNTIF(Vertices[Betweenness Centrality],"&gt;="&amp;J19)</f>
        <v>0</v>
      </c>
      <c r="L18" s="39">
        <f t="shared" si="5"/>
        <v>0.007346333333333328</v>
      </c>
      <c r="M18" s="40">
        <f>COUNTIF(Vertices[Closeness Centrality],"&gt;= "&amp;L18)-COUNTIF(Vertices[Closeness Centrality],"&gt;="&amp;L19)</f>
        <v>0</v>
      </c>
      <c r="N18" s="39">
        <f t="shared" si="6"/>
        <v>0.01087</v>
      </c>
      <c r="O18" s="40">
        <f>COUNTIF(Vertices[Eigenvector Centrality],"&gt;= "&amp;N18)-COUNTIF(Vertices[Eigenvector Centrality],"&gt;="&amp;N19)</f>
        <v>0</v>
      </c>
      <c r="P18" s="39">
        <f t="shared" si="7"/>
        <v>14.480756666666665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2"/>
      <c r="B19" s="132"/>
      <c r="D19" s="34">
        <f t="shared" si="1"/>
        <v>0</v>
      </c>
      <c r="E19" s="3">
        <f>COUNTIF(Vertices[Degree],"&gt;= "&amp;D19)-COUNTIF(Vertices[Degree],"&gt;="&amp;D20)</f>
        <v>0</v>
      </c>
      <c r="F19" s="41">
        <f t="shared" si="2"/>
        <v>0.3541666666666666</v>
      </c>
      <c r="G19" s="42">
        <f>COUNTIF(Vertices[In-Degree],"&gt;= "&amp;F19)-COUNTIF(Vertices[In-Degree],"&gt;="&amp;F20)</f>
        <v>0</v>
      </c>
      <c r="H19" s="41">
        <f t="shared" si="3"/>
        <v>32.22916666666666</v>
      </c>
      <c r="I19" s="42">
        <f>COUNTIF(Vertices[Out-Degree],"&gt;= "&amp;H19)-COUNTIF(Vertices[Out-Degree],"&gt;="&amp;H20)</f>
        <v>0</v>
      </c>
      <c r="J19" s="41">
        <f t="shared" si="4"/>
        <v>2900.625</v>
      </c>
      <c r="K19" s="42">
        <f>COUNTIF(Vertices[Betweenness Centrality],"&gt;= "&amp;J19)-COUNTIF(Vertices[Betweenness Centrality],"&gt;="&amp;J20)</f>
        <v>0</v>
      </c>
      <c r="L19" s="41">
        <f t="shared" si="5"/>
        <v>0.007460166666666661</v>
      </c>
      <c r="M19" s="42">
        <f>COUNTIF(Vertices[Closeness Centrality],"&gt;= "&amp;L19)-COUNTIF(Vertices[Closeness Centrality],"&gt;="&amp;L20)</f>
        <v>0</v>
      </c>
      <c r="N19" s="41">
        <f t="shared" si="6"/>
        <v>0.01087</v>
      </c>
      <c r="O19" s="42">
        <f>COUNTIF(Vertices[Eigenvector Centrality],"&gt;= "&amp;N19)-COUNTIF(Vertices[Eigenvector Centrality],"&gt;="&amp;N20)</f>
        <v>0</v>
      </c>
      <c r="P19" s="41">
        <f t="shared" si="7"/>
        <v>15.351704833333331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0.3749999999999999</v>
      </c>
      <c r="G20" s="40">
        <f>COUNTIF(Vertices[In-Degree],"&gt;= "&amp;F20)-COUNTIF(Vertices[In-Degree],"&gt;="&amp;F21)</f>
        <v>0</v>
      </c>
      <c r="H20" s="39">
        <f t="shared" si="3"/>
        <v>34.12499999999999</v>
      </c>
      <c r="I20" s="40">
        <f>COUNTIF(Vertices[Out-Degree],"&gt;= "&amp;H20)-COUNTIF(Vertices[Out-Degree],"&gt;="&amp;H21)</f>
        <v>0</v>
      </c>
      <c r="J20" s="39">
        <f t="shared" si="4"/>
        <v>3071.25</v>
      </c>
      <c r="K20" s="40">
        <f>COUNTIF(Vertices[Betweenness Centrality],"&gt;= "&amp;J20)-COUNTIF(Vertices[Betweenness Centrality],"&gt;="&amp;J21)</f>
        <v>0</v>
      </c>
      <c r="L20" s="39">
        <f t="shared" si="5"/>
        <v>0.007573999999999994</v>
      </c>
      <c r="M20" s="40">
        <f>COUNTIF(Vertices[Closeness Centrality],"&gt;= "&amp;L20)-COUNTIF(Vertices[Closeness Centrality],"&gt;="&amp;L21)</f>
        <v>0</v>
      </c>
      <c r="N20" s="39">
        <f t="shared" si="6"/>
        <v>0.01087</v>
      </c>
      <c r="O20" s="40">
        <f>COUNTIF(Vertices[Eigenvector Centrality],"&gt;= "&amp;N20)-COUNTIF(Vertices[Eigenvector Centrality],"&gt;="&amp;N21)</f>
        <v>0</v>
      </c>
      <c r="P20" s="39">
        <f t="shared" si="7"/>
        <v>16.222652999999998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1.956758</v>
      </c>
      <c r="D21" s="34">
        <f t="shared" si="1"/>
        <v>0</v>
      </c>
      <c r="E21" s="3">
        <f>COUNTIF(Vertices[Degree],"&gt;= "&amp;D21)-COUNTIF(Vertices[Degree],"&gt;="&amp;D22)</f>
        <v>0</v>
      </c>
      <c r="F21" s="41">
        <f t="shared" si="2"/>
        <v>0.3958333333333332</v>
      </c>
      <c r="G21" s="42">
        <f>COUNTIF(Vertices[In-Degree],"&gt;= "&amp;F21)-COUNTIF(Vertices[In-Degree],"&gt;="&amp;F22)</f>
        <v>0</v>
      </c>
      <c r="H21" s="41">
        <f t="shared" si="3"/>
        <v>36.02083333333333</v>
      </c>
      <c r="I21" s="42">
        <f>COUNTIF(Vertices[Out-Degree],"&gt;= "&amp;H21)-COUNTIF(Vertices[Out-Degree],"&gt;="&amp;H22)</f>
        <v>0</v>
      </c>
      <c r="J21" s="41">
        <f t="shared" si="4"/>
        <v>3241.875</v>
      </c>
      <c r="K21" s="42">
        <f>COUNTIF(Vertices[Betweenness Centrality],"&gt;= "&amp;J21)-COUNTIF(Vertices[Betweenness Centrality],"&gt;="&amp;J22)</f>
        <v>0</v>
      </c>
      <c r="L21" s="41">
        <f t="shared" si="5"/>
        <v>0.007687833333333327</v>
      </c>
      <c r="M21" s="42">
        <f>COUNTIF(Vertices[Closeness Centrality],"&gt;= "&amp;L21)-COUNTIF(Vertices[Closeness Centrality],"&gt;="&amp;L22)</f>
        <v>0</v>
      </c>
      <c r="N21" s="41">
        <f t="shared" si="6"/>
        <v>0.01087</v>
      </c>
      <c r="O21" s="42">
        <f>COUNTIF(Vertices[Eigenvector Centrality],"&gt;= "&amp;N21)-COUNTIF(Vertices[Eigenvector Centrality],"&gt;="&amp;N22)</f>
        <v>0</v>
      </c>
      <c r="P21" s="41">
        <f t="shared" si="7"/>
        <v>17.093601166666666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2"/>
      <c r="B22" s="132"/>
      <c r="D22" s="34">
        <f t="shared" si="1"/>
        <v>0</v>
      </c>
      <c r="E22" s="3">
        <f>COUNTIF(Vertices[Degree],"&gt;= "&amp;D22)-COUNTIF(Vertices[Degree],"&gt;="&amp;D23)</f>
        <v>0</v>
      </c>
      <c r="F22" s="39">
        <f t="shared" si="2"/>
        <v>0.4166666666666665</v>
      </c>
      <c r="G22" s="40">
        <f>COUNTIF(Vertices[In-Degree],"&gt;= "&amp;F22)-COUNTIF(Vertices[In-Degree],"&gt;="&amp;F23)</f>
        <v>0</v>
      </c>
      <c r="H22" s="39">
        <f t="shared" si="3"/>
        <v>37.916666666666664</v>
      </c>
      <c r="I22" s="40">
        <f>COUNTIF(Vertices[Out-Degree],"&gt;= "&amp;H22)-COUNTIF(Vertices[Out-Degree],"&gt;="&amp;H23)</f>
        <v>0</v>
      </c>
      <c r="J22" s="39">
        <f t="shared" si="4"/>
        <v>3412.5</v>
      </c>
      <c r="K22" s="40">
        <f>COUNTIF(Vertices[Betweenness Centrality],"&gt;= "&amp;J22)-COUNTIF(Vertices[Betweenness Centrality],"&gt;="&amp;J23)</f>
        <v>0</v>
      </c>
      <c r="L22" s="39">
        <f t="shared" si="5"/>
        <v>0.00780166666666666</v>
      </c>
      <c r="M22" s="40">
        <f>COUNTIF(Vertices[Closeness Centrality],"&gt;= "&amp;L22)-COUNTIF(Vertices[Closeness Centrality],"&gt;="&amp;L23)</f>
        <v>0</v>
      </c>
      <c r="N22" s="39">
        <f t="shared" si="6"/>
        <v>0.01087</v>
      </c>
      <c r="O22" s="40">
        <f>COUNTIF(Vertices[Eigenvector Centrality],"&gt;= "&amp;N22)-COUNTIF(Vertices[Eigenvector Centrality],"&gt;="&amp;N23)</f>
        <v>0</v>
      </c>
      <c r="P22" s="39">
        <f t="shared" si="7"/>
        <v>17.964549333333334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0.010869565217391304</v>
      </c>
      <c r="D23" s="34">
        <f t="shared" si="1"/>
        <v>0</v>
      </c>
      <c r="E23" s="3">
        <f>COUNTIF(Vertices[Degree],"&gt;= "&amp;D23)-COUNTIF(Vertices[Degree],"&gt;="&amp;D24)</f>
        <v>0</v>
      </c>
      <c r="F23" s="41">
        <f t="shared" si="2"/>
        <v>0.43749999999999983</v>
      </c>
      <c r="G23" s="42">
        <f>COUNTIF(Vertices[In-Degree],"&gt;= "&amp;F23)-COUNTIF(Vertices[In-Degree],"&gt;="&amp;F24)</f>
        <v>0</v>
      </c>
      <c r="H23" s="41">
        <f t="shared" si="3"/>
        <v>39.8125</v>
      </c>
      <c r="I23" s="42">
        <f>COUNTIF(Vertices[Out-Degree],"&gt;= "&amp;H23)-COUNTIF(Vertices[Out-Degree],"&gt;="&amp;H24)</f>
        <v>0</v>
      </c>
      <c r="J23" s="41">
        <f t="shared" si="4"/>
        <v>3583.125</v>
      </c>
      <c r="K23" s="42">
        <f>COUNTIF(Vertices[Betweenness Centrality],"&gt;= "&amp;J23)-COUNTIF(Vertices[Betweenness Centrality],"&gt;="&amp;J24)</f>
        <v>0</v>
      </c>
      <c r="L23" s="41">
        <f t="shared" si="5"/>
        <v>0.007915499999999994</v>
      </c>
      <c r="M23" s="42">
        <f>COUNTIF(Vertices[Closeness Centrality],"&gt;= "&amp;L23)-COUNTIF(Vertices[Closeness Centrality],"&gt;="&amp;L24)</f>
        <v>0</v>
      </c>
      <c r="N23" s="41">
        <f t="shared" si="6"/>
        <v>0.01087</v>
      </c>
      <c r="O23" s="42">
        <f>COUNTIF(Vertices[Eigenvector Centrality],"&gt;= "&amp;N23)-COUNTIF(Vertices[Eigenvector Centrality],"&gt;="&amp;N24)</f>
        <v>0</v>
      </c>
      <c r="P23" s="41">
        <f t="shared" si="7"/>
        <v>18.835497500000002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1010</v>
      </c>
      <c r="B24" s="36">
        <v>0</v>
      </c>
      <c r="D24" s="34">
        <f t="shared" si="1"/>
        <v>0</v>
      </c>
      <c r="E24" s="3">
        <f>COUNTIF(Vertices[Degree],"&gt;= "&amp;D24)-COUNTIF(Vertices[Degree],"&gt;="&amp;D25)</f>
        <v>0</v>
      </c>
      <c r="F24" s="39">
        <f t="shared" si="2"/>
        <v>0.45833333333333315</v>
      </c>
      <c r="G24" s="40">
        <f>COUNTIF(Vertices[In-Degree],"&gt;= "&amp;F24)-COUNTIF(Vertices[In-Degree],"&gt;="&amp;F25)</f>
        <v>0</v>
      </c>
      <c r="H24" s="39">
        <f t="shared" si="3"/>
        <v>41.708333333333336</v>
      </c>
      <c r="I24" s="40">
        <f>COUNTIF(Vertices[Out-Degree],"&gt;= "&amp;H24)-COUNTIF(Vertices[Out-Degree],"&gt;="&amp;H25)</f>
        <v>0</v>
      </c>
      <c r="J24" s="39">
        <f t="shared" si="4"/>
        <v>3753.75</v>
      </c>
      <c r="K24" s="40">
        <f>COUNTIF(Vertices[Betweenness Centrality],"&gt;= "&amp;J24)-COUNTIF(Vertices[Betweenness Centrality],"&gt;="&amp;J25)</f>
        <v>0</v>
      </c>
      <c r="L24" s="39">
        <f t="shared" si="5"/>
        <v>0.008029333333333328</v>
      </c>
      <c r="M24" s="40">
        <f>COUNTIF(Vertices[Closeness Centrality],"&gt;= "&amp;L24)-COUNTIF(Vertices[Closeness Centrality],"&gt;="&amp;L25)</f>
        <v>0</v>
      </c>
      <c r="N24" s="39">
        <f t="shared" si="6"/>
        <v>0.01087</v>
      </c>
      <c r="O24" s="40">
        <f>COUNTIF(Vertices[Eigenvector Centrality],"&gt;= "&amp;N24)-COUNTIF(Vertices[Eigenvector Centrality],"&gt;="&amp;N25)</f>
        <v>0</v>
      </c>
      <c r="P24" s="39">
        <f t="shared" si="7"/>
        <v>19.70644566666667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2"/>
      <c r="B25" s="132"/>
      <c r="D25" s="34">
        <f t="shared" si="1"/>
        <v>0</v>
      </c>
      <c r="E25" s="3">
        <f>COUNTIF(Vertices[Degree],"&gt;= "&amp;D25)-COUNTIF(Vertices[Degree],"&gt;="&amp;D26)</f>
        <v>0</v>
      </c>
      <c r="F25" s="41">
        <f t="shared" si="2"/>
        <v>0.47916666666666646</v>
      </c>
      <c r="G25" s="42">
        <f>COUNTIF(Vertices[In-Degree],"&gt;= "&amp;F25)-COUNTIF(Vertices[In-Degree],"&gt;="&amp;F26)</f>
        <v>0</v>
      </c>
      <c r="H25" s="41">
        <f t="shared" si="3"/>
        <v>43.60416666666667</v>
      </c>
      <c r="I25" s="42">
        <f>COUNTIF(Vertices[Out-Degree],"&gt;= "&amp;H25)-COUNTIF(Vertices[Out-Degree],"&gt;="&amp;H26)</f>
        <v>0</v>
      </c>
      <c r="J25" s="41">
        <f t="shared" si="4"/>
        <v>3924.375</v>
      </c>
      <c r="K25" s="42">
        <f>COUNTIF(Vertices[Betweenness Centrality],"&gt;= "&amp;J25)-COUNTIF(Vertices[Betweenness Centrality],"&gt;="&amp;J26)</f>
        <v>0</v>
      </c>
      <c r="L25" s="41">
        <f t="shared" si="5"/>
        <v>0.008143166666666661</v>
      </c>
      <c r="M25" s="42">
        <f>COUNTIF(Vertices[Closeness Centrality],"&gt;= "&amp;L25)-COUNTIF(Vertices[Closeness Centrality],"&gt;="&amp;L26)</f>
        <v>0</v>
      </c>
      <c r="N25" s="41">
        <f t="shared" si="6"/>
        <v>0.01087</v>
      </c>
      <c r="O25" s="42">
        <f>COUNTIF(Vertices[Eigenvector Centrality],"&gt;= "&amp;N25)-COUNTIF(Vertices[Eigenvector Centrality],"&gt;="&amp;N26)</f>
        <v>0</v>
      </c>
      <c r="P25" s="41">
        <f t="shared" si="7"/>
        <v>20.57739383333334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1011</v>
      </c>
      <c r="B26" s="36" t="s">
        <v>1025</v>
      </c>
      <c r="D26" s="34">
        <f t="shared" si="1"/>
        <v>0</v>
      </c>
      <c r="E26" s="3">
        <f>COUNTIF(Vertices[Degree],"&gt;= "&amp;D26)-COUNTIF(Vertices[Degree],"&gt;="&amp;D28)</f>
        <v>0</v>
      </c>
      <c r="F26" s="39">
        <f t="shared" si="2"/>
        <v>0.4999999999999998</v>
      </c>
      <c r="G26" s="40">
        <f>COUNTIF(Vertices[In-Degree],"&gt;= "&amp;F26)-COUNTIF(Vertices[In-Degree],"&gt;="&amp;F28)</f>
        <v>0</v>
      </c>
      <c r="H26" s="39">
        <f t="shared" si="3"/>
        <v>45.50000000000001</v>
      </c>
      <c r="I26" s="40">
        <f>COUNTIF(Vertices[Out-Degree],"&gt;= "&amp;H26)-COUNTIF(Vertices[Out-Degree],"&gt;="&amp;H28)</f>
        <v>0</v>
      </c>
      <c r="J26" s="39">
        <f t="shared" si="4"/>
        <v>4095</v>
      </c>
      <c r="K26" s="40">
        <f>COUNTIF(Vertices[Betweenness Centrality],"&gt;= "&amp;J26)-COUNTIF(Vertices[Betweenness Centrality],"&gt;="&amp;J28)</f>
        <v>0</v>
      </c>
      <c r="L26" s="39">
        <f t="shared" si="5"/>
        <v>0.008256999999999995</v>
      </c>
      <c r="M26" s="40">
        <f>COUNTIF(Vertices[Closeness Centrality],"&gt;= "&amp;L26)-COUNTIF(Vertices[Closeness Centrality],"&gt;="&amp;L28)</f>
        <v>0</v>
      </c>
      <c r="N26" s="39">
        <f t="shared" si="6"/>
        <v>0.01087</v>
      </c>
      <c r="O26" s="40">
        <f>COUNTIF(Vertices[Eigenvector Centrality],"&gt;= "&amp;N26)-COUNTIF(Vertices[Eigenvector Centrality],"&gt;="&amp;N28)</f>
        <v>0</v>
      </c>
      <c r="P26" s="39">
        <f t="shared" si="7"/>
        <v>21.448342000000007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2"/>
      <c r="B27" s="132"/>
      <c r="D27" s="34"/>
      <c r="E27" s="3">
        <f>COUNTIF(Vertices[Degree],"&gt;= "&amp;D27)-COUNTIF(Vertices[Degree],"&gt;="&amp;D28)</f>
        <v>0</v>
      </c>
      <c r="F27" s="79"/>
      <c r="G27" s="80">
        <f>COUNTIF(Vertices[In-Degree],"&gt;= "&amp;F27)-COUNTIF(Vertices[In-Degree],"&gt;="&amp;F28)</f>
        <v>-91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-92</v>
      </c>
      <c r="P27" s="79"/>
      <c r="Q27" s="80">
        <f>COUNTIF(Vertices[Eigenvector Centrality],"&gt;= "&amp;P27)-COUNTIF(Vertices[Eigenvector Centrality],"&gt;="&amp;P28)</f>
        <v>0</v>
      </c>
      <c r="R27" s="79"/>
      <c r="S27" s="81">
        <f>COUNTIF(Vertices[Clustering Coefficient],"&gt;= "&amp;R27)-COUNTIF(Vertices[Clustering Coefficient],"&gt;="&amp;R28)</f>
        <v>-92</v>
      </c>
      <c r="T27" s="79"/>
      <c r="U27" s="80">
        <f ca="1">COUNTIF(Vertices[Clustering Coefficient],"&gt;= "&amp;T27)-COUNTIF(Vertices[Clustering Coefficient],"&gt;="&amp;T28)</f>
        <v>0</v>
      </c>
    </row>
    <row r="28" spans="1:21" ht="15">
      <c r="A28" s="36" t="s">
        <v>1012</v>
      </c>
      <c r="B28" s="36" t="s">
        <v>1076</v>
      </c>
      <c r="D28" s="34">
        <f>D26+($D$50-$D$2)/BinDivisor</f>
        <v>0</v>
      </c>
      <c r="E28" s="3">
        <f>COUNTIF(Vertices[Degree],"&gt;= "&amp;D28)-COUNTIF(Vertices[Degree],"&gt;="&amp;D42)</f>
        <v>0</v>
      </c>
      <c r="F28" s="41">
        <f>F26+($F$50-$F$2)/BinDivisor</f>
        <v>0.5208333333333331</v>
      </c>
      <c r="G28" s="42">
        <f>COUNTIF(Vertices[In-Degree],"&gt;= "&amp;F28)-COUNTIF(Vertices[In-Degree],"&gt;="&amp;F42)</f>
        <v>0</v>
      </c>
      <c r="H28" s="41">
        <f>H26+($H$50-$H$2)/BinDivisor</f>
        <v>47.39583333333334</v>
      </c>
      <c r="I28" s="42">
        <f>COUNTIF(Vertices[Out-Degree],"&gt;= "&amp;H28)-COUNTIF(Vertices[Out-Degree],"&gt;="&amp;H42)</f>
        <v>0</v>
      </c>
      <c r="J28" s="41">
        <f>J26+($J$50-$J$2)/BinDivisor</f>
        <v>4265.625</v>
      </c>
      <c r="K28" s="42">
        <f>COUNTIF(Vertices[Betweenness Centrality],"&gt;= "&amp;J28)-COUNTIF(Vertices[Betweenness Centrality],"&gt;="&amp;J42)</f>
        <v>0</v>
      </c>
      <c r="L28" s="41">
        <f>L26+($L$50-$L$2)/BinDivisor</f>
        <v>0.008370833333333329</v>
      </c>
      <c r="M28" s="42">
        <f>COUNTIF(Vertices[Closeness Centrality],"&gt;= "&amp;L28)-COUNTIF(Vertices[Closeness Centrality],"&gt;="&amp;L42)</f>
        <v>0</v>
      </c>
      <c r="N28" s="41">
        <f>N26+($N$50-$N$2)/BinDivisor</f>
        <v>0.01087</v>
      </c>
      <c r="O28" s="42">
        <f>COUNTIF(Vertices[Eigenvector Centrality],"&gt;= "&amp;N28)-COUNTIF(Vertices[Eigenvector Centrality],"&gt;="&amp;N42)</f>
        <v>0</v>
      </c>
      <c r="P28" s="41">
        <f>P26+($P$50-$P$2)/BinDivisor</f>
        <v>22.319290166666676</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2"/>
      <c r="B29" s="132"/>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1013</v>
      </c>
      <c r="B30" s="36" t="s">
        <v>1071</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1014</v>
      </c>
      <c r="B31" s="36" t="s">
        <v>1072</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409.5">
      <c r="A32" s="36" t="s">
        <v>1015</v>
      </c>
      <c r="B32" s="68" t="s">
        <v>1073</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1016</v>
      </c>
      <c r="B33" s="36" t="s">
        <v>1074</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1017</v>
      </c>
      <c r="B34" s="36" t="s">
        <v>1075</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1018</v>
      </c>
      <c r="B35" s="36" t="s">
        <v>700</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1019</v>
      </c>
      <c r="B36" s="36" t="s">
        <v>700</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1020</v>
      </c>
      <c r="B37" s="36" t="s">
        <v>700</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1021</v>
      </c>
      <c r="B38" s="36"/>
      <c r="D38" s="34"/>
      <c r="E38" s="3">
        <f>COUNTIF(Vertices[Degree],"&gt;= "&amp;D38)-COUNTIF(Vertices[Degree],"&gt;="&amp;D42)</f>
        <v>0</v>
      </c>
      <c r="F38" s="79"/>
      <c r="G38" s="80">
        <f>COUNTIF(Vertices[In-Degree],"&gt;= "&amp;F38)-COUNTIF(Vertices[In-Degree],"&gt;="&amp;F42)</f>
        <v>-91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-92</v>
      </c>
      <c r="P38" s="79"/>
      <c r="Q38" s="80">
        <f>COUNTIF(Vertices[Eigenvector Centrality],"&gt;= "&amp;P38)-COUNTIF(Vertices[Eigenvector Centrality],"&gt;="&amp;P42)</f>
        <v>0</v>
      </c>
      <c r="R38" s="79"/>
      <c r="S38" s="81">
        <f>COUNTIF(Vertices[Clustering Coefficient],"&gt;= "&amp;R38)-COUNTIF(Vertices[Clustering Coefficient],"&gt;="&amp;R42)</f>
        <v>-92</v>
      </c>
      <c r="T38" s="79"/>
      <c r="U38" s="80">
        <f ca="1">COUNTIF(Vertices[Clustering Coefficient],"&gt;= "&amp;T38)-COUNTIF(Vertices[Clustering Coefficient],"&gt;="&amp;T42)</f>
        <v>0</v>
      </c>
    </row>
    <row r="39" spans="1:21" ht="15">
      <c r="A39" s="36" t="s">
        <v>21</v>
      </c>
      <c r="B39" s="36"/>
      <c r="D39" s="34"/>
      <c r="E39" s="3">
        <f>COUNTIF(Vertices[Degree],"&gt;= "&amp;D39)-COUNTIF(Vertices[Degree],"&gt;="&amp;D42)</f>
        <v>0</v>
      </c>
      <c r="F39" s="79"/>
      <c r="G39" s="80">
        <f>COUNTIF(Vertices[In-Degree],"&gt;= "&amp;F39)-COUNTIF(Vertices[In-Degree],"&gt;="&amp;F42)</f>
        <v>-91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-92</v>
      </c>
      <c r="P39" s="79"/>
      <c r="Q39" s="80">
        <f>COUNTIF(Vertices[Eigenvector Centrality],"&gt;= "&amp;P39)-COUNTIF(Vertices[Eigenvector Centrality],"&gt;="&amp;P42)</f>
        <v>0</v>
      </c>
      <c r="R39" s="79"/>
      <c r="S39" s="81">
        <f>COUNTIF(Vertices[Clustering Coefficient],"&gt;= "&amp;R39)-COUNTIF(Vertices[Clustering Coefficient],"&gt;="&amp;R42)</f>
        <v>-92</v>
      </c>
      <c r="T39" s="79"/>
      <c r="U39" s="80">
        <f ca="1">COUNTIF(Vertices[Clustering Coefficient],"&gt;= "&amp;T39)-COUNTIF(Vertices[Clustering Coefficient],"&gt;="&amp;T42)</f>
        <v>0</v>
      </c>
    </row>
    <row r="40" spans="1:21" ht="15">
      <c r="A40" s="36" t="s">
        <v>1022</v>
      </c>
      <c r="B40" s="36" t="s">
        <v>310</v>
      </c>
      <c r="D40" s="34"/>
      <c r="E40" s="3">
        <f>COUNTIF(Vertices[Degree],"&gt;= "&amp;D40)-COUNTIF(Vertices[Degree],"&gt;="&amp;D42)</f>
        <v>0</v>
      </c>
      <c r="F40" s="79"/>
      <c r="G40" s="80">
        <f>COUNTIF(Vertices[In-Degree],"&gt;= "&amp;F40)-COUNTIF(Vertices[In-Degree],"&gt;="&amp;F42)</f>
        <v>-91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-92</v>
      </c>
      <c r="P40" s="79"/>
      <c r="Q40" s="80">
        <f>COUNTIF(Vertices[Eigenvector Centrality],"&gt;= "&amp;P40)-COUNTIF(Vertices[Eigenvector Centrality],"&gt;="&amp;P42)</f>
        <v>0</v>
      </c>
      <c r="R40" s="79"/>
      <c r="S40" s="81">
        <f>COUNTIF(Vertices[Clustering Coefficient],"&gt;= "&amp;R40)-COUNTIF(Vertices[Clustering Coefficient],"&gt;="&amp;R42)</f>
        <v>-92</v>
      </c>
      <c r="T40" s="79"/>
      <c r="U40" s="80">
        <f ca="1">COUNTIF(Vertices[Clustering Coefficient],"&gt;= "&amp;T40)-COUNTIF(Vertices[Clustering Coefficient],"&gt;="&amp;T42)</f>
        <v>0</v>
      </c>
    </row>
    <row r="41" spans="1:21" ht="15">
      <c r="A41" s="36" t="s">
        <v>1023</v>
      </c>
      <c r="B41" s="36"/>
      <c r="D41" s="34"/>
      <c r="E41" s="3">
        <f>COUNTIF(Vertices[Degree],"&gt;= "&amp;D41)-COUNTIF(Vertices[Degree],"&gt;="&amp;D42)</f>
        <v>0</v>
      </c>
      <c r="F41" s="79"/>
      <c r="G41" s="80">
        <f>COUNTIF(Vertices[In-Degree],"&gt;= "&amp;F41)-COUNTIF(Vertices[In-Degree],"&gt;="&amp;F42)</f>
        <v>-91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-92</v>
      </c>
      <c r="P41" s="79"/>
      <c r="Q41" s="80">
        <f>COUNTIF(Vertices[Eigenvector Centrality],"&gt;= "&amp;P41)-COUNTIF(Vertices[Eigenvector Centrality],"&gt;="&amp;P42)</f>
        <v>0</v>
      </c>
      <c r="R41" s="79"/>
      <c r="S41" s="81">
        <f>COUNTIF(Vertices[Clustering Coefficient],"&gt;= "&amp;R41)-COUNTIF(Vertices[Clustering Coefficient],"&gt;="&amp;R42)</f>
        <v>-92</v>
      </c>
      <c r="T41" s="79"/>
      <c r="U41" s="80">
        <f ca="1">COUNTIF(Vertices[Clustering Coefficient],"&gt;= "&amp;T41)-COUNTIF(Vertices[Clustering Coefficient],"&gt;="&amp;T42)</f>
        <v>0</v>
      </c>
    </row>
    <row r="42" spans="1:21" ht="15">
      <c r="A42" s="36" t="s">
        <v>1024</v>
      </c>
      <c r="B42" s="36"/>
      <c r="D42" s="34">
        <f>D28+($D$50-$D$2)/BinDivisor</f>
        <v>0</v>
      </c>
      <c r="E42" s="3">
        <f>COUNTIF(Vertices[Degree],"&gt;= "&amp;D42)-COUNTIF(Vertices[Degree],"&gt;="&amp;D43)</f>
        <v>0</v>
      </c>
      <c r="F42" s="39">
        <f>F28+($F$50-$F$2)/BinDivisor</f>
        <v>0.5416666666666665</v>
      </c>
      <c r="G42" s="40">
        <f>COUNTIF(Vertices[In-Degree],"&gt;= "&amp;F42)-COUNTIF(Vertices[In-Degree],"&gt;="&amp;F43)</f>
        <v>0</v>
      </c>
      <c r="H42" s="39">
        <f>H28+($H$50-$H$2)/BinDivisor</f>
        <v>49.29166666666668</v>
      </c>
      <c r="I42" s="40">
        <f>COUNTIF(Vertices[Out-Degree],"&gt;= "&amp;H42)-COUNTIF(Vertices[Out-Degree],"&gt;="&amp;H43)</f>
        <v>0</v>
      </c>
      <c r="J42" s="39">
        <f>J28+($J$50-$J$2)/BinDivisor</f>
        <v>4436.25</v>
      </c>
      <c r="K42" s="40">
        <f>COUNTIF(Vertices[Betweenness Centrality],"&gt;= "&amp;J42)-COUNTIF(Vertices[Betweenness Centrality],"&gt;="&amp;J43)</f>
        <v>0</v>
      </c>
      <c r="L42" s="39">
        <f>L28+($L$50-$L$2)/BinDivisor</f>
        <v>0.008484666666666663</v>
      </c>
      <c r="M42" s="40">
        <f>COUNTIF(Vertices[Closeness Centrality],"&gt;= "&amp;L42)-COUNTIF(Vertices[Closeness Centrality],"&gt;="&amp;L43)</f>
        <v>0</v>
      </c>
      <c r="N42" s="39">
        <f>N28+($N$50-$N$2)/BinDivisor</f>
        <v>0.01087</v>
      </c>
      <c r="O42" s="40">
        <f>COUNTIF(Vertices[Eigenvector Centrality],"&gt;= "&amp;N42)-COUNTIF(Vertices[Eigenvector Centrality],"&gt;="&amp;N43)</f>
        <v>0</v>
      </c>
      <c r="P42" s="39">
        <f>P28+($P$50-$P$2)/BinDivisor</f>
        <v>23.190238333333344</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4:21" ht="15">
      <c r="D43" s="34">
        <f aca="true" t="shared" si="10" ref="D43:D49">D42+($D$50-$D$2)/BinDivisor</f>
        <v>0</v>
      </c>
      <c r="E43" s="3">
        <f>COUNTIF(Vertices[Degree],"&gt;= "&amp;D43)-COUNTIF(Vertices[Degree],"&gt;="&amp;D44)</f>
        <v>0</v>
      </c>
      <c r="F43" s="41">
        <f aca="true" t="shared" si="11" ref="F43:F49">F42+($F$50-$F$2)/BinDivisor</f>
        <v>0.5624999999999999</v>
      </c>
      <c r="G43" s="42">
        <f>COUNTIF(Vertices[In-Degree],"&gt;= "&amp;F43)-COUNTIF(Vertices[In-Degree],"&gt;="&amp;F44)</f>
        <v>0</v>
      </c>
      <c r="H43" s="41">
        <f aca="true" t="shared" si="12" ref="H43:H49">H42+($H$50-$H$2)/BinDivisor</f>
        <v>51.187500000000014</v>
      </c>
      <c r="I43" s="42">
        <f>COUNTIF(Vertices[Out-Degree],"&gt;= "&amp;H43)-COUNTIF(Vertices[Out-Degree],"&gt;="&amp;H44)</f>
        <v>0</v>
      </c>
      <c r="J43" s="41">
        <f aca="true" t="shared" si="13" ref="J43:J49">J42+($J$50-$J$2)/BinDivisor</f>
        <v>4606.875</v>
      </c>
      <c r="K43" s="42">
        <f>COUNTIF(Vertices[Betweenness Centrality],"&gt;= "&amp;J43)-COUNTIF(Vertices[Betweenness Centrality],"&gt;="&amp;J44)</f>
        <v>0</v>
      </c>
      <c r="L43" s="41">
        <f aca="true" t="shared" si="14" ref="L43:L49">L42+($L$50-$L$2)/BinDivisor</f>
        <v>0.008598499999999997</v>
      </c>
      <c r="M43" s="42">
        <f>COUNTIF(Vertices[Closeness Centrality],"&gt;= "&amp;L43)-COUNTIF(Vertices[Closeness Centrality],"&gt;="&amp;L44)</f>
        <v>0</v>
      </c>
      <c r="N43" s="41">
        <f aca="true" t="shared" si="15" ref="N43:N49">N42+($N$50-$N$2)/BinDivisor</f>
        <v>0.01087</v>
      </c>
      <c r="O43" s="42">
        <f>COUNTIF(Vertices[Eigenvector Centrality],"&gt;= "&amp;N43)-COUNTIF(Vertices[Eigenvector Centrality],"&gt;="&amp;N44)</f>
        <v>0</v>
      </c>
      <c r="P43" s="41">
        <f aca="true" t="shared" si="16" ref="P43:P49">P42+($P$50-$P$2)/BinDivisor</f>
        <v>24.061186500000012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4:21" ht="15">
      <c r="D44" s="34">
        <f t="shared" si="10"/>
        <v>0</v>
      </c>
      <c r="E44" s="3">
        <f>COUNTIF(Vertices[Degree],"&gt;= "&amp;D44)-COUNTIF(Vertices[Degree],"&gt;="&amp;D45)</f>
        <v>0</v>
      </c>
      <c r="F44" s="39">
        <f t="shared" si="11"/>
        <v>0.5833333333333333</v>
      </c>
      <c r="G44" s="40">
        <f>COUNTIF(Vertices[In-Degree],"&gt;= "&amp;F44)-COUNTIF(Vertices[In-Degree],"&gt;="&amp;F45)</f>
        <v>0</v>
      </c>
      <c r="H44" s="39">
        <f t="shared" si="12"/>
        <v>53.08333333333335</v>
      </c>
      <c r="I44" s="40">
        <f>COUNTIF(Vertices[Out-Degree],"&gt;= "&amp;H44)-COUNTIF(Vertices[Out-Degree],"&gt;="&amp;H45)</f>
        <v>0</v>
      </c>
      <c r="J44" s="39">
        <f t="shared" si="13"/>
        <v>4777.5</v>
      </c>
      <c r="K44" s="40">
        <f>COUNTIF(Vertices[Betweenness Centrality],"&gt;= "&amp;J44)-COUNTIF(Vertices[Betweenness Centrality],"&gt;="&amp;J45)</f>
        <v>0</v>
      </c>
      <c r="L44" s="39">
        <f t="shared" si="14"/>
        <v>0.00871233333333333</v>
      </c>
      <c r="M44" s="40">
        <f>COUNTIF(Vertices[Closeness Centrality],"&gt;= "&amp;L44)-COUNTIF(Vertices[Closeness Centrality],"&gt;="&amp;L45)</f>
        <v>0</v>
      </c>
      <c r="N44" s="39">
        <f t="shared" si="15"/>
        <v>0.01087</v>
      </c>
      <c r="O44" s="40">
        <f>COUNTIF(Vertices[Eigenvector Centrality],"&gt;= "&amp;N44)-COUNTIF(Vertices[Eigenvector Centrality],"&gt;="&amp;N45)</f>
        <v>0</v>
      </c>
      <c r="P44" s="39">
        <f t="shared" si="16"/>
        <v>24.93213466666668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0.6041666666666666</v>
      </c>
      <c r="G45" s="42">
        <f>COUNTIF(Vertices[In-Degree],"&gt;= "&amp;F45)-COUNTIF(Vertices[In-Degree],"&gt;="&amp;F46)</f>
        <v>0</v>
      </c>
      <c r="H45" s="41">
        <f t="shared" si="12"/>
        <v>54.979166666666686</v>
      </c>
      <c r="I45" s="42">
        <f>COUNTIF(Vertices[Out-Degree],"&gt;= "&amp;H45)-COUNTIF(Vertices[Out-Degree],"&gt;="&amp;H46)</f>
        <v>0</v>
      </c>
      <c r="J45" s="41">
        <f t="shared" si="13"/>
        <v>4948.125</v>
      </c>
      <c r="K45" s="42">
        <f>COUNTIF(Vertices[Betweenness Centrality],"&gt;= "&amp;J45)-COUNTIF(Vertices[Betweenness Centrality],"&gt;="&amp;J46)</f>
        <v>0</v>
      </c>
      <c r="L45" s="41">
        <f t="shared" si="14"/>
        <v>0.008826166666666664</v>
      </c>
      <c r="M45" s="42">
        <f>COUNTIF(Vertices[Closeness Centrality],"&gt;= "&amp;L45)-COUNTIF(Vertices[Closeness Centrality],"&gt;="&amp;L46)</f>
        <v>0</v>
      </c>
      <c r="N45" s="41">
        <f t="shared" si="15"/>
        <v>0.01087</v>
      </c>
      <c r="O45" s="42">
        <f>COUNTIF(Vertices[Eigenvector Centrality],"&gt;= "&amp;N45)-COUNTIF(Vertices[Eigenvector Centrality],"&gt;="&amp;N46)</f>
        <v>0</v>
      </c>
      <c r="P45" s="41">
        <f t="shared" si="16"/>
        <v>25.80308283333335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0.625</v>
      </c>
      <c r="G46" s="40">
        <f>COUNTIF(Vertices[In-Degree],"&gt;= "&amp;F46)-COUNTIF(Vertices[In-Degree],"&gt;="&amp;F47)</f>
        <v>0</v>
      </c>
      <c r="H46" s="39">
        <f t="shared" si="12"/>
        <v>56.87500000000002</v>
      </c>
      <c r="I46" s="40">
        <f>COUNTIF(Vertices[Out-Degree],"&gt;= "&amp;H46)-COUNTIF(Vertices[Out-Degree],"&gt;="&amp;H47)</f>
        <v>0</v>
      </c>
      <c r="J46" s="39">
        <f t="shared" si="13"/>
        <v>5118.75</v>
      </c>
      <c r="K46" s="40">
        <f>COUNTIF(Vertices[Betweenness Centrality],"&gt;= "&amp;J46)-COUNTIF(Vertices[Betweenness Centrality],"&gt;="&amp;J47)</f>
        <v>0</v>
      </c>
      <c r="L46" s="39">
        <f t="shared" si="14"/>
        <v>0.008939999999999998</v>
      </c>
      <c r="M46" s="40">
        <f>COUNTIF(Vertices[Closeness Centrality],"&gt;= "&amp;L46)-COUNTIF(Vertices[Closeness Centrality],"&gt;="&amp;L47)</f>
        <v>0</v>
      </c>
      <c r="N46" s="39">
        <f t="shared" si="15"/>
        <v>0.01087</v>
      </c>
      <c r="O46" s="40">
        <f>COUNTIF(Vertices[Eigenvector Centrality],"&gt;= "&amp;N46)-COUNTIF(Vertices[Eigenvector Centrality],"&gt;="&amp;N47)</f>
        <v>0</v>
      </c>
      <c r="P46" s="39">
        <f t="shared" si="16"/>
        <v>26.674031000000017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0.6458333333333334</v>
      </c>
      <c r="G47" s="42">
        <f>COUNTIF(Vertices[In-Degree],"&gt;= "&amp;F47)-COUNTIF(Vertices[In-Degree],"&gt;="&amp;F48)</f>
        <v>0</v>
      </c>
      <c r="H47" s="41">
        <f t="shared" si="12"/>
        <v>58.77083333333336</v>
      </c>
      <c r="I47" s="42">
        <f>COUNTIF(Vertices[Out-Degree],"&gt;= "&amp;H47)-COUNTIF(Vertices[Out-Degree],"&gt;="&amp;H48)</f>
        <v>0</v>
      </c>
      <c r="J47" s="41">
        <f t="shared" si="13"/>
        <v>5289.375</v>
      </c>
      <c r="K47" s="42">
        <f>COUNTIF(Vertices[Betweenness Centrality],"&gt;= "&amp;J47)-COUNTIF(Vertices[Betweenness Centrality],"&gt;="&amp;J48)</f>
        <v>0</v>
      </c>
      <c r="L47" s="41">
        <f t="shared" si="14"/>
        <v>0.009053833333333332</v>
      </c>
      <c r="M47" s="42">
        <f>COUNTIF(Vertices[Closeness Centrality],"&gt;= "&amp;L47)-COUNTIF(Vertices[Closeness Centrality],"&gt;="&amp;L48)</f>
        <v>0</v>
      </c>
      <c r="N47" s="41">
        <f t="shared" si="15"/>
        <v>0.01087</v>
      </c>
      <c r="O47" s="42">
        <f>COUNTIF(Vertices[Eigenvector Centrality],"&gt;= "&amp;N47)-COUNTIF(Vertices[Eigenvector Centrality],"&gt;="&amp;N48)</f>
        <v>0</v>
      </c>
      <c r="P47" s="41">
        <f t="shared" si="16"/>
        <v>27.544979166666685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0.6666666666666667</v>
      </c>
      <c r="G48" s="40">
        <f>COUNTIF(Vertices[In-Degree],"&gt;= "&amp;F48)-COUNTIF(Vertices[In-Degree],"&gt;="&amp;F49)</f>
        <v>0</v>
      </c>
      <c r="H48" s="39">
        <f t="shared" si="12"/>
        <v>60.66666666666669</v>
      </c>
      <c r="I48" s="40">
        <f>COUNTIF(Vertices[Out-Degree],"&gt;= "&amp;H48)-COUNTIF(Vertices[Out-Degree],"&gt;="&amp;H49)</f>
        <v>0</v>
      </c>
      <c r="J48" s="39">
        <f t="shared" si="13"/>
        <v>5460</v>
      </c>
      <c r="K48" s="40">
        <f>COUNTIF(Vertices[Betweenness Centrality],"&gt;= "&amp;J48)-COUNTIF(Vertices[Betweenness Centrality],"&gt;="&amp;J49)</f>
        <v>0</v>
      </c>
      <c r="L48" s="39">
        <f t="shared" si="14"/>
        <v>0.009167666666666666</v>
      </c>
      <c r="M48" s="40">
        <f>COUNTIF(Vertices[Closeness Centrality],"&gt;= "&amp;L48)-COUNTIF(Vertices[Closeness Centrality],"&gt;="&amp;L49)</f>
        <v>0</v>
      </c>
      <c r="N48" s="39">
        <f t="shared" si="15"/>
        <v>0.01087</v>
      </c>
      <c r="O48" s="40">
        <f>COUNTIF(Vertices[Eigenvector Centrality],"&gt;= "&amp;N48)-COUNTIF(Vertices[Eigenvector Centrality],"&gt;="&amp;N49)</f>
        <v>0</v>
      </c>
      <c r="P48" s="39">
        <f t="shared" si="16"/>
        <v>28.415927333333354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0.6875000000000001</v>
      </c>
      <c r="G49" s="42">
        <f>COUNTIF(Vertices[In-Degree],"&gt;= "&amp;F49)-COUNTIF(Vertices[In-Degree],"&gt;="&amp;#REF!)</f>
        <v>91</v>
      </c>
      <c r="H49" s="41">
        <f t="shared" si="12"/>
        <v>62.56250000000003</v>
      </c>
      <c r="I49" s="42">
        <f>COUNTIF(Vertices[Out-Degree],"&gt;= "&amp;H49)-COUNTIF(Vertices[Out-Degree],"&gt;="&amp;#REF!)</f>
        <v>1</v>
      </c>
      <c r="J49" s="41">
        <f t="shared" si="13"/>
        <v>5630.625</v>
      </c>
      <c r="K49" s="42">
        <f>COUNTIF(Vertices[Betweenness Centrality],"&gt;= "&amp;J49)-COUNTIF(Vertices[Betweenness Centrality],"&gt;="&amp;#REF!)</f>
        <v>1</v>
      </c>
      <c r="L49" s="41">
        <f t="shared" si="14"/>
        <v>0.0092815</v>
      </c>
      <c r="M49" s="42">
        <f>COUNTIF(Vertices[Closeness Centrality],"&gt;= "&amp;L49)-COUNTIF(Vertices[Closeness Centrality],"&gt;="&amp;#REF!)</f>
        <v>1</v>
      </c>
      <c r="N49" s="41">
        <f t="shared" si="15"/>
        <v>0.01087</v>
      </c>
      <c r="O49" s="42">
        <f>COUNTIF(Vertices[Eigenvector Centrality],"&gt;= "&amp;N49)-COUNTIF(Vertices[Eigenvector Centrality],"&gt;="&amp;#REF!)</f>
        <v>92</v>
      </c>
      <c r="P49" s="41">
        <f t="shared" si="16"/>
        <v>29.286875500000022</v>
      </c>
      <c r="Q49" s="42">
        <f>COUNTIF(Vertices[PageRank],"&gt;= "&amp;P49)-COUNTIF(Vertices[PageRank],"&gt;="&amp;#REF!)</f>
        <v>1</v>
      </c>
      <c r="R49" s="41">
        <f t="shared" si="17"/>
        <v>0</v>
      </c>
      <c r="S49" s="46">
        <f>COUNTIF(Vertices[Clustering Coefficient],"&gt;= "&amp;R49)-COUNTIF(Vertices[Clustering Coefficient],"&gt;="&amp;#REF!)</f>
        <v>92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v>
      </c>
      <c r="G50" s="44">
        <f>COUNTIF(Vertices[In-Degree],"&gt;= "&amp;F50)-COUNTIF(Vertices[In-Degree],"&gt;="&amp;#REF!)</f>
        <v>91</v>
      </c>
      <c r="H50" s="43">
        <f>MAX(Vertices[Out-Degree])</f>
        <v>91</v>
      </c>
      <c r="I50" s="44">
        <f>COUNTIF(Vertices[Out-Degree],"&gt;= "&amp;H50)-COUNTIF(Vertices[Out-Degree],"&gt;="&amp;#REF!)</f>
        <v>1</v>
      </c>
      <c r="J50" s="43">
        <f>MAX(Vertices[Betweenness Centrality])</f>
        <v>8190</v>
      </c>
      <c r="K50" s="44">
        <f>COUNTIF(Vertices[Betweenness Centrality],"&gt;= "&amp;J50)-COUNTIF(Vertices[Betweenness Centrality],"&gt;="&amp;#REF!)</f>
        <v>1</v>
      </c>
      <c r="L50" s="43">
        <f>MAX(Vertices[Closeness Centrality])</f>
        <v>0.010989</v>
      </c>
      <c r="M50" s="44">
        <f>COUNTIF(Vertices[Closeness Centrality],"&gt;= "&amp;L50)-COUNTIF(Vertices[Closeness Centrality],"&gt;="&amp;#REF!)</f>
        <v>1</v>
      </c>
      <c r="N50" s="43">
        <f>MAX(Vertices[Eigenvector Centrality])</f>
        <v>0.01087</v>
      </c>
      <c r="O50" s="44">
        <f>COUNTIF(Vertices[Eigenvector Centrality],"&gt;= "&amp;N50)-COUNTIF(Vertices[Eigenvector Centrality],"&gt;="&amp;#REF!)</f>
        <v>92</v>
      </c>
      <c r="P50" s="43">
        <f>MAX(Vertices[PageRank])</f>
        <v>42.351098</v>
      </c>
      <c r="Q50" s="44">
        <f>COUNTIF(Vertices[PageRank],"&gt;= "&amp;P50)-COUNTIF(Vertices[PageRank],"&gt;="&amp;#REF!)</f>
        <v>1</v>
      </c>
      <c r="R50" s="43">
        <f>MAX(Vertices[Clustering Coefficient])</f>
        <v>0</v>
      </c>
      <c r="S50" s="47">
        <f>COUNTIF(Vertices[Clustering Coefficient],"&gt;= "&amp;R50)-COUNTIF(Vertices[Clustering Coefficient],"&gt;="&amp;#REF!)</f>
        <v>92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v>
      </c>
    </row>
    <row r="82" spans="1:2" ht="15">
      <c r="A82" s="35" t="s">
        <v>90</v>
      </c>
      <c r="B82" s="49">
        <f>_xlfn.IFERROR(AVERAGE(Vertices[In-Degree]),NoMetricMessage)</f>
        <v>0.9891304347826086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91</v>
      </c>
    </row>
    <row r="96" spans="1:2" ht="15">
      <c r="A96" s="35" t="s">
        <v>96</v>
      </c>
      <c r="B96" s="49">
        <f>_xlfn.IFERROR(AVERAGE(Vertices[Out-Degree]),NoMetricMessage)</f>
        <v>0.9891304347826086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8190</v>
      </c>
    </row>
    <row r="110" spans="1:2" ht="15">
      <c r="A110" s="35" t="s">
        <v>102</v>
      </c>
      <c r="B110" s="49">
        <f>_xlfn.IFERROR(AVERAGE(Vertices[Betweenness Centrality]),NoMetricMessage)</f>
        <v>89.02173913043478</v>
      </c>
    </row>
    <row r="111" spans="1:2" ht="15">
      <c r="A111" s="35" t="s">
        <v>103</v>
      </c>
      <c r="B111" s="49">
        <f>_xlfn.IFERROR(MEDIAN(Vertices[Betweenness Centrality]),NoMetricMessage)</f>
        <v>0</v>
      </c>
    </row>
    <row r="122" spans="1:2" ht="15">
      <c r="A122" s="35" t="s">
        <v>106</v>
      </c>
      <c r="B122" s="49">
        <f>IF(COUNT(Vertices[Closeness Centrality])&gt;0,L2,NoMetricMessage)</f>
        <v>0.005525</v>
      </c>
    </row>
    <row r="123" spans="1:2" ht="15">
      <c r="A123" s="35" t="s">
        <v>107</v>
      </c>
      <c r="B123" s="49">
        <f>IF(COUNT(Vertices[Closeness Centrality])&gt;0,L50,NoMetricMessage)</f>
        <v>0.010989</v>
      </c>
    </row>
    <row r="124" spans="1:2" ht="15">
      <c r="A124" s="35" t="s">
        <v>108</v>
      </c>
      <c r="B124" s="49">
        <f>_xlfn.IFERROR(AVERAGE(Vertices[Closeness Centrality]),NoMetricMessage)</f>
        <v>0.0055843913043478275</v>
      </c>
    </row>
    <row r="125" spans="1:2" ht="15">
      <c r="A125" s="35" t="s">
        <v>109</v>
      </c>
      <c r="B125" s="49">
        <f>_xlfn.IFERROR(MEDIAN(Vertices[Closeness Centrality]),NoMetricMessage)</f>
        <v>0.005525</v>
      </c>
    </row>
    <row r="136" spans="1:2" ht="15">
      <c r="A136" s="35" t="s">
        <v>112</v>
      </c>
      <c r="B136" s="49">
        <f>IF(COUNT(Vertices[Eigenvector Centrality])&gt;0,N2,NoMetricMessage)</f>
        <v>0.01087</v>
      </c>
    </row>
    <row r="137" spans="1:2" ht="15">
      <c r="A137" s="35" t="s">
        <v>113</v>
      </c>
      <c r="B137" s="49">
        <f>IF(COUNT(Vertices[Eigenvector Centrality])&gt;0,N50,NoMetricMessage)</f>
        <v>0.01087</v>
      </c>
    </row>
    <row r="138" spans="1:2" ht="15">
      <c r="A138" s="35" t="s">
        <v>114</v>
      </c>
      <c r="B138" s="49">
        <f>_xlfn.IFERROR(AVERAGE(Vertices[Eigenvector Centrality]),NoMetricMessage)</f>
        <v>0.01087000000000002</v>
      </c>
    </row>
    <row r="139" spans="1:2" ht="15">
      <c r="A139" s="35" t="s">
        <v>115</v>
      </c>
      <c r="B139" s="49">
        <f>_xlfn.IFERROR(MEDIAN(Vertices[Eigenvector Centrality]),NoMetricMessage)</f>
        <v>0.01087</v>
      </c>
    </row>
    <row r="150" spans="1:2" ht="15">
      <c r="A150" s="35" t="s">
        <v>140</v>
      </c>
      <c r="B150" s="49">
        <f>IF(COUNT(Vertices[PageRank])&gt;0,P2,NoMetricMessage)</f>
        <v>0.545586</v>
      </c>
    </row>
    <row r="151" spans="1:2" ht="15">
      <c r="A151" s="35" t="s">
        <v>141</v>
      </c>
      <c r="B151" s="49">
        <f>IF(COUNT(Vertices[PageRank])&gt;0,P50,NoMetricMessage)</f>
        <v>42.351098</v>
      </c>
    </row>
    <row r="152" spans="1:2" ht="15">
      <c r="A152" s="35" t="s">
        <v>142</v>
      </c>
      <c r="B152" s="49">
        <f>_xlfn.IFERROR(AVERAGE(Vertices[PageRank]),NoMetricMessage)</f>
        <v>0.9999937391304349</v>
      </c>
    </row>
    <row r="153" spans="1:2" ht="15">
      <c r="A153" s="35" t="s">
        <v>143</v>
      </c>
      <c r="B153" s="49">
        <f>_xlfn.IFERROR(MEDIAN(Vertices[PageRank]),NoMetricMessage)</f>
        <v>0.545586</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1070</v>
      </c>
    </row>
    <row r="22" spans="4:11" ht="409.5">
      <c r="D22">
        <v>10</v>
      </c>
      <c r="J22" t="s">
        <v>189</v>
      </c>
      <c r="K22" s="13" t="s">
        <v>1069</v>
      </c>
    </row>
    <row r="23" spans="4:11" ht="15">
      <c r="D23">
        <v>11</v>
      </c>
      <c r="J23" t="s">
        <v>190</v>
      </c>
      <c r="K23">
        <v>19</v>
      </c>
    </row>
    <row r="24" spans="10:11" ht="409.5">
      <c r="J24" t="s">
        <v>208</v>
      </c>
      <c r="K24" s="134" t="s">
        <v>1077</v>
      </c>
    </row>
    <row r="25" spans="10:11" ht="15">
      <c r="J25" t="s">
        <v>209</v>
      </c>
      <c r="K25" t="s">
        <v>1067</v>
      </c>
    </row>
    <row r="26" spans="10:11" ht="409.5">
      <c r="J26" t="s">
        <v>210</v>
      </c>
      <c r="K26" s="13" t="s">
        <v>1068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7BE29-EEFE-4A04-A081-3A8CF7D141D6}">
  <dimension ref="A1:G5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706</v>
      </c>
      <c r="B1" s="13" t="s">
        <v>977</v>
      </c>
      <c r="C1" s="13" t="s">
        <v>981</v>
      </c>
      <c r="D1" s="13" t="s">
        <v>144</v>
      </c>
      <c r="E1" s="13" t="s">
        <v>983</v>
      </c>
      <c r="F1" s="13" t="s">
        <v>984</v>
      </c>
      <c r="G1" s="13" t="s">
        <v>985</v>
      </c>
    </row>
    <row r="2" spans="1:7" ht="15">
      <c r="A2" s="86" t="s">
        <v>707</v>
      </c>
      <c r="B2" s="86" t="s">
        <v>978</v>
      </c>
      <c r="C2" s="127"/>
      <c r="D2" s="86"/>
      <c r="E2" s="86"/>
      <c r="F2" s="86"/>
      <c r="G2" s="86"/>
    </row>
    <row r="3" spans="1:7" ht="15">
      <c r="A3" s="86" t="s">
        <v>708</v>
      </c>
      <c r="B3" s="86" t="s">
        <v>979</v>
      </c>
      <c r="C3" s="127"/>
      <c r="D3" s="86"/>
      <c r="E3" s="86"/>
      <c r="F3" s="86"/>
      <c r="G3" s="86"/>
    </row>
    <row r="4" spans="1:7" ht="15">
      <c r="A4" s="86" t="s">
        <v>709</v>
      </c>
      <c r="B4" s="86" t="s">
        <v>980</v>
      </c>
      <c r="C4" s="127"/>
      <c r="D4" s="86"/>
      <c r="E4" s="86"/>
      <c r="F4" s="86"/>
      <c r="G4" s="86"/>
    </row>
    <row r="5" spans="1:7" ht="15">
      <c r="A5" s="86" t="s">
        <v>710</v>
      </c>
      <c r="B5" s="86">
        <v>40</v>
      </c>
      <c r="C5" s="127">
        <v>0.014716703458425313</v>
      </c>
      <c r="D5" s="86"/>
      <c r="E5" s="86"/>
      <c r="F5" s="86"/>
      <c r="G5" s="86"/>
    </row>
    <row r="6" spans="1:7" ht="15">
      <c r="A6" s="86" t="s">
        <v>711</v>
      </c>
      <c r="B6" s="86">
        <v>70</v>
      </c>
      <c r="C6" s="127">
        <v>0.025754231052244298</v>
      </c>
      <c r="D6" s="86"/>
      <c r="E6" s="86"/>
      <c r="F6" s="86"/>
      <c r="G6" s="86"/>
    </row>
    <row r="7" spans="1:7" ht="15">
      <c r="A7" s="86" t="s">
        <v>712</v>
      </c>
      <c r="B7" s="86">
        <v>0</v>
      </c>
      <c r="C7" s="127">
        <v>0</v>
      </c>
      <c r="D7" s="86"/>
      <c r="E7" s="86"/>
      <c r="F7" s="86"/>
      <c r="G7" s="86"/>
    </row>
    <row r="8" spans="1:7" ht="15">
      <c r="A8" s="86" t="s">
        <v>713</v>
      </c>
      <c r="B8" s="86">
        <v>2608</v>
      </c>
      <c r="C8" s="127">
        <v>0.9595290654893305</v>
      </c>
      <c r="D8" s="86"/>
      <c r="E8" s="86"/>
      <c r="F8" s="86"/>
      <c r="G8" s="86"/>
    </row>
    <row r="9" spans="1:7" ht="15">
      <c r="A9" s="86" t="s">
        <v>714</v>
      </c>
      <c r="B9" s="86">
        <v>2718</v>
      </c>
      <c r="C9" s="127">
        <v>1</v>
      </c>
      <c r="D9" s="86"/>
      <c r="E9" s="86"/>
      <c r="F9" s="86"/>
      <c r="G9" s="86"/>
    </row>
    <row r="10" spans="1:7" ht="15">
      <c r="A10" s="126" t="s">
        <v>715</v>
      </c>
      <c r="B10" s="126">
        <v>322</v>
      </c>
      <c r="C10" s="128">
        <v>0.02210404121012264</v>
      </c>
      <c r="D10" s="126" t="s">
        <v>982</v>
      </c>
      <c r="E10" s="126" t="b">
        <v>0</v>
      </c>
      <c r="F10" s="126" t="b">
        <v>0</v>
      </c>
      <c r="G10" s="126" t="b">
        <v>0</v>
      </c>
    </row>
    <row r="11" spans="1:7" ht="15">
      <c r="A11" s="126" t="s">
        <v>716</v>
      </c>
      <c r="B11" s="126">
        <v>158</v>
      </c>
      <c r="C11" s="128">
        <v>0.01941944944884851</v>
      </c>
      <c r="D11" s="126" t="s">
        <v>982</v>
      </c>
      <c r="E11" s="126" t="b">
        <v>0</v>
      </c>
      <c r="F11" s="126" t="b">
        <v>0</v>
      </c>
      <c r="G11" s="126" t="b">
        <v>0</v>
      </c>
    </row>
    <row r="12" spans="1:7" ht="15">
      <c r="A12" s="126" t="s">
        <v>717</v>
      </c>
      <c r="B12" s="126">
        <v>107</v>
      </c>
      <c r="C12" s="128">
        <v>0.015345881056345287</v>
      </c>
      <c r="D12" s="126" t="s">
        <v>982</v>
      </c>
      <c r="E12" s="126" t="b">
        <v>0</v>
      </c>
      <c r="F12" s="126" t="b">
        <v>0</v>
      </c>
      <c r="G12" s="126" t="b">
        <v>0</v>
      </c>
    </row>
    <row r="13" spans="1:7" ht="15">
      <c r="A13" s="126" t="s">
        <v>718</v>
      </c>
      <c r="B13" s="126">
        <v>105</v>
      </c>
      <c r="C13" s="128">
        <v>0.013952258170355553</v>
      </c>
      <c r="D13" s="126" t="s">
        <v>982</v>
      </c>
      <c r="E13" s="126" t="b">
        <v>0</v>
      </c>
      <c r="F13" s="126" t="b">
        <v>0</v>
      </c>
      <c r="G13" s="126" t="b">
        <v>0</v>
      </c>
    </row>
    <row r="14" spans="1:7" ht="15">
      <c r="A14" s="126" t="s">
        <v>719</v>
      </c>
      <c r="B14" s="126">
        <v>71</v>
      </c>
      <c r="C14" s="128">
        <v>0.017130497838113226</v>
      </c>
      <c r="D14" s="126" t="s">
        <v>982</v>
      </c>
      <c r="E14" s="126" t="b">
        <v>0</v>
      </c>
      <c r="F14" s="126" t="b">
        <v>0</v>
      </c>
      <c r="G14" s="126" t="b">
        <v>0</v>
      </c>
    </row>
    <row r="15" spans="1:7" ht="15">
      <c r="A15" s="126" t="s">
        <v>720</v>
      </c>
      <c r="B15" s="126">
        <v>50</v>
      </c>
      <c r="C15" s="128">
        <v>0.008325062951407936</v>
      </c>
      <c r="D15" s="126" t="s">
        <v>982</v>
      </c>
      <c r="E15" s="126" t="b">
        <v>0</v>
      </c>
      <c r="F15" s="126" t="b">
        <v>0</v>
      </c>
      <c r="G15" s="126" t="b">
        <v>0</v>
      </c>
    </row>
    <row r="16" spans="1:7" ht="15">
      <c r="A16" s="126" t="s">
        <v>721</v>
      </c>
      <c r="B16" s="126">
        <v>36</v>
      </c>
      <c r="C16" s="128">
        <v>0.006944077020537451</v>
      </c>
      <c r="D16" s="126" t="s">
        <v>982</v>
      </c>
      <c r="E16" s="126" t="b">
        <v>0</v>
      </c>
      <c r="F16" s="126" t="b">
        <v>0</v>
      </c>
      <c r="G16" s="126" t="b">
        <v>0</v>
      </c>
    </row>
    <row r="17" spans="1:7" ht="15">
      <c r="A17" s="126" t="s">
        <v>722</v>
      </c>
      <c r="B17" s="126">
        <v>36</v>
      </c>
      <c r="C17" s="128">
        <v>0.009026417102341104</v>
      </c>
      <c r="D17" s="126" t="s">
        <v>982</v>
      </c>
      <c r="E17" s="126" t="b">
        <v>0</v>
      </c>
      <c r="F17" s="126" t="b">
        <v>0</v>
      </c>
      <c r="G17" s="126" t="b">
        <v>0</v>
      </c>
    </row>
    <row r="18" spans="1:7" ht="15">
      <c r="A18" s="126" t="s">
        <v>723</v>
      </c>
      <c r="B18" s="126">
        <v>29</v>
      </c>
      <c r="C18" s="128">
        <v>0.009300790936433139</v>
      </c>
      <c r="D18" s="126" t="s">
        <v>982</v>
      </c>
      <c r="E18" s="126" t="b">
        <v>0</v>
      </c>
      <c r="F18" s="126" t="b">
        <v>0</v>
      </c>
      <c r="G18" s="126" t="b">
        <v>0</v>
      </c>
    </row>
    <row r="19" spans="1:7" ht="15">
      <c r="A19" s="126" t="s">
        <v>724</v>
      </c>
      <c r="B19" s="126">
        <v>29</v>
      </c>
      <c r="C19" s="128">
        <v>0.014410866134375274</v>
      </c>
      <c r="D19" s="126" t="s">
        <v>982</v>
      </c>
      <c r="E19" s="126" t="b">
        <v>0</v>
      </c>
      <c r="F19" s="126" t="b">
        <v>0</v>
      </c>
      <c r="G19" s="126" t="b">
        <v>0</v>
      </c>
    </row>
    <row r="20" spans="1:7" ht="15">
      <c r="A20" s="126" t="s">
        <v>725</v>
      </c>
      <c r="B20" s="126">
        <v>24</v>
      </c>
      <c r="C20" s="128">
        <v>0.005368754536649885</v>
      </c>
      <c r="D20" s="126" t="s">
        <v>982</v>
      </c>
      <c r="E20" s="126" t="b">
        <v>0</v>
      </c>
      <c r="F20" s="126" t="b">
        <v>0</v>
      </c>
      <c r="G20" s="126" t="b">
        <v>0</v>
      </c>
    </row>
    <row r="21" spans="1:7" ht="15">
      <c r="A21" s="126" t="s">
        <v>726</v>
      </c>
      <c r="B21" s="126">
        <v>21</v>
      </c>
      <c r="C21" s="128">
        <v>0.007751110876581953</v>
      </c>
      <c r="D21" s="126" t="s">
        <v>982</v>
      </c>
      <c r="E21" s="126" t="b">
        <v>0</v>
      </c>
      <c r="F21" s="126" t="b">
        <v>0</v>
      </c>
      <c r="G21" s="126" t="b">
        <v>0</v>
      </c>
    </row>
    <row r="22" spans="1:7" ht="15">
      <c r="A22" s="126" t="s">
        <v>727</v>
      </c>
      <c r="B22" s="126">
        <v>21</v>
      </c>
      <c r="C22" s="128">
        <v>0.006448058329132697</v>
      </c>
      <c r="D22" s="126" t="s">
        <v>982</v>
      </c>
      <c r="E22" s="126" t="b">
        <v>0</v>
      </c>
      <c r="F22" s="126" t="b">
        <v>0</v>
      </c>
      <c r="G22" s="126" t="b">
        <v>0</v>
      </c>
    </row>
    <row r="23" spans="1:7" ht="15">
      <c r="A23" s="126" t="s">
        <v>728</v>
      </c>
      <c r="B23" s="126">
        <v>20</v>
      </c>
      <c r="C23" s="128">
        <v>0.0061410079325073304</v>
      </c>
      <c r="D23" s="126" t="s">
        <v>982</v>
      </c>
      <c r="E23" s="126" t="b">
        <v>0</v>
      </c>
      <c r="F23" s="126" t="b">
        <v>0</v>
      </c>
      <c r="G23" s="126" t="b">
        <v>0</v>
      </c>
    </row>
    <row r="24" spans="1:7" ht="15">
      <c r="A24" s="126" t="s">
        <v>729</v>
      </c>
      <c r="B24" s="126">
        <v>18</v>
      </c>
      <c r="C24" s="128">
        <v>0.004882416293141673</v>
      </c>
      <c r="D24" s="126" t="s">
        <v>982</v>
      </c>
      <c r="E24" s="126" t="b">
        <v>0</v>
      </c>
      <c r="F24" s="126" t="b">
        <v>0</v>
      </c>
      <c r="G24" s="126" t="b">
        <v>0</v>
      </c>
    </row>
    <row r="25" spans="1:7" ht="15">
      <c r="A25" s="126" t="s">
        <v>730</v>
      </c>
      <c r="B25" s="126">
        <v>18</v>
      </c>
      <c r="C25" s="128">
        <v>0.005297888871403529</v>
      </c>
      <c r="D25" s="126" t="s">
        <v>982</v>
      </c>
      <c r="E25" s="126" t="b">
        <v>0</v>
      </c>
      <c r="F25" s="126" t="b">
        <v>0</v>
      </c>
      <c r="G25" s="126" t="b">
        <v>0</v>
      </c>
    </row>
    <row r="26" spans="1:7" ht="15">
      <c r="A26" s="126" t="s">
        <v>731</v>
      </c>
      <c r="B26" s="126">
        <v>17</v>
      </c>
      <c r="C26" s="128">
        <v>0.005452187790322875</v>
      </c>
      <c r="D26" s="126" t="s">
        <v>982</v>
      </c>
      <c r="E26" s="126" t="b">
        <v>0</v>
      </c>
      <c r="F26" s="126" t="b">
        <v>0</v>
      </c>
      <c r="G26" s="126" t="b">
        <v>0</v>
      </c>
    </row>
    <row r="27" spans="1:7" ht="15">
      <c r="A27" s="126" t="s">
        <v>732</v>
      </c>
      <c r="B27" s="126">
        <v>15</v>
      </c>
      <c r="C27" s="128">
        <v>0.00553650776898711</v>
      </c>
      <c r="D27" s="126" t="s">
        <v>982</v>
      </c>
      <c r="E27" s="126" t="b">
        <v>0</v>
      </c>
      <c r="F27" s="126" t="b">
        <v>0</v>
      </c>
      <c r="G27" s="126" t="b">
        <v>0</v>
      </c>
    </row>
    <row r="28" spans="1:7" ht="15">
      <c r="A28" s="126" t="s">
        <v>733</v>
      </c>
      <c r="B28" s="126">
        <v>15</v>
      </c>
      <c r="C28" s="128">
        <v>0.006523144456794391</v>
      </c>
      <c r="D28" s="126" t="s">
        <v>982</v>
      </c>
      <c r="E28" s="126" t="b">
        <v>0</v>
      </c>
      <c r="F28" s="126" t="b">
        <v>0</v>
      </c>
      <c r="G28" s="126" t="b">
        <v>0</v>
      </c>
    </row>
    <row r="29" spans="1:7" ht="15">
      <c r="A29" s="126" t="s">
        <v>734</v>
      </c>
      <c r="B29" s="126">
        <v>15</v>
      </c>
      <c r="C29" s="128">
        <v>0.005272860092820072</v>
      </c>
      <c r="D29" s="126" t="s">
        <v>982</v>
      </c>
      <c r="E29" s="126" t="b">
        <v>0</v>
      </c>
      <c r="F29" s="126" t="b">
        <v>0</v>
      </c>
      <c r="G29" s="126" t="b">
        <v>0</v>
      </c>
    </row>
    <row r="30" spans="1:7" ht="15">
      <c r="A30" s="126" t="s">
        <v>735</v>
      </c>
      <c r="B30" s="126">
        <v>15</v>
      </c>
      <c r="C30" s="128">
        <v>0.009988546013165574</v>
      </c>
      <c r="D30" s="126" t="s">
        <v>982</v>
      </c>
      <c r="E30" s="126" t="b">
        <v>0</v>
      </c>
      <c r="F30" s="126" t="b">
        <v>0</v>
      </c>
      <c r="G30" s="126" t="b">
        <v>0</v>
      </c>
    </row>
    <row r="31" spans="1:7" ht="15">
      <c r="A31" s="126" t="s">
        <v>736</v>
      </c>
      <c r="B31" s="126">
        <v>14</v>
      </c>
      <c r="C31" s="128">
        <v>0.004490037003795309</v>
      </c>
      <c r="D31" s="126" t="s">
        <v>982</v>
      </c>
      <c r="E31" s="126" t="b">
        <v>0</v>
      </c>
      <c r="F31" s="126" t="b">
        <v>0</v>
      </c>
      <c r="G31" s="126" t="b">
        <v>0</v>
      </c>
    </row>
    <row r="32" spans="1:7" ht="15">
      <c r="A32" s="126" t="s">
        <v>737</v>
      </c>
      <c r="B32" s="126">
        <v>14</v>
      </c>
      <c r="C32" s="128">
        <v>0.007533080338701569</v>
      </c>
      <c r="D32" s="126" t="s">
        <v>982</v>
      </c>
      <c r="E32" s="126" t="b">
        <v>0</v>
      </c>
      <c r="F32" s="126" t="b">
        <v>0</v>
      </c>
      <c r="G32" s="126" t="b">
        <v>0</v>
      </c>
    </row>
    <row r="33" spans="1:7" ht="15">
      <c r="A33" s="126" t="s">
        <v>738</v>
      </c>
      <c r="B33" s="126">
        <v>13</v>
      </c>
      <c r="C33" s="128">
        <v>0.005333266465226082</v>
      </c>
      <c r="D33" s="126" t="s">
        <v>982</v>
      </c>
      <c r="E33" s="126" t="b">
        <v>0</v>
      </c>
      <c r="F33" s="126" t="b">
        <v>0</v>
      </c>
      <c r="G33" s="126" t="b">
        <v>0</v>
      </c>
    </row>
    <row r="34" spans="1:7" ht="15">
      <c r="A34" s="126" t="s">
        <v>739</v>
      </c>
      <c r="B34" s="126">
        <v>13</v>
      </c>
      <c r="C34" s="128">
        <v>0.004169320074952786</v>
      </c>
      <c r="D34" s="126" t="s">
        <v>982</v>
      </c>
      <c r="E34" s="126" t="b">
        <v>0</v>
      </c>
      <c r="F34" s="126" t="b">
        <v>0</v>
      </c>
      <c r="G34" s="126" t="b">
        <v>0</v>
      </c>
    </row>
    <row r="35" spans="1:7" ht="15">
      <c r="A35" s="126" t="s">
        <v>740</v>
      </c>
      <c r="B35" s="126">
        <v>12</v>
      </c>
      <c r="C35" s="128">
        <v>0.005218515565435512</v>
      </c>
      <c r="D35" s="126" t="s">
        <v>982</v>
      </c>
      <c r="E35" s="126" t="b">
        <v>0</v>
      </c>
      <c r="F35" s="126" t="b">
        <v>0</v>
      </c>
      <c r="G35" s="126" t="b">
        <v>0</v>
      </c>
    </row>
    <row r="36" spans="1:7" ht="15">
      <c r="A36" s="126" t="s">
        <v>741</v>
      </c>
      <c r="B36" s="126">
        <v>11</v>
      </c>
      <c r="C36" s="128">
        <v>0.004783639268315886</v>
      </c>
      <c r="D36" s="126" t="s">
        <v>982</v>
      </c>
      <c r="E36" s="126" t="b">
        <v>0</v>
      </c>
      <c r="F36" s="126" t="b">
        <v>0</v>
      </c>
      <c r="G36" s="126" t="b">
        <v>0</v>
      </c>
    </row>
    <row r="37" spans="1:7" ht="15">
      <c r="A37" s="126" t="s">
        <v>742</v>
      </c>
      <c r="B37" s="126">
        <v>10</v>
      </c>
      <c r="C37" s="128">
        <v>0.0036910051793247398</v>
      </c>
      <c r="D37" s="126" t="s">
        <v>982</v>
      </c>
      <c r="E37" s="126" t="b">
        <v>0</v>
      </c>
      <c r="F37" s="126" t="b">
        <v>1</v>
      </c>
      <c r="G37" s="126" t="b">
        <v>0</v>
      </c>
    </row>
    <row r="38" spans="1:7" ht="15">
      <c r="A38" s="126" t="s">
        <v>743</v>
      </c>
      <c r="B38" s="126">
        <v>10</v>
      </c>
      <c r="C38" s="128">
        <v>0.0036910051793247398</v>
      </c>
      <c r="D38" s="126" t="s">
        <v>982</v>
      </c>
      <c r="E38" s="126" t="b">
        <v>0</v>
      </c>
      <c r="F38" s="126" t="b">
        <v>0</v>
      </c>
      <c r="G38" s="126" t="b">
        <v>0</v>
      </c>
    </row>
    <row r="39" spans="1:7" ht="15">
      <c r="A39" s="126" t="s">
        <v>744</v>
      </c>
      <c r="B39" s="126">
        <v>10</v>
      </c>
      <c r="C39" s="128">
        <v>0.0038853045023000054</v>
      </c>
      <c r="D39" s="126" t="s">
        <v>982</v>
      </c>
      <c r="E39" s="126" t="b">
        <v>0</v>
      </c>
      <c r="F39" s="126" t="b">
        <v>0</v>
      </c>
      <c r="G39" s="126" t="b">
        <v>0</v>
      </c>
    </row>
    <row r="40" spans="1:7" ht="15">
      <c r="A40" s="126" t="s">
        <v>745</v>
      </c>
      <c r="B40" s="126">
        <v>10</v>
      </c>
      <c r="C40" s="128">
        <v>0.005911297091343158</v>
      </c>
      <c r="D40" s="126" t="s">
        <v>982</v>
      </c>
      <c r="E40" s="126" t="b">
        <v>0</v>
      </c>
      <c r="F40" s="126" t="b">
        <v>0</v>
      </c>
      <c r="G40" s="126" t="b">
        <v>0</v>
      </c>
    </row>
    <row r="41" spans="1:7" ht="15">
      <c r="A41" s="126" t="s">
        <v>746</v>
      </c>
      <c r="B41" s="126">
        <v>10</v>
      </c>
      <c r="C41" s="128">
        <v>0.005911297091343158</v>
      </c>
      <c r="D41" s="126" t="s">
        <v>982</v>
      </c>
      <c r="E41" s="126" t="b">
        <v>0</v>
      </c>
      <c r="F41" s="126" t="b">
        <v>0</v>
      </c>
      <c r="G41" s="126" t="b">
        <v>0</v>
      </c>
    </row>
    <row r="42" spans="1:7" ht="15">
      <c r="A42" s="126" t="s">
        <v>747</v>
      </c>
      <c r="B42" s="126">
        <v>10</v>
      </c>
      <c r="C42" s="128">
        <v>0.0066590306754437155</v>
      </c>
      <c r="D42" s="126" t="s">
        <v>982</v>
      </c>
      <c r="E42" s="126" t="b">
        <v>0</v>
      </c>
      <c r="F42" s="126" t="b">
        <v>0</v>
      </c>
      <c r="G42" s="126" t="b">
        <v>0</v>
      </c>
    </row>
    <row r="43" spans="1:7" ht="15">
      <c r="A43" s="126" t="s">
        <v>748</v>
      </c>
      <c r="B43" s="126">
        <v>10</v>
      </c>
      <c r="C43" s="128">
        <v>0.005911297091343158</v>
      </c>
      <c r="D43" s="126" t="s">
        <v>982</v>
      </c>
      <c r="E43" s="126" t="b">
        <v>0</v>
      </c>
      <c r="F43" s="126" t="b">
        <v>0</v>
      </c>
      <c r="G43" s="126" t="b">
        <v>0</v>
      </c>
    </row>
    <row r="44" spans="1:7" ht="15">
      <c r="A44" s="126" t="s">
        <v>749</v>
      </c>
      <c r="B44" s="126">
        <v>9</v>
      </c>
      <c r="C44" s="128">
        <v>0.00714356071234768</v>
      </c>
      <c r="D44" s="126" t="s">
        <v>982</v>
      </c>
      <c r="E44" s="126" t="b">
        <v>0</v>
      </c>
      <c r="F44" s="126" t="b">
        <v>0</v>
      </c>
      <c r="G44" s="126" t="b">
        <v>0</v>
      </c>
    </row>
    <row r="45" spans="1:7" ht="15">
      <c r="A45" s="126" t="s">
        <v>750</v>
      </c>
      <c r="B45" s="126">
        <v>9</v>
      </c>
      <c r="C45" s="128">
        <v>0.004842694503451008</v>
      </c>
      <c r="D45" s="126" t="s">
        <v>982</v>
      </c>
      <c r="E45" s="126" t="b">
        <v>0</v>
      </c>
      <c r="F45" s="126" t="b">
        <v>1</v>
      </c>
      <c r="G45" s="126" t="b">
        <v>0</v>
      </c>
    </row>
    <row r="46" spans="1:7" ht="15">
      <c r="A46" s="126" t="s">
        <v>751</v>
      </c>
      <c r="B46" s="126">
        <v>9</v>
      </c>
      <c r="C46" s="128">
        <v>0.003496774052070005</v>
      </c>
      <c r="D46" s="126" t="s">
        <v>982</v>
      </c>
      <c r="E46" s="126" t="b">
        <v>0</v>
      </c>
      <c r="F46" s="126" t="b">
        <v>0</v>
      </c>
      <c r="G46" s="126" t="b">
        <v>0</v>
      </c>
    </row>
    <row r="47" spans="1:7" ht="15">
      <c r="A47" s="126" t="s">
        <v>752</v>
      </c>
      <c r="B47" s="126">
        <v>9</v>
      </c>
      <c r="C47" s="128">
        <v>0.0053201673822088425</v>
      </c>
      <c r="D47" s="126" t="s">
        <v>982</v>
      </c>
      <c r="E47" s="126" t="b">
        <v>0</v>
      </c>
      <c r="F47" s="126" t="b">
        <v>0</v>
      </c>
      <c r="G47" s="126" t="b">
        <v>0</v>
      </c>
    </row>
    <row r="48" spans="1:7" ht="15">
      <c r="A48" s="126" t="s">
        <v>753</v>
      </c>
      <c r="B48" s="126">
        <v>9</v>
      </c>
      <c r="C48" s="128">
        <v>0.005993127607899344</v>
      </c>
      <c r="D48" s="126" t="s">
        <v>982</v>
      </c>
      <c r="E48" s="126" t="b">
        <v>0</v>
      </c>
      <c r="F48" s="126" t="b">
        <v>0</v>
      </c>
      <c r="G48" s="126" t="b">
        <v>0</v>
      </c>
    </row>
    <row r="49" spans="1:7" ht="15">
      <c r="A49" s="126" t="s">
        <v>754</v>
      </c>
      <c r="B49" s="126">
        <v>9</v>
      </c>
      <c r="C49" s="128">
        <v>0.003913886674076634</v>
      </c>
      <c r="D49" s="126" t="s">
        <v>982</v>
      </c>
      <c r="E49" s="126" t="b">
        <v>0</v>
      </c>
      <c r="F49" s="126" t="b">
        <v>0</v>
      </c>
      <c r="G49" s="126" t="b">
        <v>0</v>
      </c>
    </row>
    <row r="50" spans="1:7" ht="15">
      <c r="A50" s="126" t="s">
        <v>755</v>
      </c>
      <c r="B50" s="126">
        <v>9</v>
      </c>
      <c r="C50" s="128">
        <v>0.005993127607899344</v>
      </c>
      <c r="D50" s="126" t="s">
        <v>982</v>
      </c>
      <c r="E50" s="126" t="b">
        <v>0</v>
      </c>
      <c r="F50" s="126" t="b">
        <v>0</v>
      </c>
      <c r="G50" s="126" t="b">
        <v>0</v>
      </c>
    </row>
    <row r="51" spans="1:7" ht="15">
      <c r="A51" s="126" t="s">
        <v>756</v>
      </c>
      <c r="B51" s="126">
        <v>8</v>
      </c>
      <c r="C51" s="128">
        <v>0.0034790103769570084</v>
      </c>
      <c r="D51" s="126" t="s">
        <v>982</v>
      </c>
      <c r="E51" s="126" t="b">
        <v>0</v>
      </c>
      <c r="F51" s="126" t="b">
        <v>0</v>
      </c>
      <c r="G51" s="126" t="b">
        <v>0</v>
      </c>
    </row>
    <row r="52" spans="1:7" ht="15">
      <c r="A52" s="126" t="s">
        <v>757</v>
      </c>
      <c r="B52" s="126">
        <v>8</v>
      </c>
      <c r="C52" s="128">
        <v>0.003975411347413868</v>
      </c>
      <c r="D52" s="126" t="s">
        <v>982</v>
      </c>
      <c r="E52" s="126" t="b">
        <v>0</v>
      </c>
      <c r="F52" s="126" t="b">
        <v>0</v>
      </c>
      <c r="G52" s="126" t="b">
        <v>0</v>
      </c>
    </row>
    <row r="53" spans="1:7" ht="15">
      <c r="A53" s="126" t="s">
        <v>758</v>
      </c>
      <c r="B53" s="126">
        <v>7</v>
      </c>
      <c r="C53" s="128">
        <v>0.0037665401693507843</v>
      </c>
      <c r="D53" s="126" t="s">
        <v>982</v>
      </c>
      <c r="E53" s="126" t="b">
        <v>0</v>
      </c>
      <c r="F53" s="126" t="b">
        <v>0</v>
      </c>
      <c r="G53" s="126" t="b">
        <v>0</v>
      </c>
    </row>
    <row r="54" spans="1:7" ht="15">
      <c r="A54" s="126" t="s">
        <v>759</v>
      </c>
      <c r="B54" s="126">
        <v>7</v>
      </c>
      <c r="C54" s="128">
        <v>0.004137907963940211</v>
      </c>
      <c r="D54" s="126" t="s">
        <v>982</v>
      </c>
      <c r="E54" s="126" t="b">
        <v>0</v>
      </c>
      <c r="F54" s="126" t="b">
        <v>0</v>
      </c>
      <c r="G54" s="126" t="b">
        <v>0</v>
      </c>
    </row>
    <row r="55" spans="1:7" ht="15">
      <c r="A55" s="126" t="s">
        <v>760</v>
      </c>
      <c r="B55" s="126">
        <v>7</v>
      </c>
      <c r="C55" s="128">
        <v>0.004137907963940211</v>
      </c>
      <c r="D55" s="126" t="s">
        <v>982</v>
      </c>
      <c r="E55" s="126" t="b">
        <v>0</v>
      </c>
      <c r="F55" s="126" t="b">
        <v>0</v>
      </c>
      <c r="G55" s="126" t="b">
        <v>0</v>
      </c>
    </row>
    <row r="56" spans="1:7" ht="15">
      <c r="A56" s="126" t="s">
        <v>761</v>
      </c>
      <c r="B56" s="126">
        <v>7</v>
      </c>
      <c r="C56" s="128">
        <v>0.0032431266604803946</v>
      </c>
      <c r="D56" s="126" t="s">
        <v>982</v>
      </c>
      <c r="E56" s="126" t="b">
        <v>0</v>
      </c>
      <c r="F56" s="126" t="b">
        <v>0</v>
      </c>
      <c r="G56" s="126" t="b">
        <v>0</v>
      </c>
    </row>
    <row r="57" spans="1:7" ht="15">
      <c r="A57" s="126" t="s">
        <v>762</v>
      </c>
      <c r="B57" s="126">
        <v>7</v>
      </c>
      <c r="C57" s="128">
        <v>0.0037665401693507843</v>
      </c>
      <c r="D57" s="126" t="s">
        <v>982</v>
      </c>
      <c r="E57" s="126" t="b">
        <v>0</v>
      </c>
      <c r="F57" s="126" t="b">
        <v>0</v>
      </c>
      <c r="G57" s="126" t="b">
        <v>0</v>
      </c>
    </row>
    <row r="58" spans="1:7" ht="15">
      <c r="A58" s="126" t="s">
        <v>763</v>
      </c>
      <c r="B58" s="126">
        <v>7</v>
      </c>
      <c r="C58" s="128">
        <v>0.0037665401693507843</v>
      </c>
      <c r="D58" s="126" t="s">
        <v>982</v>
      </c>
      <c r="E58" s="126" t="b">
        <v>0</v>
      </c>
      <c r="F58" s="126" t="b">
        <v>0</v>
      </c>
      <c r="G58" s="126" t="b">
        <v>0</v>
      </c>
    </row>
    <row r="59" spans="1:7" ht="15">
      <c r="A59" s="126" t="s">
        <v>764</v>
      </c>
      <c r="B59" s="126">
        <v>7</v>
      </c>
      <c r="C59" s="128">
        <v>0.003478484928987135</v>
      </c>
      <c r="D59" s="126" t="s">
        <v>982</v>
      </c>
      <c r="E59" s="126" t="b">
        <v>0</v>
      </c>
      <c r="F59" s="126" t="b">
        <v>0</v>
      </c>
      <c r="G59" s="126" t="b">
        <v>0</v>
      </c>
    </row>
    <row r="60" spans="1:7" ht="15">
      <c r="A60" s="126" t="s">
        <v>765</v>
      </c>
      <c r="B60" s="126">
        <v>7</v>
      </c>
      <c r="C60" s="128">
        <v>0.0032431266604803946</v>
      </c>
      <c r="D60" s="126" t="s">
        <v>982</v>
      </c>
      <c r="E60" s="126" t="b">
        <v>0</v>
      </c>
      <c r="F60" s="126" t="b">
        <v>0</v>
      </c>
      <c r="G60" s="126" t="b">
        <v>0</v>
      </c>
    </row>
    <row r="61" spans="1:7" ht="15">
      <c r="A61" s="126" t="s">
        <v>766</v>
      </c>
      <c r="B61" s="126">
        <v>7</v>
      </c>
      <c r="C61" s="128">
        <v>0.004661321472810601</v>
      </c>
      <c r="D61" s="126" t="s">
        <v>982</v>
      </c>
      <c r="E61" s="126" t="b">
        <v>0</v>
      </c>
      <c r="F61" s="126" t="b">
        <v>0</v>
      </c>
      <c r="G61" s="126" t="b">
        <v>0</v>
      </c>
    </row>
    <row r="62" spans="1:7" ht="15">
      <c r="A62" s="126" t="s">
        <v>767</v>
      </c>
      <c r="B62" s="126">
        <v>7</v>
      </c>
      <c r="C62" s="128">
        <v>0.0037665401693507843</v>
      </c>
      <c r="D62" s="126" t="s">
        <v>982</v>
      </c>
      <c r="E62" s="126" t="b">
        <v>0</v>
      </c>
      <c r="F62" s="126" t="b">
        <v>0</v>
      </c>
      <c r="G62" s="126" t="b">
        <v>0</v>
      </c>
    </row>
    <row r="63" spans="1:7" ht="15">
      <c r="A63" s="126" t="s">
        <v>768</v>
      </c>
      <c r="B63" s="126">
        <v>6</v>
      </c>
      <c r="C63" s="128">
        <v>0.003995418405266229</v>
      </c>
      <c r="D63" s="126" t="s">
        <v>982</v>
      </c>
      <c r="E63" s="126" t="b">
        <v>0</v>
      </c>
      <c r="F63" s="126" t="b">
        <v>0</v>
      </c>
      <c r="G63" s="126" t="b">
        <v>0</v>
      </c>
    </row>
    <row r="64" spans="1:7" ht="15">
      <c r="A64" s="126" t="s">
        <v>769</v>
      </c>
      <c r="B64" s="126">
        <v>6</v>
      </c>
      <c r="C64" s="128">
        <v>0.0029815585105604013</v>
      </c>
      <c r="D64" s="126" t="s">
        <v>982</v>
      </c>
      <c r="E64" s="126" t="b">
        <v>0</v>
      </c>
      <c r="F64" s="126" t="b">
        <v>0</v>
      </c>
      <c r="G64" s="126" t="b">
        <v>0</v>
      </c>
    </row>
    <row r="65" spans="1:7" ht="15">
      <c r="A65" s="126" t="s">
        <v>770</v>
      </c>
      <c r="B65" s="126">
        <v>6</v>
      </c>
      <c r="C65" s="128">
        <v>0.002779822851840338</v>
      </c>
      <c r="D65" s="126" t="s">
        <v>982</v>
      </c>
      <c r="E65" s="126" t="b">
        <v>0</v>
      </c>
      <c r="F65" s="126" t="b">
        <v>0</v>
      </c>
      <c r="G65" s="126" t="b">
        <v>0</v>
      </c>
    </row>
    <row r="66" spans="1:7" ht="15">
      <c r="A66" s="126" t="s">
        <v>771</v>
      </c>
      <c r="B66" s="126">
        <v>6</v>
      </c>
      <c r="C66" s="128">
        <v>0.002779822851840338</v>
      </c>
      <c r="D66" s="126" t="s">
        <v>982</v>
      </c>
      <c r="E66" s="126" t="b">
        <v>0</v>
      </c>
      <c r="F66" s="126" t="b">
        <v>0</v>
      </c>
      <c r="G66" s="126" t="b">
        <v>0</v>
      </c>
    </row>
    <row r="67" spans="1:7" ht="15">
      <c r="A67" s="126" t="s">
        <v>772</v>
      </c>
      <c r="B67" s="126">
        <v>6</v>
      </c>
      <c r="C67" s="128">
        <v>0.0029815585105604013</v>
      </c>
      <c r="D67" s="126" t="s">
        <v>982</v>
      </c>
      <c r="E67" s="126" t="b">
        <v>0</v>
      </c>
      <c r="F67" s="126" t="b">
        <v>0</v>
      </c>
      <c r="G67" s="126" t="b">
        <v>0</v>
      </c>
    </row>
    <row r="68" spans="1:7" ht="15">
      <c r="A68" s="126" t="s">
        <v>773</v>
      </c>
      <c r="B68" s="126">
        <v>6</v>
      </c>
      <c r="C68" s="128">
        <v>0.0029815585105604013</v>
      </c>
      <c r="D68" s="126" t="s">
        <v>982</v>
      </c>
      <c r="E68" s="126" t="b">
        <v>0</v>
      </c>
      <c r="F68" s="126" t="b">
        <v>0</v>
      </c>
      <c r="G68" s="126" t="b">
        <v>0</v>
      </c>
    </row>
    <row r="69" spans="1:7" ht="15">
      <c r="A69" s="126" t="s">
        <v>774</v>
      </c>
      <c r="B69" s="126">
        <v>6</v>
      </c>
      <c r="C69" s="128">
        <v>0.0047623738082317865</v>
      </c>
      <c r="D69" s="126" t="s">
        <v>982</v>
      </c>
      <c r="E69" s="126" t="b">
        <v>0</v>
      </c>
      <c r="F69" s="126" t="b">
        <v>0</v>
      </c>
      <c r="G69" s="126" t="b">
        <v>0</v>
      </c>
    </row>
    <row r="70" spans="1:7" ht="15">
      <c r="A70" s="126" t="s">
        <v>775</v>
      </c>
      <c r="B70" s="126">
        <v>6</v>
      </c>
      <c r="C70" s="128">
        <v>0.0047623738082317865</v>
      </c>
      <c r="D70" s="126" t="s">
        <v>982</v>
      </c>
      <c r="E70" s="126" t="b">
        <v>0</v>
      </c>
      <c r="F70" s="126" t="b">
        <v>1</v>
      </c>
      <c r="G70" s="126" t="b">
        <v>0</v>
      </c>
    </row>
    <row r="71" spans="1:7" ht="15">
      <c r="A71" s="126" t="s">
        <v>776</v>
      </c>
      <c r="B71" s="126">
        <v>6</v>
      </c>
      <c r="C71" s="128">
        <v>0.003995418405266229</v>
      </c>
      <c r="D71" s="126" t="s">
        <v>982</v>
      </c>
      <c r="E71" s="126" t="b">
        <v>0</v>
      </c>
      <c r="F71" s="126" t="b">
        <v>0</v>
      </c>
      <c r="G71" s="126" t="b">
        <v>0</v>
      </c>
    </row>
    <row r="72" spans="1:7" ht="15">
      <c r="A72" s="126" t="s">
        <v>777</v>
      </c>
      <c r="B72" s="126">
        <v>6</v>
      </c>
      <c r="C72" s="128">
        <v>0.003995418405266229</v>
      </c>
      <c r="D72" s="126" t="s">
        <v>982</v>
      </c>
      <c r="E72" s="126" t="b">
        <v>0</v>
      </c>
      <c r="F72" s="126" t="b">
        <v>0</v>
      </c>
      <c r="G72" s="126" t="b">
        <v>0</v>
      </c>
    </row>
    <row r="73" spans="1:7" ht="15">
      <c r="A73" s="126" t="s">
        <v>778</v>
      </c>
      <c r="B73" s="126">
        <v>6</v>
      </c>
      <c r="C73" s="128">
        <v>0.003546778254805895</v>
      </c>
      <c r="D73" s="126" t="s">
        <v>982</v>
      </c>
      <c r="E73" s="126" t="b">
        <v>0</v>
      </c>
      <c r="F73" s="126" t="b">
        <v>0</v>
      </c>
      <c r="G73" s="126" t="b">
        <v>0</v>
      </c>
    </row>
    <row r="74" spans="1:7" ht="15">
      <c r="A74" s="126" t="s">
        <v>779</v>
      </c>
      <c r="B74" s="126">
        <v>5</v>
      </c>
      <c r="C74" s="128">
        <v>0.0024846320921336675</v>
      </c>
      <c r="D74" s="126" t="s">
        <v>982</v>
      </c>
      <c r="E74" s="126" t="b">
        <v>0</v>
      </c>
      <c r="F74" s="126" t="b">
        <v>0</v>
      </c>
      <c r="G74" s="126" t="b">
        <v>0</v>
      </c>
    </row>
    <row r="75" spans="1:7" ht="15">
      <c r="A75" s="126" t="s">
        <v>780</v>
      </c>
      <c r="B75" s="126">
        <v>5</v>
      </c>
      <c r="C75" s="128">
        <v>0.0024846320921336675</v>
      </c>
      <c r="D75" s="126" t="s">
        <v>982</v>
      </c>
      <c r="E75" s="126" t="b">
        <v>0</v>
      </c>
      <c r="F75" s="126" t="b">
        <v>0</v>
      </c>
      <c r="G75" s="126" t="b">
        <v>0</v>
      </c>
    </row>
    <row r="76" spans="1:7" ht="15">
      <c r="A76" s="126" t="s">
        <v>781</v>
      </c>
      <c r="B76" s="126">
        <v>5</v>
      </c>
      <c r="C76" s="128">
        <v>0.0024846320921336675</v>
      </c>
      <c r="D76" s="126" t="s">
        <v>982</v>
      </c>
      <c r="E76" s="126" t="b">
        <v>0</v>
      </c>
      <c r="F76" s="126" t="b">
        <v>0</v>
      </c>
      <c r="G76" s="126" t="b">
        <v>0</v>
      </c>
    </row>
    <row r="77" spans="1:7" ht="15">
      <c r="A77" s="126" t="s">
        <v>782</v>
      </c>
      <c r="B77" s="126">
        <v>5</v>
      </c>
      <c r="C77" s="128">
        <v>0.002955648545671579</v>
      </c>
      <c r="D77" s="126" t="s">
        <v>982</v>
      </c>
      <c r="E77" s="126" t="b">
        <v>0</v>
      </c>
      <c r="F77" s="126" t="b">
        <v>0</v>
      </c>
      <c r="G77" s="126" t="b">
        <v>0</v>
      </c>
    </row>
    <row r="78" spans="1:7" ht="15">
      <c r="A78" s="126" t="s">
        <v>783</v>
      </c>
      <c r="B78" s="126">
        <v>5</v>
      </c>
      <c r="C78" s="128">
        <v>0.0024846320921336675</v>
      </c>
      <c r="D78" s="126" t="s">
        <v>982</v>
      </c>
      <c r="E78" s="126" t="b">
        <v>0</v>
      </c>
      <c r="F78" s="126" t="b">
        <v>0</v>
      </c>
      <c r="G78" s="126" t="b">
        <v>0</v>
      </c>
    </row>
    <row r="79" spans="1:7" ht="15">
      <c r="A79" s="126" t="s">
        <v>784</v>
      </c>
      <c r="B79" s="126">
        <v>5</v>
      </c>
      <c r="C79" s="128">
        <v>0.0024846320921336675</v>
      </c>
      <c r="D79" s="126" t="s">
        <v>982</v>
      </c>
      <c r="E79" s="126" t="b">
        <v>0</v>
      </c>
      <c r="F79" s="126" t="b">
        <v>0</v>
      </c>
      <c r="G79" s="126" t="b">
        <v>0</v>
      </c>
    </row>
    <row r="80" spans="1:7" ht="15">
      <c r="A80" s="126" t="s">
        <v>785</v>
      </c>
      <c r="B80" s="126">
        <v>5</v>
      </c>
      <c r="C80" s="128">
        <v>0.003968644840193156</v>
      </c>
      <c r="D80" s="126" t="s">
        <v>982</v>
      </c>
      <c r="E80" s="126" t="b">
        <v>0</v>
      </c>
      <c r="F80" s="126" t="b">
        <v>0</v>
      </c>
      <c r="G80" s="126" t="b">
        <v>0</v>
      </c>
    </row>
    <row r="81" spans="1:7" ht="15">
      <c r="A81" s="126" t="s">
        <v>786</v>
      </c>
      <c r="B81" s="126">
        <v>5</v>
      </c>
      <c r="C81" s="128">
        <v>0.0024846320921336675</v>
      </c>
      <c r="D81" s="126" t="s">
        <v>982</v>
      </c>
      <c r="E81" s="126" t="b">
        <v>0</v>
      </c>
      <c r="F81" s="126" t="b">
        <v>1</v>
      </c>
      <c r="G81" s="126" t="b">
        <v>0</v>
      </c>
    </row>
    <row r="82" spans="1:7" ht="15">
      <c r="A82" s="126" t="s">
        <v>787</v>
      </c>
      <c r="B82" s="126">
        <v>5</v>
      </c>
      <c r="C82" s="128">
        <v>0.002955648545671579</v>
      </c>
      <c r="D82" s="126" t="s">
        <v>982</v>
      </c>
      <c r="E82" s="126" t="b">
        <v>0</v>
      </c>
      <c r="F82" s="126" t="b">
        <v>0</v>
      </c>
      <c r="G82" s="126" t="b">
        <v>0</v>
      </c>
    </row>
    <row r="83" spans="1:7" ht="15">
      <c r="A83" s="126" t="s">
        <v>788</v>
      </c>
      <c r="B83" s="126">
        <v>5</v>
      </c>
      <c r="C83" s="128">
        <v>0.0033295153377218578</v>
      </c>
      <c r="D83" s="126" t="s">
        <v>982</v>
      </c>
      <c r="E83" s="126" t="b">
        <v>0</v>
      </c>
      <c r="F83" s="126" t="b">
        <v>0</v>
      </c>
      <c r="G83" s="126" t="b">
        <v>0</v>
      </c>
    </row>
    <row r="84" spans="1:7" ht="15">
      <c r="A84" s="126" t="s">
        <v>789</v>
      </c>
      <c r="B84" s="126">
        <v>5</v>
      </c>
      <c r="C84" s="128">
        <v>0.002955648545671579</v>
      </c>
      <c r="D84" s="126" t="s">
        <v>982</v>
      </c>
      <c r="E84" s="126" t="b">
        <v>0</v>
      </c>
      <c r="F84" s="126" t="b">
        <v>0</v>
      </c>
      <c r="G84" s="126" t="b">
        <v>0</v>
      </c>
    </row>
    <row r="85" spans="1:7" ht="15">
      <c r="A85" s="126" t="s">
        <v>790</v>
      </c>
      <c r="B85" s="126">
        <v>5</v>
      </c>
      <c r="C85" s="128">
        <v>0.0026903858352505597</v>
      </c>
      <c r="D85" s="126" t="s">
        <v>982</v>
      </c>
      <c r="E85" s="126" t="b">
        <v>0</v>
      </c>
      <c r="F85" s="126" t="b">
        <v>0</v>
      </c>
      <c r="G85" s="126" t="b">
        <v>0</v>
      </c>
    </row>
    <row r="86" spans="1:7" ht="15">
      <c r="A86" s="126" t="s">
        <v>791</v>
      </c>
      <c r="B86" s="126">
        <v>5</v>
      </c>
      <c r="C86" s="128">
        <v>0.0024846320921336675</v>
      </c>
      <c r="D86" s="126" t="s">
        <v>982</v>
      </c>
      <c r="E86" s="126" t="b">
        <v>0</v>
      </c>
      <c r="F86" s="126" t="b">
        <v>0</v>
      </c>
      <c r="G86" s="126" t="b">
        <v>0</v>
      </c>
    </row>
    <row r="87" spans="1:7" ht="15">
      <c r="A87" s="126" t="s">
        <v>792</v>
      </c>
      <c r="B87" s="126">
        <v>5</v>
      </c>
      <c r="C87" s="128">
        <v>0.0026903858352505597</v>
      </c>
      <c r="D87" s="126" t="s">
        <v>982</v>
      </c>
      <c r="E87" s="126" t="b">
        <v>0</v>
      </c>
      <c r="F87" s="126" t="b">
        <v>0</v>
      </c>
      <c r="G87" s="126" t="b">
        <v>0</v>
      </c>
    </row>
    <row r="88" spans="1:7" ht="15">
      <c r="A88" s="126" t="s">
        <v>793</v>
      </c>
      <c r="B88" s="126">
        <v>4</v>
      </c>
      <c r="C88" s="128">
        <v>0.0026636122701774864</v>
      </c>
      <c r="D88" s="126" t="s">
        <v>982</v>
      </c>
      <c r="E88" s="126" t="b">
        <v>1</v>
      </c>
      <c r="F88" s="126" t="b">
        <v>0</v>
      </c>
      <c r="G88" s="126" t="b">
        <v>0</v>
      </c>
    </row>
    <row r="89" spans="1:7" ht="15">
      <c r="A89" s="126" t="s">
        <v>794</v>
      </c>
      <c r="B89" s="126">
        <v>4</v>
      </c>
      <c r="C89" s="128">
        <v>0.002152308668200448</v>
      </c>
      <c r="D89" s="126" t="s">
        <v>982</v>
      </c>
      <c r="E89" s="126" t="b">
        <v>0</v>
      </c>
      <c r="F89" s="126" t="b">
        <v>0</v>
      </c>
      <c r="G89" s="126" t="b">
        <v>0</v>
      </c>
    </row>
    <row r="90" spans="1:7" ht="15">
      <c r="A90" s="126" t="s">
        <v>795</v>
      </c>
      <c r="B90" s="126">
        <v>4</v>
      </c>
      <c r="C90" s="128">
        <v>0.0023645188365372634</v>
      </c>
      <c r="D90" s="126" t="s">
        <v>982</v>
      </c>
      <c r="E90" s="126" t="b">
        <v>0</v>
      </c>
      <c r="F90" s="126" t="b">
        <v>0</v>
      </c>
      <c r="G90" s="126" t="b">
        <v>0</v>
      </c>
    </row>
    <row r="91" spans="1:7" ht="15">
      <c r="A91" s="126" t="s">
        <v>796</v>
      </c>
      <c r="B91" s="126">
        <v>4</v>
      </c>
      <c r="C91" s="128">
        <v>0.0031749158721545243</v>
      </c>
      <c r="D91" s="126" t="s">
        <v>982</v>
      </c>
      <c r="E91" s="126" t="b">
        <v>0</v>
      </c>
      <c r="F91" s="126" t="b">
        <v>0</v>
      </c>
      <c r="G91" s="126" t="b">
        <v>0</v>
      </c>
    </row>
    <row r="92" spans="1:7" ht="15">
      <c r="A92" s="126" t="s">
        <v>797</v>
      </c>
      <c r="B92" s="126">
        <v>4</v>
      </c>
      <c r="C92" s="128">
        <v>0.002152308668200448</v>
      </c>
      <c r="D92" s="126" t="s">
        <v>982</v>
      </c>
      <c r="E92" s="126" t="b">
        <v>0</v>
      </c>
      <c r="F92" s="126" t="b">
        <v>0</v>
      </c>
      <c r="G92" s="126" t="b">
        <v>0</v>
      </c>
    </row>
    <row r="93" spans="1:7" ht="15">
      <c r="A93" s="126" t="s">
        <v>798</v>
      </c>
      <c r="B93" s="126">
        <v>4</v>
      </c>
      <c r="C93" s="128">
        <v>0.0026636122701774864</v>
      </c>
      <c r="D93" s="126" t="s">
        <v>982</v>
      </c>
      <c r="E93" s="126" t="b">
        <v>0</v>
      </c>
      <c r="F93" s="126" t="b">
        <v>0</v>
      </c>
      <c r="G93" s="126" t="b">
        <v>0</v>
      </c>
    </row>
    <row r="94" spans="1:7" ht="15">
      <c r="A94" s="126" t="s">
        <v>799</v>
      </c>
      <c r="B94" s="126">
        <v>4</v>
      </c>
      <c r="C94" s="128">
        <v>0.0026636122701774864</v>
      </c>
      <c r="D94" s="126" t="s">
        <v>982</v>
      </c>
      <c r="E94" s="126" t="b">
        <v>0</v>
      </c>
      <c r="F94" s="126" t="b">
        <v>0</v>
      </c>
      <c r="G94" s="126" t="b">
        <v>0</v>
      </c>
    </row>
    <row r="95" spans="1:7" ht="15">
      <c r="A95" s="126" t="s">
        <v>800</v>
      </c>
      <c r="B95" s="126">
        <v>4</v>
      </c>
      <c r="C95" s="128">
        <v>0.002152308668200448</v>
      </c>
      <c r="D95" s="126" t="s">
        <v>982</v>
      </c>
      <c r="E95" s="126" t="b">
        <v>0</v>
      </c>
      <c r="F95" s="126" t="b">
        <v>0</v>
      </c>
      <c r="G95" s="126" t="b">
        <v>0</v>
      </c>
    </row>
    <row r="96" spans="1:7" ht="15">
      <c r="A96" s="126" t="s">
        <v>801</v>
      </c>
      <c r="B96" s="126">
        <v>4</v>
      </c>
      <c r="C96" s="128">
        <v>0.002152308668200448</v>
      </c>
      <c r="D96" s="126" t="s">
        <v>982</v>
      </c>
      <c r="E96" s="126" t="b">
        <v>0</v>
      </c>
      <c r="F96" s="126" t="b">
        <v>0</v>
      </c>
      <c r="G96" s="126" t="b">
        <v>0</v>
      </c>
    </row>
    <row r="97" spans="1:7" ht="15">
      <c r="A97" s="126" t="s">
        <v>802</v>
      </c>
      <c r="B97" s="126">
        <v>4</v>
      </c>
      <c r="C97" s="128">
        <v>0.002152308668200448</v>
      </c>
      <c r="D97" s="126" t="s">
        <v>982</v>
      </c>
      <c r="E97" s="126" t="b">
        <v>0</v>
      </c>
      <c r="F97" s="126" t="b">
        <v>1</v>
      </c>
      <c r="G97" s="126" t="b">
        <v>0</v>
      </c>
    </row>
    <row r="98" spans="1:7" ht="15">
      <c r="A98" s="126" t="s">
        <v>803</v>
      </c>
      <c r="B98" s="126">
        <v>4</v>
      </c>
      <c r="C98" s="128">
        <v>0.002152308668200448</v>
      </c>
      <c r="D98" s="126" t="s">
        <v>982</v>
      </c>
      <c r="E98" s="126" t="b">
        <v>0</v>
      </c>
      <c r="F98" s="126" t="b">
        <v>0</v>
      </c>
      <c r="G98" s="126" t="b">
        <v>0</v>
      </c>
    </row>
    <row r="99" spans="1:7" ht="15">
      <c r="A99" s="126" t="s">
        <v>804</v>
      </c>
      <c r="B99" s="126">
        <v>4</v>
      </c>
      <c r="C99" s="128">
        <v>0.002152308668200448</v>
      </c>
      <c r="D99" s="126" t="s">
        <v>982</v>
      </c>
      <c r="E99" s="126" t="b">
        <v>0</v>
      </c>
      <c r="F99" s="126" t="b">
        <v>0</v>
      </c>
      <c r="G99" s="126" t="b">
        <v>0</v>
      </c>
    </row>
    <row r="100" spans="1:7" ht="15">
      <c r="A100" s="126" t="s">
        <v>805</v>
      </c>
      <c r="B100" s="126">
        <v>4</v>
      </c>
      <c r="C100" s="128">
        <v>0.002152308668200448</v>
      </c>
      <c r="D100" s="126" t="s">
        <v>982</v>
      </c>
      <c r="E100" s="126" t="b">
        <v>0</v>
      </c>
      <c r="F100" s="126" t="b">
        <v>0</v>
      </c>
      <c r="G100" s="126" t="b">
        <v>0</v>
      </c>
    </row>
    <row r="101" spans="1:7" ht="15">
      <c r="A101" s="126" t="s">
        <v>806</v>
      </c>
      <c r="B101" s="126">
        <v>4</v>
      </c>
      <c r="C101" s="128">
        <v>0.002152308668200448</v>
      </c>
      <c r="D101" s="126" t="s">
        <v>982</v>
      </c>
      <c r="E101" s="126" t="b">
        <v>0</v>
      </c>
      <c r="F101" s="126" t="b">
        <v>0</v>
      </c>
      <c r="G101" s="126" t="b">
        <v>0</v>
      </c>
    </row>
    <row r="102" spans="1:7" ht="15">
      <c r="A102" s="126" t="s">
        <v>807</v>
      </c>
      <c r="B102" s="126">
        <v>4</v>
      </c>
      <c r="C102" s="128">
        <v>0.002152308668200448</v>
      </c>
      <c r="D102" s="126" t="s">
        <v>982</v>
      </c>
      <c r="E102" s="126" t="b">
        <v>0</v>
      </c>
      <c r="F102" s="126" t="b">
        <v>0</v>
      </c>
      <c r="G102" s="126" t="b">
        <v>0</v>
      </c>
    </row>
    <row r="103" spans="1:7" ht="15">
      <c r="A103" s="126" t="s">
        <v>808</v>
      </c>
      <c r="B103" s="126">
        <v>4</v>
      </c>
      <c r="C103" s="128">
        <v>0.002152308668200448</v>
      </c>
      <c r="D103" s="126" t="s">
        <v>982</v>
      </c>
      <c r="E103" s="126" t="b">
        <v>0</v>
      </c>
      <c r="F103" s="126" t="b">
        <v>0</v>
      </c>
      <c r="G103" s="126" t="b">
        <v>0</v>
      </c>
    </row>
    <row r="104" spans="1:7" ht="15">
      <c r="A104" s="126" t="s">
        <v>809</v>
      </c>
      <c r="B104" s="126">
        <v>4</v>
      </c>
      <c r="C104" s="128">
        <v>0.002152308668200448</v>
      </c>
      <c r="D104" s="126" t="s">
        <v>982</v>
      </c>
      <c r="E104" s="126" t="b">
        <v>0</v>
      </c>
      <c r="F104" s="126" t="b">
        <v>0</v>
      </c>
      <c r="G104" s="126" t="b">
        <v>0</v>
      </c>
    </row>
    <row r="105" spans="1:7" ht="15">
      <c r="A105" s="126" t="s">
        <v>810</v>
      </c>
      <c r="B105" s="126">
        <v>4</v>
      </c>
      <c r="C105" s="128">
        <v>0.002152308668200448</v>
      </c>
      <c r="D105" s="126" t="s">
        <v>982</v>
      </c>
      <c r="E105" s="126" t="b">
        <v>0</v>
      </c>
      <c r="F105" s="126" t="b">
        <v>0</v>
      </c>
      <c r="G105" s="126" t="b">
        <v>0</v>
      </c>
    </row>
    <row r="106" spans="1:7" ht="15">
      <c r="A106" s="126" t="s">
        <v>811</v>
      </c>
      <c r="B106" s="126">
        <v>4</v>
      </c>
      <c r="C106" s="128">
        <v>0.002152308668200448</v>
      </c>
      <c r="D106" s="126" t="s">
        <v>982</v>
      </c>
      <c r="E106" s="126" t="b">
        <v>0</v>
      </c>
      <c r="F106" s="126" t="b">
        <v>0</v>
      </c>
      <c r="G106" s="126" t="b">
        <v>0</v>
      </c>
    </row>
    <row r="107" spans="1:7" ht="15">
      <c r="A107" s="126" t="s">
        <v>812</v>
      </c>
      <c r="B107" s="126">
        <v>4</v>
      </c>
      <c r="C107" s="128">
        <v>0.002152308668200448</v>
      </c>
      <c r="D107" s="126" t="s">
        <v>982</v>
      </c>
      <c r="E107" s="126" t="b">
        <v>0</v>
      </c>
      <c r="F107" s="126" t="b">
        <v>0</v>
      </c>
      <c r="G107" s="126" t="b">
        <v>0</v>
      </c>
    </row>
    <row r="108" spans="1:7" ht="15">
      <c r="A108" s="126" t="s">
        <v>813</v>
      </c>
      <c r="B108" s="126">
        <v>4</v>
      </c>
      <c r="C108" s="128">
        <v>0.002152308668200448</v>
      </c>
      <c r="D108" s="126" t="s">
        <v>982</v>
      </c>
      <c r="E108" s="126" t="b">
        <v>0</v>
      </c>
      <c r="F108" s="126" t="b">
        <v>0</v>
      </c>
      <c r="G108" s="126" t="b">
        <v>0</v>
      </c>
    </row>
    <row r="109" spans="1:7" ht="15">
      <c r="A109" s="126" t="s">
        <v>814</v>
      </c>
      <c r="B109" s="126">
        <v>4</v>
      </c>
      <c r="C109" s="128">
        <v>0.002152308668200448</v>
      </c>
      <c r="D109" s="126" t="s">
        <v>982</v>
      </c>
      <c r="E109" s="126" t="b">
        <v>0</v>
      </c>
      <c r="F109" s="126" t="b">
        <v>0</v>
      </c>
      <c r="G109" s="126" t="b">
        <v>0</v>
      </c>
    </row>
    <row r="110" spans="1:7" ht="15">
      <c r="A110" s="126" t="s">
        <v>815</v>
      </c>
      <c r="B110" s="126">
        <v>4</v>
      </c>
      <c r="C110" s="128">
        <v>0.002152308668200448</v>
      </c>
      <c r="D110" s="126" t="s">
        <v>982</v>
      </c>
      <c r="E110" s="126" t="b">
        <v>0</v>
      </c>
      <c r="F110" s="126" t="b">
        <v>0</v>
      </c>
      <c r="G110" s="126" t="b">
        <v>0</v>
      </c>
    </row>
    <row r="111" spans="1:7" ht="15">
      <c r="A111" s="126" t="s">
        <v>816</v>
      </c>
      <c r="B111" s="126">
        <v>4</v>
      </c>
      <c r="C111" s="128">
        <v>0.002152308668200448</v>
      </c>
      <c r="D111" s="126" t="s">
        <v>982</v>
      </c>
      <c r="E111" s="126" t="b">
        <v>0</v>
      </c>
      <c r="F111" s="126" t="b">
        <v>0</v>
      </c>
      <c r="G111" s="126" t="b">
        <v>0</v>
      </c>
    </row>
    <row r="112" spans="1:7" ht="15">
      <c r="A112" s="126" t="s">
        <v>817</v>
      </c>
      <c r="B112" s="126">
        <v>4</v>
      </c>
      <c r="C112" s="128">
        <v>0.002152308668200448</v>
      </c>
      <c r="D112" s="126" t="s">
        <v>982</v>
      </c>
      <c r="E112" s="126" t="b">
        <v>0</v>
      </c>
      <c r="F112" s="126" t="b">
        <v>0</v>
      </c>
      <c r="G112" s="126" t="b">
        <v>0</v>
      </c>
    </row>
    <row r="113" spans="1:7" ht="15">
      <c r="A113" s="126" t="s">
        <v>818</v>
      </c>
      <c r="B113" s="126">
        <v>4</v>
      </c>
      <c r="C113" s="128">
        <v>0.0023645188365372634</v>
      </c>
      <c r="D113" s="126" t="s">
        <v>982</v>
      </c>
      <c r="E113" s="126" t="b">
        <v>0</v>
      </c>
      <c r="F113" s="126" t="b">
        <v>1</v>
      </c>
      <c r="G113" s="126" t="b">
        <v>0</v>
      </c>
    </row>
    <row r="114" spans="1:7" ht="15">
      <c r="A114" s="126" t="s">
        <v>819</v>
      </c>
      <c r="B114" s="126">
        <v>4</v>
      </c>
      <c r="C114" s="128">
        <v>0.0023645188365372634</v>
      </c>
      <c r="D114" s="126" t="s">
        <v>982</v>
      </c>
      <c r="E114" s="126" t="b">
        <v>0</v>
      </c>
      <c r="F114" s="126" t="b">
        <v>0</v>
      </c>
      <c r="G114" s="126" t="b">
        <v>0</v>
      </c>
    </row>
    <row r="115" spans="1:7" ht="15">
      <c r="A115" s="126" t="s">
        <v>820</v>
      </c>
      <c r="B115" s="126">
        <v>4</v>
      </c>
      <c r="C115" s="128">
        <v>0.0023645188365372634</v>
      </c>
      <c r="D115" s="126" t="s">
        <v>982</v>
      </c>
      <c r="E115" s="126" t="b">
        <v>0</v>
      </c>
      <c r="F115" s="126" t="b">
        <v>0</v>
      </c>
      <c r="G115" s="126" t="b">
        <v>0</v>
      </c>
    </row>
    <row r="116" spans="1:7" ht="15">
      <c r="A116" s="126" t="s">
        <v>821</v>
      </c>
      <c r="B116" s="126">
        <v>4</v>
      </c>
      <c r="C116" s="128">
        <v>0.0026636122701774864</v>
      </c>
      <c r="D116" s="126" t="s">
        <v>982</v>
      </c>
      <c r="E116" s="126" t="b">
        <v>0</v>
      </c>
      <c r="F116" s="126" t="b">
        <v>0</v>
      </c>
      <c r="G116" s="126" t="b">
        <v>0</v>
      </c>
    </row>
    <row r="117" spans="1:7" ht="15">
      <c r="A117" s="126" t="s">
        <v>822</v>
      </c>
      <c r="B117" s="126">
        <v>4</v>
      </c>
      <c r="C117" s="128">
        <v>0.0026636122701774864</v>
      </c>
      <c r="D117" s="126" t="s">
        <v>982</v>
      </c>
      <c r="E117" s="126" t="b">
        <v>0</v>
      </c>
      <c r="F117" s="126" t="b">
        <v>0</v>
      </c>
      <c r="G117" s="126" t="b">
        <v>0</v>
      </c>
    </row>
    <row r="118" spans="1:7" ht="15">
      <c r="A118" s="126" t="s">
        <v>823</v>
      </c>
      <c r="B118" s="126">
        <v>4</v>
      </c>
      <c r="C118" s="128">
        <v>0.0031749158721545243</v>
      </c>
      <c r="D118" s="126" t="s">
        <v>982</v>
      </c>
      <c r="E118" s="126" t="b">
        <v>0</v>
      </c>
      <c r="F118" s="126" t="b">
        <v>0</v>
      </c>
      <c r="G118" s="126" t="b">
        <v>0</v>
      </c>
    </row>
    <row r="119" spans="1:7" ht="15">
      <c r="A119" s="126" t="s">
        <v>824</v>
      </c>
      <c r="B119" s="126">
        <v>4</v>
      </c>
      <c r="C119" s="128">
        <v>0.0031749158721545243</v>
      </c>
      <c r="D119" s="126" t="s">
        <v>982</v>
      </c>
      <c r="E119" s="126" t="b">
        <v>0</v>
      </c>
      <c r="F119" s="126" t="b">
        <v>0</v>
      </c>
      <c r="G119" s="126" t="b">
        <v>0</v>
      </c>
    </row>
    <row r="120" spans="1:7" ht="15">
      <c r="A120" s="126" t="s">
        <v>825</v>
      </c>
      <c r="B120" s="126">
        <v>4</v>
      </c>
      <c r="C120" s="128">
        <v>0.0023645188365372634</v>
      </c>
      <c r="D120" s="126" t="s">
        <v>982</v>
      </c>
      <c r="E120" s="126" t="b">
        <v>0</v>
      </c>
      <c r="F120" s="126" t="b">
        <v>0</v>
      </c>
      <c r="G120" s="126" t="b">
        <v>0</v>
      </c>
    </row>
    <row r="121" spans="1:7" ht="15">
      <c r="A121" s="126" t="s">
        <v>826</v>
      </c>
      <c r="B121" s="126">
        <v>4</v>
      </c>
      <c r="C121" s="128">
        <v>0.002152308668200448</v>
      </c>
      <c r="D121" s="126" t="s">
        <v>982</v>
      </c>
      <c r="E121" s="126" t="b">
        <v>0</v>
      </c>
      <c r="F121" s="126" t="b">
        <v>0</v>
      </c>
      <c r="G121" s="126" t="b">
        <v>0</v>
      </c>
    </row>
    <row r="122" spans="1:7" ht="15">
      <c r="A122" s="126" t="s">
        <v>827</v>
      </c>
      <c r="B122" s="126">
        <v>4</v>
      </c>
      <c r="C122" s="128">
        <v>0.002152308668200448</v>
      </c>
      <c r="D122" s="126" t="s">
        <v>982</v>
      </c>
      <c r="E122" s="126" t="b">
        <v>0</v>
      </c>
      <c r="F122" s="126" t="b">
        <v>0</v>
      </c>
      <c r="G122" s="126" t="b">
        <v>0</v>
      </c>
    </row>
    <row r="123" spans="1:7" ht="15">
      <c r="A123" s="126" t="s">
        <v>828</v>
      </c>
      <c r="B123" s="126">
        <v>4</v>
      </c>
      <c r="C123" s="128">
        <v>0.0031749158721545243</v>
      </c>
      <c r="D123" s="126" t="s">
        <v>982</v>
      </c>
      <c r="E123" s="126" t="b">
        <v>0</v>
      </c>
      <c r="F123" s="126" t="b">
        <v>0</v>
      </c>
      <c r="G123" s="126" t="b">
        <v>0</v>
      </c>
    </row>
    <row r="124" spans="1:7" ht="15">
      <c r="A124" s="126" t="s">
        <v>829</v>
      </c>
      <c r="B124" s="126">
        <v>4</v>
      </c>
      <c r="C124" s="128">
        <v>0.0031749158721545243</v>
      </c>
      <c r="D124" s="126" t="s">
        <v>982</v>
      </c>
      <c r="E124" s="126" t="b">
        <v>0</v>
      </c>
      <c r="F124" s="126" t="b">
        <v>0</v>
      </c>
      <c r="G124" s="126" t="b">
        <v>0</v>
      </c>
    </row>
    <row r="125" spans="1:7" ht="15">
      <c r="A125" s="126" t="s">
        <v>830</v>
      </c>
      <c r="B125" s="126">
        <v>4</v>
      </c>
      <c r="C125" s="128">
        <v>0.0031749158721545243</v>
      </c>
      <c r="D125" s="126" t="s">
        <v>982</v>
      </c>
      <c r="E125" s="126" t="b">
        <v>0</v>
      </c>
      <c r="F125" s="126" t="b">
        <v>0</v>
      </c>
      <c r="G125" s="126" t="b">
        <v>0</v>
      </c>
    </row>
    <row r="126" spans="1:7" ht="15">
      <c r="A126" s="126" t="s">
        <v>831</v>
      </c>
      <c r="B126" s="126">
        <v>4</v>
      </c>
      <c r="C126" s="128">
        <v>0.0031749158721545243</v>
      </c>
      <c r="D126" s="126" t="s">
        <v>982</v>
      </c>
      <c r="E126" s="126" t="b">
        <v>0</v>
      </c>
      <c r="F126" s="126" t="b">
        <v>0</v>
      </c>
      <c r="G126" s="126" t="b">
        <v>0</v>
      </c>
    </row>
    <row r="127" spans="1:7" ht="15">
      <c r="A127" s="126" t="s">
        <v>832</v>
      </c>
      <c r="B127" s="126">
        <v>4</v>
      </c>
      <c r="C127" s="128">
        <v>0.0031749158721545243</v>
      </c>
      <c r="D127" s="126" t="s">
        <v>982</v>
      </c>
      <c r="E127" s="126" t="b">
        <v>0</v>
      </c>
      <c r="F127" s="126" t="b">
        <v>0</v>
      </c>
      <c r="G127" s="126" t="b">
        <v>0</v>
      </c>
    </row>
    <row r="128" spans="1:7" ht="15">
      <c r="A128" s="126" t="s">
        <v>833</v>
      </c>
      <c r="B128" s="126">
        <v>3</v>
      </c>
      <c r="C128" s="128">
        <v>0.0017733891274029476</v>
      </c>
      <c r="D128" s="126" t="s">
        <v>982</v>
      </c>
      <c r="E128" s="126" t="b">
        <v>0</v>
      </c>
      <c r="F128" s="126" t="b">
        <v>0</v>
      </c>
      <c r="G128" s="126" t="b">
        <v>0</v>
      </c>
    </row>
    <row r="129" spans="1:7" ht="15">
      <c r="A129" s="126" t="s">
        <v>834</v>
      </c>
      <c r="B129" s="126">
        <v>3</v>
      </c>
      <c r="C129" s="128">
        <v>0.0023811869041158932</v>
      </c>
      <c r="D129" s="126" t="s">
        <v>982</v>
      </c>
      <c r="E129" s="126" t="b">
        <v>0</v>
      </c>
      <c r="F129" s="126" t="b">
        <v>0</v>
      </c>
      <c r="G129" s="126" t="b">
        <v>0</v>
      </c>
    </row>
    <row r="130" spans="1:7" ht="15">
      <c r="A130" s="126" t="s">
        <v>835</v>
      </c>
      <c r="B130" s="126">
        <v>3</v>
      </c>
      <c r="C130" s="128">
        <v>0.0023811869041158932</v>
      </c>
      <c r="D130" s="126" t="s">
        <v>982</v>
      </c>
      <c r="E130" s="126" t="b">
        <v>0</v>
      </c>
      <c r="F130" s="126" t="b">
        <v>0</v>
      </c>
      <c r="G130" s="126" t="b">
        <v>0</v>
      </c>
    </row>
    <row r="131" spans="1:7" ht="15">
      <c r="A131" s="126" t="s">
        <v>836</v>
      </c>
      <c r="B131" s="126">
        <v>3</v>
      </c>
      <c r="C131" s="128">
        <v>0.0023811869041158932</v>
      </c>
      <c r="D131" s="126" t="s">
        <v>982</v>
      </c>
      <c r="E131" s="126" t="b">
        <v>0</v>
      </c>
      <c r="F131" s="126" t="b">
        <v>0</v>
      </c>
      <c r="G131" s="126" t="b">
        <v>0</v>
      </c>
    </row>
    <row r="132" spans="1:7" ht="15">
      <c r="A132" s="126" t="s">
        <v>837</v>
      </c>
      <c r="B132" s="126">
        <v>3</v>
      </c>
      <c r="C132" s="128">
        <v>0.0017733891274029476</v>
      </c>
      <c r="D132" s="126" t="s">
        <v>982</v>
      </c>
      <c r="E132" s="126" t="b">
        <v>1</v>
      </c>
      <c r="F132" s="126" t="b">
        <v>0</v>
      </c>
      <c r="G132" s="126" t="b">
        <v>0</v>
      </c>
    </row>
    <row r="133" spans="1:7" ht="15">
      <c r="A133" s="126" t="s">
        <v>838</v>
      </c>
      <c r="B133" s="126">
        <v>3</v>
      </c>
      <c r="C133" s="128">
        <v>0.0023811869041158932</v>
      </c>
      <c r="D133" s="126" t="s">
        <v>982</v>
      </c>
      <c r="E133" s="126" t="b">
        <v>0</v>
      </c>
      <c r="F133" s="126" t="b">
        <v>0</v>
      </c>
      <c r="G133" s="126" t="b">
        <v>0</v>
      </c>
    </row>
    <row r="134" spans="1:7" ht="15">
      <c r="A134" s="126" t="s">
        <v>839</v>
      </c>
      <c r="B134" s="126">
        <v>3</v>
      </c>
      <c r="C134" s="128">
        <v>0.0019977092026331146</v>
      </c>
      <c r="D134" s="126" t="s">
        <v>982</v>
      </c>
      <c r="E134" s="126" t="b">
        <v>0</v>
      </c>
      <c r="F134" s="126" t="b">
        <v>0</v>
      </c>
      <c r="G134" s="126" t="b">
        <v>0</v>
      </c>
    </row>
    <row r="135" spans="1:7" ht="15">
      <c r="A135" s="126" t="s">
        <v>840</v>
      </c>
      <c r="B135" s="126">
        <v>3</v>
      </c>
      <c r="C135" s="128">
        <v>0.0019977092026331146</v>
      </c>
      <c r="D135" s="126" t="s">
        <v>982</v>
      </c>
      <c r="E135" s="126" t="b">
        <v>0</v>
      </c>
      <c r="F135" s="126" t="b">
        <v>0</v>
      </c>
      <c r="G135" s="126" t="b">
        <v>0</v>
      </c>
    </row>
    <row r="136" spans="1:7" ht="15">
      <c r="A136" s="126" t="s">
        <v>841</v>
      </c>
      <c r="B136" s="126">
        <v>3</v>
      </c>
      <c r="C136" s="128">
        <v>0.0019977092026331146</v>
      </c>
      <c r="D136" s="126" t="s">
        <v>982</v>
      </c>
      <c r="E136" s="126" t="b">
        <v>0</v>
      </c>
      <c r="F136" s="126" t="b">
        <v>0</v>
      </c>
      <c r="G136" s="126" t="b">
        <v>0</v>
      </c>
    </row>
    <row r="137" spans="1:7" ht="15">
      <c r="A137" s="126" t="s">
        <v>842</v>
      </c>
      <c r="B137" s="126">
        <v>3</v>
      </c>
      <c r="C137" s="128">
        <v>0.0019977092026331146</v>
      </c>
      <c r="D137" s="126" t="s">
        <v>982</v>
      </c>
      <c r="E137" s="126" t="b">
        <v>0</v>
      </c>
      <c r="F137" s="126" t="b">
        <v>0</v>
      </c>
      <c r="G137" s="126" t="b">
        <v>0</v>
      </c>
    </row>
    <row r="138" spans="1:7" ht="15">
      <c r="A138" s="126" t="s">
        <v>843</v>
      </c>
      <c r="B138" s="126">
        <v>3</v>
      </c>
      <c r="C138" s="128">
        <v>0.0019977092026331146</v>
      </c>
      <c r="D138" s="126" t="s">
        <v>982</v>
      </c>
      <c r="E138" s="126" t="b">
        <v>0</v>
      </c>
      <c r="F138" s="126" t="b">
        <v>0</v>
      </c>
      <c r="G138" s="126" t="b">
        <v>0</v>
      </c>
    </row>
    <row r="139" spans="1:7" ht="15">
      <c r="A139" s="126" t="s">
        <v>844</v>
      </c>
      <c r="B139" s="126">
        <v>3</v>
      </c>
      <c r="C139" s="128">
        <v>0.0019977092026331146</v>
      </c>
      <c r="D139" s="126" t="s">
        <v>982</v>
      </c>
      <c r="E139" s="126" t="b">
        <v>0</v>
      </c>
      <c r="F139" s="126" t="b">
        <v>0</v>
      </c>
      <c r="G139" s="126" t="b">
        <v>0</v>
      </c>
    </row>
    <row r="140" spans="1:7" ht="15">
      <c r="A140" s="126" t="s">
        <v>845</v>
      </c>
      <c r="B140" s="126">
        <v>3</v>
      </c>
      <c r="C140" s="128">
        <v>0.0017733891274029476</v>
      </c>
      <c r="D140" s="126" t="s">
        <v>982</v>
      </c>
      <c r="E140" s="126" t="b">
        <v>0</v>
      </c>
      <c r="F140" s="126" t="b">
        <v>0</v>
      </c>
      <c r="G140" s="126" t="b">
        <v>0</v>
      </c>
    </row>
    <row r="141" spans="1:7" ht="15">
      <c r="A141" s="126" t="s">
        <v>846</v>
      </c>
      <c r="B141" s="126">
        <v>3</v>
      </c>
      <c r="C141" s="128">
        <v>0.0017733891274029476</v>
      </c>
      <c r="D141" s="126" t="s">
        <v>982</v>
      </c>
      <c r="E141" s="126" t="b">
        <v>0</v>
      </c>
      <c r="F141" s="126" t="b">
        <v>0</v>
      </c>
      <c r="G141" s="126" t="b">
        <v>0</v>
      </c>
    </row>
    <row r="142" spans="1:7" ht="15">
      <c r="A142" s="126" t="s">
        <v>847</v>
      </c>
      <c r="B142" s="126">
        <v>3</v>
      </c>
      <c r="C142" s="128">
        <v>0.0023811869041158932</v>
      </c>
      <c r="D142" s="126" t="s">
        <v>982</v>
      </c>
      <c r="E142" s="126" t="b">
        <v>0</v>
      </c>
      <c r="F142" s="126" t="b">
        <v>0</v>
      </c>
      <c r="G142" s="126" t="b">
        <v>0</v>
      </c>
    </row>
    <row r="143" spans="1:7" ht="15">
      <c r="A143" s="126" t="s">
        <v>848</v>
      </c>
      <c r="B143" s="126">
        <v>3</v>
      </c>
      <c r="C143" s="128">
        <v>0.0019977092026331146</v>
      </c>
      <c r="D143" s="126" t="s">
        <v>982</v>
      </c>
      <c r="E143" s="126" t="b">
        <v>0</v>
      </c>
      <c r="F143" s="126" t="b">
        <v>0</v>
      </c>
      <c r="G143" s="126" t="b">
        <v>0</v>
      </c>
    </row>
    <row r="144" spans="1:7" ht="15">
      <c r="A144" s="126" t="s">
        <v>849</v>
      </c>
      <c r="B144" s="126">
        <v>3</v>
      </c>
      <c r="C144" s="128">
        <v>0.0017733891274029476</v>
      </c>
      <c r="D144" s="126" t="s">
        <v>982</v>
      </c>
      <c r="E144" s="126" t="b">
        <v>0</v>
      </c>
      <c r="F144" s="126" t="b">
        <v>0</v>
      </c>
      <c r="G144" s="126" t="b">
        <v>0</v>
      </c>
    </row>
    <row r="145" spans="1:7" ht="15">
      <c r="A145" s="126" t="s">
        <v>850</v>
      </c>
      <c r="B145" s="126">
        <v>3</v>
      </c>
      <c r="C145" s="128">
        <v>0.0023811869041158932</v>
      </c>
      <c r="D145" s="126" t="s">
        <v>982</v>
      </c>
      <c r="E145" s="126" t="b">
        <v>0</v>
      </c>
      <c r="F145" s="126" t="b">
        <v>0</v>
      </c>
      <c r="G145" s="126" t="b">
        <v>0</v>
      </c>
    </row>
    <row r="146" spans="1:7" ht="15">
      <c r="A146" s="126" t="s">
        <v>851</v>
      </c>
      <c r="B146" s="126">
        <v>3</v>
      </c>
      <c r="C146" s="128">
        <v>0.0023811869041158932</v>
      </c>
      <c r="D146" s="126" t="s">
        <v>982</v>
      </c>
      <c r="E146" s="126" t="b">
        <v>0</v>
      </c>
      <c r="F146" s="126" t="b">
        <v>0</v>
      </c>
      <c r="G146" s="126" t="b">
        <v>0</v>
      </c>
    </row>
    <row r="147" spans="1:7" ht="15">
      <c r="A147" s="126" t="s">
        <v>852</v>
      </c>
      <c r="B147" s="126">
        <v>3</v>
      </c>
      <c r="C147" s="128">
        <v>0.0019977092026331146</v>
      </c>
      <c r="D147" s="126" t="s">
        <v>982</v>
      </c>
      <c r="E147" s="126" t="b">
        <v>0</v>
      </c>
      <c r="F147" s="126" t="b">
        <v>0</v>
      </c>
      <c r="G147" s="126" t="b">
        <v>0</v>
      </c>
    </row>
    <row r="148" spans="1:7" ht="15">
      <c r="A148" s="126" t="s">
        <v>853</v>
      </c>
      <c r="B148" s="126">
        <v>3</v>
      </c>
      <c r="C148" s="128">
        <v>0.0019977092026331146</v>
      </c>
      <c r="D148" s="126" t="s">
        <v>982</v>
      </c>
      <c r="E148" s="126" t="b">
        <v>0</v>
      </c>
      <c r="F148" s="126" t="b">
        <v>0</v>
      </c>
      <c r="G148" s="126" t="b">
        <v>0</v>
      </c>
    </row>
    <row r="149" spans="1:7" ht="15">
      <c r="A149" s="126" t="s">
        <v>854</v>
      </c>
      <c r="B149" s="126">
        <v>3</v>
      </c>
      <c r="C149" s="128">
        <v>0.0019977092026331146</v>
      </c>
      <c r="D149" s="126" t="s">
        <v>982</v>
      </c>
      <c r="E149" s="126" t="b">
        <v>0</v>
      </c>
      <c r="F149" s="126" t="b">
        <v>0</v>
      </c>
      <c r="G149" s="126" t="b">
        <v>0</v>
      </c>
    </row>
    <row r="150" spans="1:7" ht="15">
      <c r="A150" s="126" t="s">
        <v>855</v>
      </c>
      <c r="B150" s="126">
        <v>3</v>
      </c>
      <c r="C150" s="128">
        <v>0.0017733891274029476</v>
      </c>
      <c r="D150" s="126" t="s">
        <v>982</v>
      </c>
      <c r="E150" s="126" t="b">
        <v>0</v>
      </c>
      <c r="F150" s="126" t="b">
        <v>0</v>
      </c>
      <c r="G150" s="126" t="b">
        <v>0</v>
      </c>
    </row>
    <row r="151" spans="1:7" ht="15">
      <c r="A151" s="126" t="s">
        <v>856</v>
      </c>
      <c r="B151" s="126">
        <v>3</v>
      </c>
      <c r="C151" s="128">
        <v>0.0017733891274029476</v>
      </c>
      <c r="D151" s="126" t="s">
        <v>982</v>
      </c>
      <c r="E151" s="126" t="b">
        <v>0</v>
      </c>
      <c r="F151" s="126" t="b">
        <v>0</v>
      </c>
      <c r="G151" s="126" t="b">
        <v>0</v>
      </c>
    </row>
    <row r="152" spans="1:7" ht="15">
      <c r="A152" s="126" t="s">
        <v>857</v>
      </c>
      <c r="B152" s="126">
        <v>3</v>
      </c>
      <c r="C152" s="128">
        <v>0.0023811869041158932</v>
      </c>
      <c r="D152" s="126" t="s">
        <v>982</v>
      </c>
      <c r="E152" s="126" t="b">
        <v>0</v>
      </c>
      <c r="F152" s="126" t="b">
        <v>0</v>
      </c>
      <c r="G152" s="126" t="b">
        <v>0</v>
      </c>
    </row>
    <row r="153" spans="1:7" ht="15">
      <c r="A153" s="126" t="s">
        <v>858</v>
      </c>
      <c r="B153" s="126">
        <v>3</v>
      </c>
      <c r="C153" s="128">
        <v>0.0023811869041158932</v>
      </c>
      <c r="D153" s="126" t="s">
        <v>982</v>
      </c>
      <c r="E153" s="126" t="b">
        <v>0</v>
      </c>
      <c r="F153" s="126" t="b">
        <v>1</v>
      </c>
      <c r="G153" s="126" t="b">
        <v>0</v>
      </c>
    </row>
    <row r="154" spans="1:7" ht="15">
      <c r="A154" s="126" t="s">
        <v>859</v>
      </c>
      <c r="B154" s="126">
        <v>3</v>
      </c>
      <c r="C154" s="128">
        <v>0.0023811869041158932</v>
      </c>
      <c r="D154" s="126" t="s">
        <v>982</v>
      </c>
      <c r="E154" s="126" t="b">
        <v>0</v>
      </c>
      <c r="F154" s="126" t="b">
        <v>0</v>
      </c>
      <c r="G154" s="126" t="b">
        <v>0</v>
      </c>
    </row>
    <row r="155" spans="1:7" ht="15">
      <c r="A155" s="126" t="s">
        <v>860</v>
      </c>
      <c r="B155" s="126">
        <v>3</v>
      </c>
      <c r="C155" s="128">
        <v>0.0017733891274029476</v>
      </c>
      <c r="D155" s="126" t="s">
        <v>982</v>
      </c>
      <c r="E155" s="126" t="b">
        <v>0</v>
      </c>
      <c r="F155" s="126" t="b">
        <v>0</v>
      </c>
      <c r="G155" s="126" t="b">
        <v>0</v>
      </c>
    </row>
    <row r="156" spans="1:7" ht="15">
      <c r="A156" s="126" t="s">
        <v>861</v>
      </c>
      <c r="B156" s="126">
        <v>3</v>
      </c>
      <c r="C156" s="128">
        <v>0.0023811869041158932</v>
      </c>
      <c r="D156" s="126" t="s">
        <v>982</v>
      </c>
      <c r="E156" s="126" t="b">
        <v>0</v>
      </c>
      <c r="F156" s="126" t="b">
        <v>0</v>
      </c>
      <c r="G156" s="126" t="b">
        <v>0</v>
      </c>
    </row>
    <row r="157" spans="1:7" ht="15">
      <c r="A157" s="126" t="s">
        <v>862</v>
      </c>
      <c r="B157" s="126">
        <v>3</v>
      </c>
      <c r="C157" s="128">
        <v>0.0019977092026331146</v>
      </c>
      <c r="D157" s="126" t="s">
        <v>982</v>
      </c>
      <c r="E157" s="126" t="b">
        <v>1</v>
      </c>
      <c r="F157" s="126" t="b">
        <v>0</v>
      </c>
      <c r="G157" s="126" t="b">
        <v>0</v>
      </c>
    </row>
    <row r="158" spans="1:7" ht="15">
      <c r="A158" s="126" t="s">
        <v>863</v>
      </c>
      <c r="B158" s="126">
        <v>3</v>
      </c>
      <c r="C158" s="128">
        <v>0.0023811869041158932</v>
      </c>
      <c r="D158" s="126" t="s">
        <v>982</v>
      </c>
      <c r="E158" s="126" t="b">
        <v>0</v>
      </c>
      <c r="F158" s="126" t="b">
        <v>0</v>
      </c>
      <c r="G158" s="126" t="b">
        <v>0</v>
      </c>
    </row>
    <row r="159" spans="1:7" ht="15">
      <c r="A159" s="126" t="s">
        <v>864</v>
      </c>
      <c r="B159" s="126">
        <v>3</v>
      </c>
      <c r="C159" s="128">
        <v>0.0017733891274029476</v>
      </c>
      <c r="D159" s="126" t="s">
        <v>982</v>
      </c>
      <c r="E159" s="126" t="b">
        <v>0</v>
      </c>
      <c r="F159" s="126" t="b">
        <v>0</v>
      </c>
      <c r="G159" s="126" t="b">
        <v>0</v>
      </c>
    </row>
    <row r="160" spans="1:7" ht="15">
      <c r="A160" s="126" t="s">
        <v>865</v>
      </c>
      <c r="B160" s="126">
        <v>3</v>
      </c>
      <c r="C160" s="128">
        <v>0.0023811869041158932</v>
      </c>
      <c r="D160" s="126" t="s">
        <v>982</v>
      </c>
      <c r="E160" s="126" t="b">
        <v>0</v>
      </c>
      <c r="F160" s="126" t="b">
        <v>0</v>
      </c>
      <c r="G160" s="126" t="b">
        <v>0</v>
      </c>
    </row>
    <row r="161" spans="1:7" ht="15">
      <c r="A161" s="126" t="s">
        <v>866</v>
      </c>
      <c r="B161" s="126">
        <v>3</v>
      </c>
      <c r="C161" s="128">
        <v>0.0019977092026331146</v>
      </c>
      <c r="D161" s="126" t="s">
        <v>982</v>
      </c>
      <c r="E161" s="126" t="b">
        <v>0</v>
      </c>
      <c r="F161" s="126" t="b">
        <v>0</v>
      </c>
      <c r="G161" s="126" t="b">
        <v>0</v>
      </c>
    </row>
    <row r="162" spans="1:7" ht="15">
      <c r="A162" s="126" t="s">
        <v>867</v>
      </c>
      <c r="B162" s="126">
        <v>3</v>
      </c>
      <c r="C162" s="128">
        <v>0.0019977092026331146</v>
      </c>
      <c r="D162" s="126" t="s">
        <v>982</v>
      </c>
      <c r="E162" s="126" t="b">
        <v>0</v>
      </c>
      <c r="F162" s="126" t="b">
        <v>0</v>
      </c>
      <c r="G162" s="126" t="b">
        <v>0</v>
      </c>
    </row>
    <row r="163" spans="1:7" ht="15">
      <c r="A163" s="126" t="s">
        <v>868</v>
      </c>
      <c r="B163" s="126">
        <v>3</v>
      </c>
      <c r="C163" s="128">
        <v>0.0017733891274029476</v>
      </c>
      <c r="D163" s="126" t="s">
        <v>982</v>
      </c>
      <c r="E163" s="126" t="b">
        <v>0</v>
      </c>
      <c r="F163" s="126" t="b">
        <v>0</v>
      </c>
      <c r="G163" s="126" t="b">
        <v>0</v>
      </c>
    </row>
    <row r="164" spans="1:7" ht="15">
      <c r="A164" s="126" t="s">
        <v>869</v>
      </c>
      <c r="B164" s="126">
        <v>3</v>
      </c>
      <c r="C164" s="128">
        <v>0.0023811869041158932</v>
      </c>
      <c r="D164" s="126" t="s">
        <v>982</v>
      </c>
      <c r="E164" s="126" t="b">
        <v>0</v>
      </c>
      <c r="F164" s="126" t="b">
        <v>0</v>
      </c>
      <c r="G164" s="126" t="b">
        <v>0</v>
      </c>
    </row>
    <row r="165" spans="1:7" ht="15">
      <c r="A165" s="126" t="s">
        <v>870</v>
      </c>
      <c r="B165" s="126">
        <v>3</v>
      </c>
      <c r="C165" s="128">
        <v>0.0023811869041158932</v>
      </c>
      <c r="D165" s="126" t="s">
        <v>982</v>
      </c>
      <c r="E165" s="126" t="b">
        <v>0</v>
      </c>
      <c r="F165" s="126" t="b">
        <v>0</v>
      </c>
      <c r="G165" s="126" t="b">
        <v>0</v>
      </c>
    </row>
    <row r="166" spans="1:7" ht="15">
      <c r="A166" s="126" t="s">
        <v>871</v>
      </c>
      <c r="B166" s="126">
        <v>3</v>
      </c>
      <c r="C166" s="128">
        <v>0.0017733891274029476</v>
      </c>
      <c r="D166" s="126" t="s">
        <v>982</v>
      </c>
      <c r="E166" s="126" t="b">
        <v>0</v>
      </c>
      <c r="F166" s="126" t="b">
        <v>0</v>
      </c>
      <c r="G166" s="126" t="b">
        <v>0</v>
      </c>
    </row>
    <row r="167" spans="1:7" ht="15">
      <c r="A167" s="126" t="s">
        <v>872</v>
      </c>
      <c r="B167" s="126">
        <v>3</v>
      </c>
      <c r="C167" s="128">
        <v>0.0019977092026331146</v>
      </c>
      <c r="D167" s="126" t="s">
        <v>982</v>
      </c>
      <c r="E167" s="126" t="b">
        <v>0</v>
      </c>
      <c r="F167" s="126" t="b">
        <v>1</v>
      </c>
      <c r="G167" s="126" t="b">
        <v>0</v>
      </c>
    </row>
    <row r="168" spans="1:7" ht="15">
      <c r="A168" s="126" t="s">
        <v>873</v>
      </c>
      <c r="B168" s="126">
        <v>3</v>
      </c>
      <c r="C168" s="128">
        <v>0.0023811869041158932</v>
      </c>
      <c r="D168" s="126" t="s">
        <v>982</v>
      </c>
      <c r="E168" s="126" t="b">
        <v>0</v>
      </c>
      <c r="F168" s="126" t="b">
        <v>0</v>
      </c>
      <c r="G168" s="126" t="b">
        <v>0</v>
      </c>
    </row>
    <row r="169" spans="1:7" ht="15">
      <c r="A169" s="126" t="s">
        <v>874</v>
      </c>
      <c r="B169" s="126">
        <v>3</v>
      </c>
      <c r="C169" s="128">
        <v>0.0023811869041158932</v>
      </c>
      <c r="D169" s="126" t="s">
        <v>982</v>
      </c>
      <c r="E169" s="126" t="b">
        <v>0</v>
      </c>
      <c r="F169" s="126" t="b">
        <v>0</v>
      </c>
      <c r="G169" s="126" t="b">
        <v>0</v>
      </c>
    </row>
    <row r="170" spans="1:7" ht="15">
      <c r="A170" s="126" t="s">
        <v>875</v>
      </c>
      <c r="B170" s="126">
        <v>3</v>
      </c>
      <c r="C170" s="128">
        <v>0.0023811869041158932</v>
      </c>
      <c r="D170" s="126" t="s">
        <v>982</v>
      </c>
      <c r="E170" s="126" t="b">
        <v>0</v>
      </c>
      <c r="F170" s="126" t="b">
        <v>0</v>
      </c>
      <c r="G170" s="126" t="b">
        <v>0</v>
      </c>
    </row>
    <row r="171" spans="1:7" ht="15">
      <c r="A171" s="126" t="s">
        <v>876</v>
      </c>
      <c r="B171" s="126">
        <v>3</v>
      </c>
      <c r="C171" s="128">
        <v>0.0023811869041158932</v>
      </c>
      <c r="D171" s="126" t="s">
        <v>982</v>
      </c>
      <c r="E171" s="126" t="b">
        <v>0</v>
      </c>
      <c r="F171" s="126" t="b">
        <v>1</v>
      </c>
      <c r="G171" s="126" t="b">
        <v>0</v>
      </c>
    </row>
    <row r="172" spans="1:7" ht="15">
      <c r="A172" s="126" t="s">
        <v>877</v>
      </c>
      <c r="B172" s="126">
        <v>3</v>
      </c>
      <c r="C172" s="128">
        <v>0.0019977092026331146</v>
      </c>
      <c r="D172" s="126" t="s">
        <v>982</v>
      </c>
      <c r="E172" s="126" t="b">
        <v>0</v>
      </c>
      <c r="F172" s="126" t="b">
        <v>0</v>
      </c>
      <c r="G172" s="126" t="b">
        <v>0</v>
      </c>
    </row>
    <row r="173" spans="1:7" ht="15">
      <c r="A173" s="126" t="s">
        <v>878</v>
      </c>
      <c r="B173" s="126">
        <v>3</v>
      </c>
      <c r="C173" s="128">
        <v>0.0019977092026331146</v>
      </c>
      <c r="D173" s="126" t="s">
        <v>982</v>
      </c>
      <c r="E173" s="126" t="b">
        <v>0</v>
      </c>
      <c r="F173" s="126" t="b">
        <v>0</v>
      </c>
      <c r="G173" s="126" t="b">
        <v>0</v>
      </c>
    </row>
    <row r="174" spans="1:7" ht="15">
      <c r="A174" s="126" t="s">
        <v>879</v>
      </c>
      <c r="B174" s="126">
        <v>2</v>
      </c>
      <c r="C174" s="128">
        <v>0.0015874579360772622</v>
      </c>
      <c r="D174" s="126" t="s">
        <v>982</v>
      </c>
      <c r="E174" s="126" t="b">
        <v>0</v>
      </c>
      <c r="F174" s="126" t="b">
        <v>0</v>
      </c>
      <c r="G174" s="126" t="b">
        <v>0</v>
      </c>
    </row>
    <row r="175" spans="1:7" ht="15">
      <c r="A175" s="126" t="s">
        <v>880</v>
      </c>
      <c r="B175" s="126">
        <v>2</v>
      </c>
      <c r="C175" s="128">
        <v>0.0013318061350887432</v>
      </c>
      <c r="D175" s="126" t="s">
        <v>982</v>
      </c>
      <c r="E175" s="126" t="b">
        <v>0</v>
      </c>
      <c r="F175" s="126" t="b">
        <v>0</v>
      </c>
      <c r="G175" s="126" t="b">
        <v>0</v>
      </c>
    </row>
    <row r="176" spans="1:7" ht="15">
      <c r="A176" s="126" t="s">
        <v>881</v>
      </c>
      <c r="B176" s="126">
        <v>2</v>
      </c>
      <c r="C176" s="128">
        <v>0.0013318061350887432</v>
      </c>
      <c r="D176" s="126" t="s">
        <v>982</v>
      </c>
      <c r="E176" s="126" t="b">
        <v>0</v>
      </c>
      <c r="F176" s="126" t="b">
        <v>0</v>
      </c>
      <c r="G176" s="126" t="b">
        <v>0</v>
      </c>
    </row>
    <row r="177" spans="1:7" ht="15">
      <c r="A177" s="126" t="s">
        <v>882</v>
      </c>
      <c r="B177" s="126">
        <v>2</v>
      </c>
      <c r="C177" s="128">
        <v>0.0013318061350887432</v>
      </c>
      <c r="D177" s="126" t="s">
        <v>982</v>
      </c>
      <c r="E177" s="126" t="b">
        <v>0</v>
      </c>
      <c r="F177" s="126" t="b">
        <v>0</v>
      </c>
      <c r="G177" s="126" t="b">
        <v>0</v>
      </c>
    </row>
    <row r="178" spans="1:7" ht="15">
      <c r="A178" s="126" t="s">
        <v>883</v>
      </c>
      <c r="B178" s="126">
        <v>2</v>
      </c>
      <c r="C178" s="128">
        <v>0.0013318061350887432</v>
      </c>
      <c r="D178" s="126" t="s">
        <v>982</v>
      </c>
      <c r="E178" s="126" t="b">
        <v>0</v>
      </c>
      <c r="F178" s="126" t="b">
        <v>0</v>
      </c>
      <c r="G178" s="126" t="b">
        <v>0</v>
      </c>
    </row>
    <row r="179" spans="1:7" ht="15">
      <c r="A179" s="126" t="s">
        <v>884</v>
      </c>
      <c r="B179" s="126">
        <v>2</v>
      </c>
      <c r="C179" s="128">
        <v>0.0015874579360772622</v>
      </c>
      <c r="D179" s="126" t="s">
        <v>982</v>
      </c>
      <c r="E179" s="126" t="b">
        <v>0</v>
      </c>
      <c r="F179" s="126" t="b">
        <v>0</v>
      </c>
      <c r="G179" s="126" t="b">
        <v>0</v>
      </c>
    </row>
    <row r="180" spans="1:7" ht="15">
      <c r="A180" s="126" t="s">
        <v>885</v>
      </c>
      <c r="B180" s="126">
        <v>2</v>
      </c>
      <c r="C180" s="128">
        <v>0.0015874579360772622</v>
      </c>
      <c r="D180" s="126" t="s">
        <v>982</v>
      </c>
      <c r="E180" s="126" t="b">
        <v>0</v>
      </c>
      <c r="F180" s="126" t="b">
        <v>0</v>
      </c>
      <c r="G180" s="126" t="b">
        <v>0</v>
      </c>
    </row>
    <row r="181" spans="1:7" ht="15">
      <c r="A181" s="126" t="s">
        <v>886</v>
      </c>
      <c r="B181" s="126">
        <v>2</v>
      </c>
      <c r="C181" s="128">
        <v>0.0015874579360772622</v>
      </c>
      <c r="D181" s="126" t="s">
        <v>982</v>
      </c>
      <c r="E181" s="126" t="b">
        <v>1</v>
      </c>
      <c r="F181" s="126" t="b">
        <v>0</v>
      </c>
      <c r="G181" s="126" t="b">
        <v>0</v>
      </c>
    </row>
    <row r="182" spans="1:7" ht="15">
      <c r="A182" s="126" t="s">
        <v>887</v>
      </c>
      <c r="B182" s="126">
        <v>2</v>
      </c>
      <c r="C182" s="128">
        <v>0.0015874579360772622</v>
      </c>
      <c r="D182" s="126" t="s">
        <v>982</v>
      </c>
      <c r="E182" s="126" t="b">
        <v>0</v>
      </c>
      <c r="F182" s="126" t="b">
        <v>0</v>
      </c>
      <c r="G182" s="126" t="b">
        <v>0</v>
      </c>
    </row>
    <row r="183" spans="1:7" ht="15">
      <c r="A183" s="126" t="s">
        <v>888</v>
      </c>
      <c r="B183" s="126">
        <v>2</v>
      </c>
      <c r="C183" s="128">
        <v>0.0015874579360772622</v>
      </c>
      <c r="D183" s="126" t="s">
        <v>982</v>
      </c>
      <c r="E183" s="126" t="b">
        <v>0</v>
      </c>
      <c r="F183" s="126" t="b">
        <v>1</v>
      </c>
      <c r="G183" s="126" t="b">
        <v>0</v>
      </c>
    </row>
    <row r="184" spans="1:7" ht="15">
      <c r="A184" s="126" t="s">
        <v>889</v>
      </c>
      <c r="B184" s="126">
        <v>2</v>
      </c>
      <c r="C184" s="128">
        <v>0.0013318061350887432</v>
      </c>
      <c r="D184" s="126" t="s">
        <v>982</v>
      </c>
      <c r="E184" s="126" t="b">
        <v>0</v>
      </c>
      <c r="F184" s="126" t="b">
        <v>0</v>
      </c>
      <c r="G184" s="126" t="b">
        <v>0</v>
      </c>
    </row>
    <row r="185" spans="1:7" ht="15">
      <c r="A185" s="126" t="s">
        <v>890</v>
      </c>
      <c r="B185" s="126">
        <v>2</v>
      </c>
      <c r="C185" s="128">
        <v>0.0013318061350887432</v>
      </c>
      <c r="D185" s="126" t="s">
        <v>982</v>
      </c>
      <c r="E185" s="126" t="b">
        <v>0</v>
      </c>
      <c r="F185" s="126" t="b">
        <v>0</v>
      </c>
      <c r="G185" s="126" t="b">
        <v>0</v>
      </c>
    </row>
    <row r="186" spans="1:7" ht="15">
      <c r="A186" s="126" t="s">
        <v>891</v>
      </c>
      <c r="B186" s="126">
        <v>2</v>
      </c>
      <c r="C186" s="128">
        <v>0.0013318061350887432</v>
      </c>
      <c r="D186" s="126" t="s">
        <v>982</v>
      </c>
      <c r="E186" s="126" t="b">
        <v>0</v>
      </c>
      <c r="F186" s="126" t="b">
        <v>0</v>
      </c>
      <c r="G186" s="126" t="b">
        <v>0</v>
      </c>
    </row>
    <row r="187" spans="1:7" ht="15">
      <c r="A187" s="126" t="s">
        <v>892</v>
      </c>
      <c r="B187" s="126">
        <v>2</v>
      </c>
      <c r="C187" s="128">
        <v>0.0013318061350887432</v>
      </c>
      <c r="D187" s="126" t="s">
        <v>982</v>
      </c>
      <c r="E187" s="126" t="b">
        <v>0</v>
      </c>
      <c r="F187" s="126" t="b">
        <v>0</v>
      </c>
      <c r="G187" s="126" t="b">
        <v>0</v>
      </c>
    </row>
    <row r="188" spans="1:7" ht="15">
      <c r="A188" s="126" t="s">
        <v>893</v>
      </c>
      <c r="B188" s="126">
        <v>2</v>
      </c>
      <c r="C188" s="128">
        <v>0.0013318061350887432</v>
      </c>
      <c r="D188" s="126" t="s">
        <v>982</v>
      </c>
      <c r="E188" s="126" t="b">
        <v>0</v>
      </c>
      <c r="F188" s="126" t="b">
        <v>0</v>
      </c>
      <c r="G188" s="126" t="b">
        <v>0</v>
      </c>
    </row>
    <row r="189" spans="1:7" ht="15">
      <c r="A189" s="126" t="s">
        <v>894</v>
      </c>
      <c r="B189" s="126">
        <v>2</v>
      </c>
      <c r="C189" s="128">
        <v>0.0015874579360772622</v>
      </c>
      <c r="D189" s="126" t="s">
        <v>982</v>
      </c>
      <c r="E189" s="126" t="b">
        <v>0</v>
      </c>
      <c r="F189" s="126" t="b">
        <v>0</v>
      </c>
      <c r="G189" s="126" t="b">
        <v>0</v>
      </c>
    </row>
    <row r="190" spans="1:7" ht="15">
      <c r="A190" s="126" t="s">
        <v>895</v>
      </c>
      <c r="B190" s="126">
        <v>2</v>
      </c>
      <c r="C190" s="128">
        <v>0.0015874579360772622</v>
      </c>
      <c r="D190" s="126" t="s">
        <v>982</v>
      </c>
      <c r="E190" s="126" t="b">
        <v>0</v>
      </c>
      <c r="F190" s="126" t="b">
        <v>0</v>
      </c>
      <c r="G190" s="126" t="b">
        <v>0</v>
      </c>
    </row>
    <row r="191" spans="1:7" ht="15">
      <c r="A191" s="126" t="s">
        <v>896</v>
      </c>
      <c r="B191" s="126">
        <v>2</v>
      </c>
      <c r="C191" s="128">
        <v>0.0013318061350887432</v>
      </c>
      <c r="D191" s="126" t="s">
        <v>982</v>
      </c>
      <c r="E191" s="126" t="b">
        <v>0</v>
      </c>
      <c r="F191" s="126" t="b">
        <v>0</v>
      </c>
      <c r="G191" s="126" t="b">
        <v>0</v>
      </c>
    </row>
    <row r="192" spans="1:7" ht="15">
      <c r="A192" s="126" t="s">
        <v>897</v>
      </c>
      <c r="B192" s="126">
        <v>2</v>
      </c>
      <c r="C192" s="128">
        <v>0.0013318061350887432</v>
      </c>
      <c r="D192" s="126" t="s">
        <v>982</v>
      </c>
      <c r="E192" s="126" t="b">
        <v>0</v>
      </c>
      <c r="F192" s="126" t="b">
        <v>0</v>
      </c>
      <c r="G192" s="126" t="b">
        <v>0</v>
      </c>
    </row>
    <row r="193" spans="1:7" ht="15">
      <c r="A193" s="126" t="s">
        <v>898</v>
      </c>
      <c r="B193" s="126">
        <v>2</v>
      </c>
      <c r="C193" s="128">
        <v>0.0013318061350887432</v>
      </c>
      <c r="D193" s="126" t="s">
        <v>982</v>
      </c>
      <c r="E193" s="126" t="b">
        <v>0</v>
      </c>
      <c r="F193" s="126" t="b">
        <v>0</v>
      </c>
      <c r="G193" s="126" t="b">
        <v>0</v>
      </c>
    </row>
    <row r="194" spans="1:7" ht="15">
      <c r="A194" s="126" t="s">
        <v>899</v>
      </c>
      <c r="B194" s="126">
        <v>2</v>
      </c>
      <c r="C194" s="128">
        <v>0.0015874579360772622</v>
      </c>
      <c r="D194" s="126" t="s">
        <v>982</v>
      </c>
      <c r="E194" s="126" t="b">
        <v>0</v>
      </c>
      <c r="F194" s="126" t="b">
        <v>0</v>
      </c>
      <c r="G194" s="126" t="b">
        <v>0</v>
      </c>
    </row>
    <row r="195" spans="1:7" ht="15">
      <c r="A195" s="126" t="s">
        <v>900</v>
      </c>
      <c r="B195" s="126">
        <v>2</v>
      </c>
      <c r="C195" s="128">
        <v>0.0015874579360772622</v>
      </c>
      <c r="D195" s="126" t="s">
        <v>982</v>
      </c>
      <c r="E195" s="126" t="b">
        <v>0</v>
      </c>
      <c r="F195" s="126" t="b">
        <v>0</v>
      </c>
      <c r="G195" s="126" t="b">
        <v>0</v>
      </c>
    </row>
    <row r="196" spans="1:7" ht="15">
      <c r="A196" s="126" t="s">
        <v>901</v>
      </c>
      <c r="B196" s="126">
        <v>2</v>
      </c>
      <c r="C196" s="128">
        <v>0.0013318061350887432</v>
      </c>
      <c r="D196" s="126" t="s">
        <v>982</v>
      </c>
      <c r="E196" s="126" t="b">
        <v>0</v>
      </c>
      <c r="F196" s="126" t="b">
        <v>0</v>
      </c>
      <c r="G196" s="126" t="b">
        <v>0</v>
      </c>
    </row>
    <row r="197" spans="1:7" ht="15">
      <c r="A197" s="126" t="s">
        <v>902</v>
      </c>
      <c r="B197" s="126">
        <v>2</v>
      </c>
      <c r="C197" s="128">
        <v>0.0015874579360772622</v>
      </c>
      <c r="D197" s="126" t="s">
        <v>982</v>
      </c>
      <c r="E197" s="126" t="b">
        <v>0</v>
      </c>
      <c r="F197" s="126" t="b">
        <v>0</v>
      </c>
      <c r="G197" s="126" t="b">
        <v>0</v>
      </c>
    </row>
    <row r="198" spans="1:7" ht="15">
      <c r="A198" s="126" t="s">
        <v>903</v>
      </c>
      <c r="B198" s="126">
        <v>2</v>
      </c>
      <c r="C198" s="128">
        <v>0.0015874579360772622</v>
      </c>
      <c r="D198" s="126" t="s">
        <v>982</v>
      </c>
      <c r="E198" s="126" t="b">
        <v>1</v>
      </c>
      <c r="F198" s="126" t="b">
        <v>0</v>
      </c>
      <c r="G198" s="126" t="b">
        <v>0</v>
      </c>
    </row>
    <row r="199" spans="1:7" ht="15">
      <c r="A199" s="126" t="s">
        <v>904</v>
      </c>
      <c r="B199" s="126">
        <v>2</v>
      </c>
      <c r="C199" s="128">
        <v>0.0015874579360772622</v>
      </c>
      <c r="D199" s="126" t="s">
        <v>982</v>
      </c>
      <c r="E199" s="126" t="b">
        <v>0</v>
      </c>
      <c r="F199" s="126" t="b">
        <v>0</v>
      </c>
      <c r="G199" s="126" t="b">
        <v>0</v>
      </c>
    </row>
    <row r="200" spans="1:7" ht="15">
      <c r="A200" s="126" t="s">
        <v>905</v>
      </c>
      <c r="B200" s="126">
        <v>2</v>
      </c>
      <c r="C200" s="128">
        <v>0.0013318061350887432</v>
      </c>
      <c r="D200" s="126" t="s">
        <v>982</v>
      </c>
      <c r="E200" s="126" t="b">
        <v>0</v>
      </c>
      <c r="F200" s="126" t="b">
        <v>0</v>
      </c>
      <c r="G200" s="126" t="b">
        <v>0</v>
      </c>
    </row>
    <row r="201" spans="1:7" ht="15">
      <c r="A201" s="126" t="s">
        <v>906</v>
      </c>
      <c r="B201" s="126">
        <v>2</v>
      </c>
      <c r="C201" s="128">
        <v>0.0013318061350887432</v>
      </c>
      <c r="D201" s="126" t="s">
        <v>982</v>
      </c>
      <c r="E201" s="126" t="b">
        <v>0</v>
      </c>
      <c r="F201" s="126" t="b">
        <v>0</v>
      </c>
      <c r="G201" s="126" t="b">
        <v>0</v>
      </c>
    </row>
    <row r="202" spans="1:7" ht="15">
      <c r="A202" s="126" t="s">
        <v>907</v>
      </c>
      <c r="B202" s="126">
        <v>2</v>
      </c>
      <c r="C202" s="128">
        <v>0.0013318061350887432</v>
      </c>
      <c r="D202" s="126" t="s">
        <v>982</v>
      </c>
      <c r="E202" s="126" t="b">
        <v>0</v>
      </c>
      <c r="F202" s="126" t="b">
        <v>0</v>
      </c>
      <c r="G202" s="126" t="b">
        <v>0</v>
      </c>
    </row>
    <row r="203" spans="1:7" ht="15">
      <c r="A203" s="126" t="s">
        <v>908</v>
      </c>
      <c r="B203" s="126">
        <v>2</v>
      </c>
      <c r="C203" s="128">
        <v>0.0013318061350887432</v>
      </c>
      <c r="D203" s="126" t="s">
        <v>982</v>
      </c>
      <c r="E203" s="126" t="b">
        <v>0</v>
      </c>
      <c r="F203" s="126" t="b">
        <v>0</v>
      </c>
      <c r="G203" s="126" t="b">
        <v>0</v>
      </c>
    </row>
    <row r="204" spans="1:7" ht="15">
      <c r="A204" s="126" t="s">
        <v>909</v>
      </c>
      <c r="B204" s="126">
        <v>2</v>
      </c>
      <c r="C204" s="128">
        <v>0.0013318061350887432</v>
      </c>
      <c r="D204" s="126" t="s">
        <v>982</v>
      </c>
      <c r="E204" s="126" t="b">
        <v>0</v>
      </c>
      <c r="F204" s="126" t="b">
        <v>0</v>
      </c>
      <c r="G204" s="126" t="b">
        <v>0</v>
      </c>
    </row>
    <row r="205" spans="1:7" ht="15">
      <c r="A205" s="126" t="s">
        <v>910</v>
      </c>
      <c r="B205" s="126">
        <v>2</v>
      </c>
      <c r="C205" s="128">
        <v>0.0013318061350887432</v>
      </c>
      <c r="D205" s="126" t="s">
        <v>982</v>
      </c>
      <c r="E205" s="126" t="b">
        <v>0</v>
      </c>
      <c r="F205" s="126" t="b">
        <v>0</v>
      </c>
      <c r="G205" s="126" t="b">
        <v>0</v>
      </c>
    </row>
    <row r="206" spans="1:7" ht="15">
      <c r="A206" s="126" t="s">
        <v>911</v>
      </c>
      <c r="B206" s="126">
        <v>2</v>
      </c>
      <c r="C206" s="128">
        <v>0.0013318061350887432</v>
      </c>
      <c r="D206" s="126" t="s">
        <v>982</v>
      </c>
      <c r="E206" s="126" t="b">
        <v>0</v>
      </c>
      <c r="F206" s="126" t="b">
        <v>0</v>
      </c>
      <c r="G206" s="126" t="b">
        <v>0</v>
      </c>
    </row>
    <row r="207" spans="1:7" ht="15">
      <c r="A207" s="126" t="s">
        <v>912</v>
      </c>
      <c r="B207" s="126">
        <v>2</v>
      </c>
      <c r="C207" s="128">
        <v>0.0013318061350887432</v>
      </c>
      <c r="D207" s="126" t="s">
        <v>982</v>
      </c>
      <c r="E207" s="126" t="b">
        <v>0</v>
      </c>
      <c r="F207" s="126" t="b">
        <v>0</v>
      </c>
      <c r="G207" s="126" t="b">
        <v>0</v>
      </c>
    </row>
    <row r="208" spans="1:7" ht="15">
      <c r="A208" s="126" t="s">
        <v>913</v>
      </c>
      <c r="B208" s="126">
        <v>2</v>
      </c>
      <c r="C208" s="128">
        <v>0.0013318061350887432</v>
      </c>
      <c r="D208" s="126" t="s">
        <v>982</v>
      </c>
      <c r="E208" s="126" t="b">
        <v>0</v>
      </c>
      <c r="F208" s="126" t="b">
        <v>0</v>
      </c>
      <c r="G208" s="126" t="b">
        <v>0</v>
      </c>
    </row>
    <row r="209" spans="1:7" ht="15">
      <c r="A209" s="126" t="s">
        <v>914</v>
      </c>
      <c r="B209" s="126">
        <v>2</v>
      </c>
      <c r="C209" s="128">
        <v>0.0013318061350887432</v>
      </c>
      <c r="D209" s="126" t="s">
        <v>982</v>
      </c>
      <c r="E209" s="126" t="b">
        <v>0</v>
      </c>
      <c r="F209" s="126" t="b">
        <v>0</v>
      </c>
      <c r="G209" s="126" t="b">
        <v>0</v>
      </c>
    </row>
    <row r="210" spans="1:7" ht="15">
      <c r="A210" s="126" t="s">
        <v>915</v>
      </c>
      <c r="B210" s="126">
        <v>2</v>
      </c>
      <c r="C210" s="128">
        <v>0.0013318061350887432</v>
      </c>
      <c r="D210" s="126" t="s">
        <v>982</v>
      </c>
      <c r="E210" s="126" t="b">
        <v>0</v>
      </c>
      <c r="F210" s="126" t="b">
        <v>0</v>
      </c>
      <c r="G210" s="126" t="b">
        <v>0</v>
      </c>
    </row>
    <row r="211" spans="1:7" ht="15">
      <c r="A211" s="126" t="s">
        <v>916</v>
      </c>
      <c r="B211" s="126">
        <v>2</v>
      </c>
      <c r="C211" s="128">
        <v>0.0013318061350887432</v>
      </c>
      <c r="D211" s="126" t="s">
        <v>982</v>
      </c>
      <c r="E211" s="126" t="b">
        <v>0</v>
      </c>
      <c r="F211" s="126" t="b">
        <v>0</v>
      </c>
      <c r="G211" s="126" t="b">
        <v>0</v>
      </c>
    </row>
    <row r="212" spans="1:7" ht="15">
      <c r="A212" s="126" t="s">
        <v>917</v>
      </c>
      <c r="B212" s="126">
        <v>2</v>
      </c>
      <c r="C212" s="128">
        <v>0.0013318061350887432</v>
      </c>
      <c r="D212" s="126" t="s">
        <v>982</v>
      </c>
      <c r="E212" s="126" t="b">
        <v>0</v>
      </c>
      <c r="F212" s="126" t="b">
        <v>0</v>
      </c>
      <c r="G212" s="126" t="b">
        <v>0</v>
      </c>
    </row>
    <row r="213" spans="1:7" ht="15">
      <c r="A213" s="126" t="s">
        <v>918</v>
      </c>
      <c r="B213" s="126">
        <v>2</v>
      </c>
      <c r="C213" s="128">
        <v>0.0013318061350887432</v>
      </c>
      <c r="D213" s="126" t="s">
        <v>982</v>
      </c>
      <c r="E213" s="126" t="b">
        <v>0</v>
      </c>
      <c r="F213" s="126" t="b">
        <v>0</v>
      </c>
      <c r="G213" s="126" t="b">
        <v>0</v>
      </c>
    </row>
    <row r="214" spans="1:7" ht="15">
      <c r="A214" s="126" t="s">
        <v>919</v>
      </c>
      <c r="B214" s="126">
        <v>2</v>
      </c>
      <c r="C214" s="128">
        <v>0.0013318061350887432</v>
      </c>
      <c r="D214" s="126" t="s">
        <v>982</v>
      </c>
      <c r="E214" s="126" t="b">
        <v>0</v>
      </c>
      <c r="F214" s="126" t="b">
        <v>0</v>
      </c>
      <c r="G214" s="126" t="b">
        <v>0</v>
      </c>
    </row>
    <row r="215" spans="1:7" ht="15">
      <c r="A215" s="126" t="s">
        <v>920</v>
      </c>
      <c r="B215" s="126">
        <v>2</v>
      </c>
      <c r="C215" s="128">
        <v>0.0013318061350887432</v>
      </c>
      <c r="D215" s="126" t="s">
        <v>982</v>
      </c>
      <c r="E215" s="126" t="b">
        <v>0</v>
      </c>
      <c r="F215" s="126" t="b">
        <v>0</v>
      </c>
      <c r="G215" s="126" t="b">
        <v>0</v>
      </c>
    </row>
    <row r="216" spans="1:7" ht="15">
      <c r="A216" s="126" t="s">
        <v>921</v>
      </c>
      <c r="B216" s="126">
        <v>2</v>
      </c>
      <c r="C216" s="128">
        <v>0.0013318061350887432</v>
      </c>
      <c r="D216" s="126" t="s">
        <v>982</v>
      </c>
      <c r="E216" s="126" t="b">
        <v>0</v>
      </c>
      <c r="F216" s="126" t="b">
        <v>0</v>
      </c>
      <c r="G216" s="126" t="b">
        <v>0</v>
      </c>
    </row>
    <row r="217" spans="1:7" ht="15">
      <c r="A217" s="126" t="s">
        <v>922</v>
      </c>
      <c r="B217" s="126">
        <v>2</v>
      </c>
      <c r="C217" s="128">
        <v>0.0013318061350887432</v>
      </c>
      <c r="D217" s="126" t="s">
        <v>982</v>
      </c>
      <c r="E217" s="126" t="b">
        <v>0</v>
      </c>
      <c r="F217" s="126" t="b">
        <v>0</v>
      </c>
      <c r="G217" s="126" t="b">
        <v>0</v>
      </c>
    </row>
    <row r="218" spans="1:7" ht="15">
      <c r="A218" s="126" t="s">
        <v>923</v>
      </c>
      <c r="B218" s="126">
        <v>2</v>
      </c>
      <c r="C218" s="128">
        <v>0.0013318061350887432</v>
      </c>
      <c r="D218" s="126" t="s">
        <v>982</v>
      </c>
      <c r="E218" s="126" t="b">
        <v>0</v>
      </c>
      <c r="F218" s="126" t="b">
        <v>1</v>
      </c>
      <c r="G218" s="126" t="b">
        <v>0</v>
      </c>
    </row>
    <row r="219" spans="1:7" ht="15">
      <c r="A219" s="126" t="s">
        <v>924</v>
      </c>
      <c r="B219" s="126">
        <v>2</v>
      </c>
      <c r="C219" s="128">
        <v>0.0013318061350887432</v>
      </c>
      <c r="D219" s="126" t="s">
        <v>982</v>
      </c>
      <c r="E219" s="126" t="b">
        <v>0</v>
      </c>
      <c r="F219" s="126" t="b">
        <v>0</v>
      </c>
      <c r="G219" s="126" t="b">
        <v>0</v>
      </c>
    </row>
    <row r="220" spans="1:7" ht="15">
      <c r="A220" s="126" t="s">
        <v>925</v>
      </c>
      <c r="B220" s="126">
        <v>2</v>
      </c>
      <c r="C220" s="128">
        <v>0.0013318061350887432</v>
      </c>
      <c r="D220" s="126" t="s">
        <v>982</v>
      </c>
      <c r="E220" s="126" t="b">
        <v>0</v>
      </c>
      <c r="F220" s="126" t="b">
        <v>0</v>
      </c>
      <c r="G220" s="126" t="b">
        <v>0</v>
      </c>
    </row>
    <row r="221" spans="1:7" ht="15">
      <c r="A221" s="126" t="s">
        <v>926</v>
      </c>
      <c r="B221" s="126">
        <v>2</v>
      </c>
      <c r="C221" s="128">
        <v>0.0013318061350887432</v>
      </c>
      <c r="D221" s="126" t="s">
        <v>982</v>
      </c>
      <c r="E221" s="126" t="b">
        <v>1</v>
      </c>
      <c r="F221" s="126" t="b">
        <v>0</v>
      </c>
      <c r="G221" s="126" t="b">
        <v>0</v>
      </c>
    </row>
    <row r="222" spans="1:7" ht="15">
      <c r="A222" s="126" t="s">
        <v>927</v>
      </c>
      <c r="B222" s="126">
        <v>2</v>
      </c>
      <c r="C222" s="128">
        <v>0.0015874579360772622</v>
      </c>
      <c r="D222" s="126" t="s">
        <v>982</v>
      </c>
      <c r="E222" s="126" t="b">
        <v>0</v>
      </c>
      <c r="F222" s="126" t="b">
        <v>0</v>
      </c>
      <c r="G222" s="126" t="b">
        <v>0</v>
      </c>
    </row>
    <row r="223" spans="1:7" ht="15">
      <c r="A223" s="126" t="s">
        <v>928</v>
      </c>
      <c r="B223" s="126">
        <v>2</v>
      </c>
      <c r="C223" s="128">
        <v>0.0013318061350887432</v>
      </c>
      <c r="D223" s="126" t="s">
        <v>982</v>
      </c>
      <c r="E223" s="126" t="b">
        <v>0</v>
      </c>
      <c r="F223" s="126" t="b">
        <v>0</v>
      </c>
      <c r="G223" s="126" t="b">
        <v>0</v>
      </c>
    </row>
    <row r="224" spans="1:7" ht="15">
      <c r="A224" s="126" t="s">
        <v>929</v>
      </c>
      <c r="B224" s="126">
        <v>2</v>
      </c>
      <c r="C224" s="128">
        <v>0.0013318061350887432</v>
      </c>
      <c r="D224" s="126" t="s">
        <v>982</v>
      </c>
      <c r="E224" s="126" t="b">
        <v>0</v>
      </c>
      <c r="F224" s="126" t="b">
        <v>0</v>
      </c>
      <c r="G224" s="126" t="b">
        <v>0</v>
      </c>
    </row>
    <row r="225" spans="1:7" ht="15">
      <c r="A225" s="126" t="s">
        <v>930</v>
      </c>
      <c r="B225" s="126">
        <v>2</v>
      </c>
      <c r="C225" s="128">
        <v>0.0013318061350887432</v>
      </c>
      <c r="D225" s="126" t="s">
        <v>982</v>
      </c>
      <c r="E225" s="126" t="b">
        <v>0</v>
      </c>
      <c r="F225" s="126" t="b">
        <v>0</v>
      </c>
      <c r="G225" s="126" t="b">
        <v>0</v>
      </c>
    </row>
    <row r="226" spans="1:7" ht="15">
      <c r="A226" s="126" t="s">
        <v>931</v>
      </c>
      <c r="B226" s="126">
        <v>2</v>
      </c>
      <c r="C226" s="128">
        <v>0.0013318061350887432</v>
      </c>
      <c r="D226" s="126" t="s">
        <v>982</v>
      </c>
      <c r="E226" s="126" t="b">
        <v>0</v>
      </c>
      <c r="F226" s="126" t="b">
        <v>0</v>
      </c>
      <c r="G226" s="126" t="b">
        <v>0</v>
      </c>
    </row>
    <row r="227" spans="1:7" ht="15">
      <c r="A227" s="126" t="s">
        <v>932</v>
      </c>
      <c r="B227" s="126">
        <v>2</v>
      </c>
      <c r="C227" s="128">
        <v>0.0013318061350887432</v>
      </c>
      <c r="D227" s="126" t="s">
        <v>982</v>
      </c>
      <c r="E227" s="126" t="b">
        <v>0</v>
      </c>
      <c r="F227" s="126" t="b">
        <v>0</v>
      </c>
      <c r="G227" s="126" t="b">
        <v>0</v>
      </c>
    </row>
    <row r="228" spans="1:7" ht="15">
      <c r="A228" s="126" t="s">
        <v>933</v>
      </c>
      <c r="B228" s="126">
        <v>2</v>
      </c>
      <c r="C228" s="128">
        <v>0.0013318061350887432</v>
      </c>
      <c r="D228" s="126" t="s">
        <v>982</v>
      </c>
      <c r="E228" s="126" t="b">
        <v>0</v>
      </c>
      <c r="F228" s="126" t="b">
        <v>0</v>
      </c>
      <c r="G228" s="126" t="b">
        <v>0</v>
      </c>
    </row>
    <row r="229" spans="1:7" ht="15">
      <c r="A229" s="126" t="s">
        <v>934</v>
      </c>
      <c r="B229" s="126">
        <v>2</v>
      </c>
      <c r="C229" s="128">
        <v>0.0015874579360772622</v>
      </c>
      <c r="D229" s="126" t="s">
        <v>982</v>
      </c>
      <c r="E229" s="126" t="b">
        <v>0</v>
      </c>
      <c r="F229" s="126" t="b">
        <v>0</v>
      </c>
      <c r="G229" s="126" t="b">
        <v>0</v>
      </c>
    </row>
    <row r="230" spans="1:7" ht="15">
      <c r="A230" s="126" t="s">
        <v>935</v>
      </c>
      <c r="B230" s="126">
        <v>2</v>
      </c>
      <c r="C230" s="128">
        <v>0.0013318061350887432</v>
      </c>
      <c r="D230" s="126" t="s">
        <v>982</v>
      </c>
      <c r="E230" s="126" t="b">
        <v>0</v>
      </c>
      <c r="F230" s="126" t="b">
        <v>0</v>
      </c>
      <c r="G230" s="126" t="b">
        <v>0</v>
      </c>
    </row>
    <row r="231" spans="1:7" ht="15">
      <c r="A231" s="126" t="s">
        <v>936</v>
      </c>
      <c r="B231" s="126">
        <v>2</v>
      </c>
      <c r="C231" s="128">
        <v>0.0015874579360772622</v>
      </c>
      <c r="D231" s="126" t="s">
        <v>982</v>
      </c>
      <c r="E231" s="126" t="b">
        <v>0</v>
      </c>
      <c r="F231" s="126" t="b">
        <v>1</v>
      </c>
      <c r="G231" s="126" t="b">
        <v>0</v>
      </c>
    </row>
    <row r="232" spans="1:7" ht="15">
      <c r="A232" s="126" t="s">
        <v>937</v>
      </c>
      <c r="B232" s="126">
        <v>2</v>
      </c>
      <c r="C232" s="128">
        <v>0.0013318061350887432</v>
      </c>
      <c r="D232" s="126" t="s">
        <v>982</v>
      </c>
      <c r="E232" s="126" t="b">
        <v>0</v>
      </c>
      <c r="F232" s="126" t="b">
        <v>0</v>
      </c>
      <c r="G232" s="126" t="b">
        <v>0</v>
      </c>
    </row>
    <row r="233" spans="1:7" ht="15">
      <c r="A233" s="126" t="s">
        <v>938</v>
      </c>
      <c r="B233" s="126">
        <v>2</v>
      </c>
      <c r="C233" s="128">
        <v>0.0013318061350887432</v>
      </c>
      <c r="D233" s="126" t="s">
        <v>982</v>
      </c>
      <c r="E233" s="126" t="b">
        <v>0</v>
      </c>
      <c r="F233" s="126" t="b">
        <v>0</v>
      </c>
      <c r="G233" s="126" t="b">
        <v>0</v>
      </c>
    </row>
    <row r="234" spans="1:7" ht="15">
      <c r="A234" s="126" t="s">
        <v>939</v>
      </c>
      <c r="B234" s="126">
        <v>2</v>
      </c>
      <c r="C234" s="128">
        <v>0.0015874579360772622</v>
      </c>
      <c r="D234" s="126" t="s">
        <v>982</v>
      </c>
      <c r="E234" s="126" t="b">
        <v>0</v>
      </c>
      <c r="F234" s="126" t="b">
        <v>0</v>
      </c>
      <c r="G234" s="126" t="b">
        <v>0</v>
      </c>
    </row>
    <row r="235" spans="1:7" ht="15">
      <c r="A235" s="126" t="s">
        <v>940</v>
      </c>
      <c r="B235" s="126">
        <v>2</v>
      </c>
      <c r="C235" s="128">
        <v>0.0015874579360772622</v>
      </c>
      <c r="D235" s="126" t="s">
        <v>982</v>
      </c>
      <c r="E235" s="126" t="b">
        <v>0</v>
      </c>
      <c r="F235" s="126" t="b">
        <v>0</v>
      </c>
      <c r="G235" s="126" t="b">
        <v>0</v>
      </c>
    </row>
    <row r="236" spans="1:7" ht="15">
      <c r="A236" s="126" t="s">
        <v>941</v>
      </c>
      <c r="B236" s="126">
        <v>2</v>
      </c>
      <c r="C236" s="128">
        <v>0.0015874579360772622</v>
      </c>
      <c r="D236" s="126" t="s">
        <v>982</v>
      </c>
      <c r="E236" s="126" t="b">
        <v>0</v>
      </c>
      <c r="F236" s="126" t="b">
        <v>0</v>
      </c>
      <c r="G236" s="126" t="b">
        <v>0</v>
      </c>
    </row>
    <row r="237" spans="1:7" ht="15">
      <c r="A237" s="126" t="s">
        <v>942</v>
      </c>
      <c r="B237" s="126">
        <v>2</v>
      </c>
      <c r="C237" s="128">
        <v>0.0015874579360772622</v>
      </c>
      <c r="D237" s="126" t="s">
        <v>982</v>
      </c>
      <c r="E237" s="126" t="b">
        <v>0</v>
      </c>
      <c r="F237" s="126" t="b">
        <v>0</v>
      </c>
      <c r="G237" s="126" t="b">
        <v>0</v>
      </c>
    </row>
    <row r="238" spans="1:7" ht="15">
      <c r="A238" s="126" t="s">
        <v>943</v>
      </c>
      <c r="B238" s="126">
        <v>2</v>
      </c>
      <c r="C238" s="128">
        <v>0.0013318061350887432</v>
      </c>
      <c r="D238" s="126" t="s">
        <v>982</v>
      </c>
      <c r="E238" s="126" t="b">
        <v>0</v>
      </c>
      <c r="F238" s="126" t="b">
        <v>0</v>
      </c>
      <c r="G238" s="126" t="b">
        <v>0</v>
      </c>
    </row>
    <row r="239" spans="1:7" ht="15">
      <c r="A239" s="126" t="s">
        <v>944</v>
      </c>
      <c r="B239" s="126">
        <v>2</v>
      </c>
      <c r="C239" s="128">
        <v>0.0013318061350887432</v>
      </c>
      <c r="D239" s="126" t="s">
        <v>982</v>
      </c>
      <c r="E239" s="126" t="b">
        <v>0</v>
      </c>
      <c r="F239" s="126" t="b">
        <v>0</v>
      </c>
      <c r="G239" s="126" t="b">
        <v>0</v>
      </c>
    </row>
    <row r="240" spans="1:7" ht="15">
      <c r="A240" s="126" t="s">
        <v>945</v>
      </c>
      <c r="B240" s="126">
        <v>2</v>
      </c>
      <c r="C240" s="128">
        <v>0.0013318061350887432</v>
      </c>
      <c r="D240" s="126" t="s">
        <v>982</v>
      </c>
      <c r="E240" s="126" t="b">
        <v>0</v>
      </c>
      <c r="F240" s="126" t="b">
        <v>0</v>
      </c>
      <c r="G240" s="126" t="b">
        <v>0</v>
      </c>
    </row>
    <row r="241" spans="1:7" ht="15">
      <c r="A241" s="126" t="s">
        <v>946</v>
      </c>
      <c r="B241" s="126">
        <v>2</v>
      </c>
      <c r="C241" s="128">
        <v>0.0013318061350887432</v>
      </c>
      <c r="D241" s="126" t="s">
        <v>982</v>
      </c>
      <c r="E241" s="126" t="b">
        <v>0</v>
      </c>
      <c r="F241" s="126" t="b">
        <v>0</v>
      </c>
      <c r="G241" s="126" t="b">
        <v>0</v>
      </c>
    </row>
    <row r="242" spans="1:7" ht="15">
      <c r="A242" s="126" t="s">
        <v>947</v>
      </c>
      <c r="B242" s="126">
        <v>2</v>
      </c>
      <c r="C242" s="128">
        <v>0.0013318061350887432</v>
      </c>
      <c r="D242" s="126" t="s">
        <v>982</v>
      </c>
      <c r="E242" s="126" t="b">
        <v>0</v>
      </c>
      <c r="F242" s="126" t="b">
        <v>0</v>
      </c>
      <c r="G242" s="126" t="b">
        <v>0</v>
      </c>
    </row>
    <row r="243" spans="1:7" ht="15">
      <c r="A243" s="126" t="s">
        <v>948</v>
      </c>
      <c r="B243" s="126">
        <v>2</v>
      </c>
      <c r="C243" s="128">
        <v>0.0015874579360772622</v>
      </c>
      <c r="D243" s="126" t="s">
        <v>982</v>
      </c>
      <c r="E243" s="126" t="b">
        <v>0</v>
      </c>
      <c r="F243" s="126" t="b">
        <v>0</v>
      </c>
      <c r="G243" s="126" t="b">
        <v>0</v>
      </c>
    </row>
    <row r="244" spans="1:7" ht="15">
      <c r="A244" s="126" t="s">
        <v>949</v>
      </c>
      <c r="B244" s="126">
        <v>2</v>
      </c>
      <c r="C244" s="128">
        <v>0.0015874579360772622</v>
      </c>
      <c r="D244" s="126" t="s">
        <v>982</v>
      </c>
      <c r="E244" s="126" t="b">
        <v>0</v>
      </c>
      <c r="F244" s="126" t="b">
        <v>0</v>
      </c>
      <c r="G244" s="126" t="b">
        <v>0</v>
      </c>
    </row>
    <row r="245" spans="1:7" ht="15">
      <c r="A245" s="126" t="s">
        <v>950</v>
      </c>
      <c r="B245" s="126">
        <v>2</v>
      </c>
      <c r="C245" s="128">
        <v>0.0015874579360772622</v>
      </c>
      <c r="D245" s="126" t="s">
        <v>982</v>
      </c>
      <c r="E245" s="126" t="b">
        <v>0</v>
      </c>
      <c r="F245" s="126" t="b">
        <v>0</v>
      </c>
      <c r="G245" s="126" t="b">
        <v>0</v>
      </c>
    </row>
    <row r="246" spans="1:7" ht="15">
      <c r="A246" s="126" t="s">
        <v>951</v>
      </c>
      <c r="B246" s="126">
        <v>2</v>
      </c>
      <c r="C246" s="128">
        <v>0.0013318061350887432</v>
      </c>
      <c r="D246" s="126" t="s">
        <v>982</v>
      </c>
      <c r="E246" s="126" t="b">
        <v>0</v>
      </c>
      <c r="F246" s="126" t="b">
        <v>0</v>
      </c>
      <c r="G246" s="126" t="b">
        <v>0</v>
      </c>
    </row>
    <row r="247" spans="1:7" ht="15">
      <c r="A247" s="126" t="s">
        <v>952</v>
      </c>
      <c r="B247" s="126">
        <v>2</v>
      </c>
      <c r="C247" s="128">
        <v>0.0013318061350887432</v>
      </c>
      <c r="D247" s="126" t="s">
        <v>982</v>
      </c>
      <c r="E247" s="126" t="b">
        <v>0</v>
      </c>
      <c r="F247" s="126" t="b">
        <v>0</v>
      </c>
      <c r="G247" s="126" t="b">
        <v>0</v>
      </c>
    </row>
    <row r="248" spans="1:7" ht="15">
      <c r="A248" s="126" t="s">
        <v>953</v>
      </c>
      <c r="B248" s="126">
        <v>2</v>
      </c>
      <c r="C248" s="128">
        <v>0.0013318061350887432</v>
      </c>
      <c r="D248" s="126" t="s">
        <v>982</v>
      </c>
      <c r="E248" s="126" t="b">
        <v>0</v>
      </c>
      <c r="F248" s="126" t="b">
        <v>0</v>
      </c>
      <c r="G248" s="126" t="b">
        <v>0</v>
      </c>
    </row>
    <row r="249" spans="1:7" ht="15">
      <c r="A249" s="126" t="s">
        <v>954</v>
      </c>
      <c r="B249" s="126">
        <v>2</v>
      </c>
      <c r="C249" s="128">
        <v>0.0015874579360772622</v>
      </c>
      <c r="D249" s="126" t="s">
        <v>982</v>
      </c>
      <c r="E249" s="126" t="b">
        <v>0</v>
      </c>
      <c r="F249" s="126" t="b">
        <v>0</v>
      </c>
      <c r="G249" s="126" t="b">
        <v>0</v>
      </c>
    </row>
    <row r="250" spans="1:7" ht="15">
      <c r="A250" s="126" t="s">
        <v>955</v>
      </c>
      <c r="B250" s="126">
        <v>2</v>
      </c>
      <c r="C250" s="128">
        <v>0.0015874579360772622</v>
      </c>
      <c r="D250" s="126" t="s">
        <v>982</v>
      </c>
      <c r="E250" s="126" t="b">
        <v>0</v>
      </c>
      <c r="F250" s="126" t="b">
        <v>0</v>
      </c>
      <c r="G250" s="126" t="b">
        <v>0</v>
      </c>
    </row>
    <row r="251" spans="1:7" ht="15">
      <c r="A251" s="126" t="s">
        <v>956</v>
      </c>
      <c r="B251" s="126">
        <v>2</v>
      </c>
      <c r="C251" s="128">
        <v>0.0015874579360772622</v>
      </c>
      <c r="D251" s="126" t="s">
        <v>982</v>
      </c>
      <c r="E251" s="126" t="b">
        <v>0</v>
      </c>
      <c r="F251" s="126" t="b">
        <v>0</v>
      </c>
      <c r="G251" s="126" t="b">
        <v>0</v>
      </c>
    </row>
    <row r="252" spans="1:7" ht="15">
      <c r="A252" s="126" t="s">
        <v>957</v>
      </c>
      <c r="B252" s="126">
        <v>2</v>
      </c>
      <c r="C252" s="128">
        <v>0.0015874579360772622</v>
      </c>
      <c r="D252" s="126" t="s">
        <v>982</v>
      </c>
      <c r="E252" s="126" t="b">
        <v>0</v>
      </c>
      <c r="F252" s="126" t="b">
        <v>0</v>
      </c>
      <c r="G252" s="126" t="b">
        <v>0</v>
      </c>
    </row>
    <row r="253" spans="1:7" ht="15">
      <c r="A253" s="126" t="s">
        <v>958</v>
      </c>
      <c r="B253" s="126">
        <v>2</v>
      </c>
      <c r="C253" s="128">
        <v>0.0015874579360772622</v>
      </c>
      <c r="D253" s="126" t="s">
        <v>982</v>
      </c>
      <c r="E253" s="126" t="b">
        <v>0</v>
      </c>
      <c r="F253" s="126" t="b">
        <v>0</v>
      </c>
      <c r="G253" s="126" t="b">
        <v>0</v>
      </c>
    </row>
    <row r="254" spans="1:7" ht="15">
      <c r="A254" s="126" t="s">
        <v>959</v>
      </c>
      <c r="B254" s="126">
        <v>2</v>
      </c>
      <c r="C254" s="128">
        <v>0.0013318061350887432</v>
      </c>
      <c r="D254" s="126" t="s">
        <v>982</v>
      </c>
      <c r="E254" s="126" t="b">
        <v>0</v>
      </c>
      <c r="F254" s="126" t="b">
        <v>0</v>
      </c>
      <c r="G254" s="126" t="b">
        <v>0</v>
      </c>
    </row>
    <row r="255" spans="1:7" ht="15">
      <c r="A255" s="126" t="s">
        <v>960</v>
      </c>
      <c r="B255" s="126">
        <v>2</v>
      </c>
      <c r="C255" s="128">
        <v>0.0013318061350887432</v>
      </c>
      <c r="D255" s="126" t="s">
        <v>982</v>
      </c>
      <c r="E255" s="126" t="b">
        <v>0</v>
      </c>
      <c r="F255" s="126" t="b">
        <v>0</v>
      </c>
      <c r="G255" s="126" t="b">
        <v>0</v>
      </c>
    </row>
    <row r="256" spans="1:7" ht="15">
      <c r="A256" s="126" t="s">
        <v>961</v>
      </c>
      <c r="B256" s="126">
        <v>2</v>
      </c>
      <c r="C256" s="128">
        <v>0.0013318061350887432</v>
      </c>
      <c r="D256" s="126" t="s">
        <v>982</v>
      </c>
      <c r="E256" s="126" t="b">
        <v>0</v>
      </c>
      <c r="F256" s="126" t="b">
        <v>0</v>
      </c>
      <c r="G256" s="126" t="b">
        <v>0</v>
      </c>
    </row>
    <row r="257" spans="1:7" ht="15">
      <c r="A257" s="126" t="s">
        <v>962</v>
      </c>
      <c r="B257" s="126">
        <v>2</v>
      </c>
      <c r="C257" s="128">
        <v>0.0015874579360772622</v>
      </c>
      <c r="D257" s="126" t="s">
        <v>982</v>
      </c>
      <c r="E257" s="126" t="b">
        <v>0</v>
      </c>
      <c r="F257" s="126" t="b">
        <v>0</v>
      </c>
      <c r="G257" s="126" t="b">
        <v>0</v>
      </c>
    </row>
    <row r="258" spans="1:7" ht="15">
      <c r="A258" s="126" t="s">
        <v>963</v>
      </c>
      <c r="B258" s="126">
        <v>2</v>
      </c>
      <c r="C258" s="128">
        <v>0.0015874579360772622</v>
      </c>
      <c r="D258" s="126" t="s">
        <v>982</v>
      </c>
      <c r="E258" s="126" t="b">
        <v>0</v>
      </c>
      <c r="F258" s="126" t="b">
        <v>0</v>
      </c>
      <c r="G258" s="126" t="b">
        <v>0</v>
      </c>
    </row>
    <row r="259" spans="1:7" ht="15">
      <c r="A259" s="126" t="s">
        <v>964</v>
      </c>
      <c r="B259" s="126">
        <v>2</v>
      </c>
      <c r="C259" s="128">
        <v>0.0013318061350887432</v>
      </c>
      <c r="D259" s="126" t="s">
        <v>982</v>
      </c>
      <c r="E259" s="126" t="b">
        <v>0</v>
      </c>
      <c r="F259" s="126" t="b">
        <v>0</v>
      </c>
      <c r="G259" s="126" t="b">
        <v>0</v>
      </c>
    </row>
    <row r="260" spans="1:7" ht="15">
      <c r="A260" s="126" t="s">
        <v>965</v>
      </c>
      <c r="B260" s="126">
        <v>2</v>
      </c>
      <c r="C260" s="128">
        <v>0.0015874579360772622</v>
      </c>
      <c r="D260" s="126" t="s">
        <v>982</v>
      </c>
      <c r="E260" s="126" t="b">
        <v>0</v>
      </c>
      <c r="F260" s="126" t="b">
        <v>0</v>
      </c>
      <c r="G260" s="126" t="b">
        <v>0</v>
      </c>
    </row>
    <row r="261" spans="1:7" ht="15">
      <c r="A261" s="126" t="s">
        <v>966</v>
      </c>
      <c r="B261" s="126">
        <v>2</v>
      </c>
      <c r="C261" s="128">
        <v>0.0015874579360772622</v>
      </c>
      <c r="D261" s="126" t="s">
        <v>982</v>
      </c>
      <c r="E261" s="126" t="b">
        <v>0</v>
      </c>
      <c r="F261" s="126" t="b">
        <v>0</v>
      </c>
      <c r="G261" s="126" t="b">
        <v>0</v>
      </c>
    </row>
    <row r="262" spans="1:7" ht="15">
      <c r="A262" s="126" t="s">
        <v>967</v>
      </c>
      <c r="B262" s="126">
        <v>2</v>
      </c>
      <c r="C262" s="128">
        <v>0.0015874579360772622</v>
      </c>
      <c r="D262" s="126" t="s">
        <v>982</v>
      </c>
      <c r="E262" s="126" t="b">
        <v>0</v>
      </c>
      <c r="F262" s="126" t="b">
        <v>0</v>
      </c>
      <c r="G262" s="126" t="b">
        <v>0</v>
      </c>
    </row>
    <row r="263" spans="1:7" ht="15">
      <c r="A263" s="126" t="s">
        <v>968</v>
      </c>
      <c r="B263" s="126">
        <v>2</v>
      </c>
      <c r="C263" s="128">
        <v>0.0015874579360772622</v>
      </c>
      <c r="D263" s="126" t="s">
        <v>982</v>
      </c>
      <c r="E263" s="126" t="b">
        <v>0</v>
      </c>
      <c r="F263" s="126" t="b">
        <v>0</v>
      </c>
      <c r="G263" s="126" t="b">
        <v>0</v>
      </c>
    </row>
    <row r="264" spans="1:7" ht="15">
      <c r="A264" s="126" t="s">
        <v>969</v>
      </c>
      <c r="B264" s="126">
        <v>2</v>
      </c>
      <c r="C264" s="128">
        <v>0.0013318061350887432</v>
      </c>
      <c r="D264" s="126" t="s">
        <v>982</v>
      </c>
      <c r="E264" s="126" t="b">
        <v>0</v>
      </c>
      <c r="F264" s="126" t="b">
        <v>1</v>
      </c>
      <c r="G264" s="126" t="b">
        <v>0</v>
      </c>
    </row>
    <row r="265" spans="1:7" ht="15">
      <c r="A265" s="126" t="s">
        <v>970</v>
      </c>
      <c r="B265" s="126">
        <v>2</v>
      </c>
      <c r="C265" s="128">
        <v>0.0013318061350887432</v>
      </c>
      <c r="D265" s="126" t="s">
        <v>982</v>
      </c>
      <c r="E265" s="126" t="b">
        <v>0</v>
      </c>
      <c r="F265" s="126" t="b">
        <v>0</v>
      </c>
      <c r="G265" s="126" t="b">
        <v>0</v>
      </c>
    </row>
    <row r="266" spans="1:7" ht="15">
      <c r="A266" s="126" t="s">
        <v>971</v>
      </c>
      <c r="B266" s="126">
        <v>2</v>
      </c>
      <c r="C266" s="128">
        <v>0.0015874579360772622</v>
      </c>
      <c r="D266" s="126" t="s">
        <v>982</v>
      </c>
      <c r="E266" s="126" t="b">
        <v>0</v>
      </c>
      <c r="F266" s="126" t="b">
        <v>0</v>
      </c>
      <c r="G266" s="126" t="b">
        <v>0</v>
      </c>
    </row>
    <row r="267" spans="1:7" ht="15">
      <c r="A267" s="126" t="s">
        <v>972</v>
      </c>
      <c r="B267" s="126">
        <v>2</v>
      </c>
      <c r="C267" s="128">
        <v>0.0015874579360772622</v>
      </c>
      <c r="D267" s="126" t="s">
        <v>982</v>
      </c>
      <c r="E267" s="126" t="b">
        <v>0</v>
      </c>
      <c r="F267" s="126" t="b">
        <v>0</v>
      </c>
      <c r="G267" s="126" t="b">
        <v>0</v>
      </c>
    </row>
    <row r="268" spans="1:7" ht="15">
      <c r="A268" s="126" t="s">
        <v>973</v>
      </c>
      <c r="B268" s="126">
        <v>2</v>
      </c>
      <c r="C268" s="128">
        <v>0.0015874579360772622</v>
      </c>
      <c r="D268" s="126" t="s">
        <v>982</v>
      </c>
      <c r="E268" s="126" t="b">
        <v>0</v>
      </c>
      <c r="F268" s="126" t="b">
        <v>0</v>
      </c>
      <c r="G268" s="126" t="b">
        <v>0</v>
      </c>
    </row>
    <row r="269" spans="1:7" ht="15">
      <c r="A269" s="126" t="s">
        <v>974</v>
      </c>
      <c r="B269" s="126">
        <v>2</v>
      </c>
      <c r="C269" s="128">
        <v>0.0015874579360772622</v>
      </c>
      <c r="D269" s="126" t="s">
        <v>982</v>
      </c>
      <c r="E269" s="126" t="b">
        <v>0</v>
      </c>
      <c r="F269" s="126" t="b">
        <v>0</v>
      </c>
      <c r="G269" s="126" t="b">
        <v>0</v>
      </c>
    </row>
    <row r="270" spans="1:7" ht="15">
      <c r="A270" s="126" t="s">
        <v>975</v>
      </c>
      <c r="B270" s="126">
        <v>2</v>
      </c>
      <c r="C270" s="128">
        <v>0.0015874579360772622</v>
      </c>
      <c r="D270" s="126" t="s">
        <v>982</v>
      </c>
      <c r="E270" s="126" t="b">
        <v>0</v>
      </c>
      <c r="F270" s="126" t="b">
        <v>0</v>
      </c>
      <c r="G270" s="126" t="b">
        <v>0</v>
      </c>
    </row>
    <row r="271" spans="1:7" ht="15">
      <c r="A271" s="126" t="s">
        <v>976</v>
      </c>
      <c r="B271" s="126">
        <v>2</v>
      </c>
      <c r="C271" s="128">
        <v>0.0015874579360772622</v>
      </c>
      <c r="D271" s="126" t="s">
        <v>982</v>
      </c>
      <c r="E271" s="126" t="b">
        <v>0</v>
      </c>
      <c r="F271" s="126" t="b">
        <v>0</v>
      </c>
      <c r="G271" s="126" t="b">
        <v>0</v>
      </c>
    </row>
    <row r="272" spans="1:7" ht="15">
      <c r="A272" s="126" t="s">
        <v>715</v>
      </c>
      <c r="B272" s="126">
        <v>322</v>
      </c>
      <c r="C272" s="128">
        <v>0.02210404121012264</v>
      </c>
      <c r="D272" s="126" t="s">
        <v>701</v>
      </c>
      <c r="E272" s="126" t="b">
        <v>0</v>
      </c>
      <c r="F272" s="126" t="b">
        <v>0</v>
      </c>
      <c r="G272" s="126" t="b">
        <v>0</v>
      </c>
    </row>
    <row r="273" spans="1:7" ht="15">
      <c r="A273" s="126" t="s">
        <v>716</v>
      </c>
      <c r="B273" s="126">
        <v>158</v>
      </c>
      <c r="C273" s="128">
        <v>0.01941944944884851</v>
      </c>
      <c r="D273" s="126" t="s">
        <v>701</v>
      </c>
      <c r="E273" s="126" t="b">
        <v>0</v>
      </c>
      <c r="F273" s="126" t="b">
        <v>0</v>
      </c>
      <c r="G273" s="126" t="b">
        <v>0</v>
      </c>
    </row>
    <row r="274" spans="1:7" ht="15">
      <c r="A274" s="126" t="s">
        <v>717</v>
      </c>
      <c r="B274" s="126">
        <v>107</v>
      </c>
      <c r="C274" s="128">
        <v>0.015345881056345287</v>
      </c>
      <c r="D274" s="126" t="s">
        <v>701</v>
      </c>
      <c r="E274" s="126" t="b">
        <v>0</v>
      </c>
      <c r="F274" s="126" t="b">
        <v>0</v>
      </c>
      <c r="G274" s="126" t="b">
        <v>0</v>
      </c>
    </row>
    <row r="275" spans="1:7" ht="15">
      <c r="A275" s="126" t="s">
        <v>718</v>
      </c>
      <c r="B275" s="126">
        <v>105</v>
      </c>
      <c r="C275" s="128">
        <v>0.013952258170355553</v>
      </c>
      <c r="D275" s="126" t="s">
        <v>701</v>
      </c>
      <c r="E275" s="126" t="b">
        <v>0</v>
      </c>
      <c r="F275" s="126" t="b">
        <v>0</v>
      </c>
      <c r="G275" s="126" t="b">
        <v>0</v>
      </c>
    </row>
    <row r="276" spans="1:7" ht="15">
      <c r="A276" s="126" t="s">
        <v>719</v>
      </c>
      <c r="B276" s="126">
        <v>71</v>
      </c>
      <c r="C276" s="128">
        <v>0.017130497838113226</v>
      </c>
      <c r="D276" s="126" t="s">
        <v>701</v>
      </c>
      <c r="E276" s="126" t="b">
        <v>0</v>
      </c>
      <c r="F276" s="126" t="b">
        <v>0</v>
      </c>
      <c r="G276" s="126" t="b">
        <v>0</v>
      </c>
    </row>
    <row r="277" spans="1:7" ht="15">
      <c r="A277" s="126" t="s">
        <v>720</v>
      </c>
      <c r="B277" s="126">
        <v>50</v>
      </c>
      <c r="C277" s="128">
        <v>0.008325062951407936</v>
      </c>
      <c r="D277" s="126" t="s">
        <v>701</v>
      </c>
      <c r="E277" s="126" t="b">
        <v>0</v>
      </c>
      <c r="F277" s="126" t="b">
        <v>0</v>
      </c>
      <c r="G277" s="126" t="b">
        <v>0</v>
      </c>
    </row>
    <row r="278" spans="1:7" ht="15">
      <c r="A278" s="126" t="s">
        <v>721</v>
      </c>
      <c r="B278" s="126">
        <v>36</v>
      </c>
      <c r="C278" s="128">
        <v>0.006944077020537451</v>
      </c>
      <c r="D278" s="126" t="s">
        <v>701</v>
      </c>
      <c r="E278" s="126" t="b">
        <v>0</v>
      </c>
      <c r="F278" s="126" t="b">
        <v>0</v>
      </c>
      <c r="G278" s="126" t="b">
        <v>0</v>
      </c>
    </row>
    <row r="279" spans="1:7" ht="15">
      <c r="A279" s="126" t="s">
        <v>722</v>
      </c>
      <c r="B279" s="126">
        <v>36</v>
      </c>
      <c r="C279" s="128">
        <v>0.009026417102341104</v>
      </c>
      <c r="D279" s="126" t="s">
        <v>701</v>
      </c>
      <c r="E279" s="126" t="b">
        <v>0</v>
      </c>
      <c r="F279" s="126" t="b">
        <v>0</v>
      </c>
      <c r="G279" s="126" t="b">
        <v>0</v>
      </c>
    </row>
    <row r="280" spans="1:7" ht="15">
      <c r="A280" s="126" t="s">
        <v>723</v>
      </c>
      <c r="B280" s="126">
        <v>29</v>
      </c>
      <c r="C280" s="128">
        <v>0.009300790936433139</v>
      </c>
      <c r="D280" s="126" t="s">
        <v>701</v>
      </c>
      <c r="E280" s="126" t="b">
        <v>0</v>
      </c>
      <c r="F280" s="126" t="b">
        <v>0</v>
      </c>
      <c r="G280" s="126" t="b">
        <v>0</v>
      </c>
    </row>
    <row r="281" spans="1:7" ht="15">
      <c r="A281" s="126" t="s">
        <v>724</v>
      </c>
      <c r="B281" s="126">
        <v>29</v>
      </c>
      <c r="C281" s="128">
        <v>0.014410866134375274</v>
      </c>
      <c r="D281" s="126" t="s">
        <v>701</v>
      </c>
      <c r="E281" s="126" t="b">
        <v>0</v>
      </c>
      <c r="F281" s="126" t="b">
        <v>0</v>
      </c>
      <c r="G281" s="126" t="b">
        <v>0</v>
      </c>
    </row>
    <row r="282" spans="1:7" ht="15">
      <c r="A282" s="126" t="s">
        <v>725</v>
      </c>
      <c r="B282" s="126">
        <v>24</v>
      </c>
      <c r="C282" s="128">
        <v>0.005368754536649885</v>
      </c>
      <c r="D282" s="126" t="s">
        <v>701</v>
      </c>
      <c r="E282" s="126" t="b">
        <v>0</v>
      </c>
      <c r="F282" s="126" t="b">
        <v>0</v>
      </c>
      <c r="G282" s="126" t="b">
        <v>0</v>
      </c>
    </row>
    <row r="283" spans="1:7" ht="15">
      <c r="A283" s="126" t="s">
        <v>727</v>
      </c>
      <c r="B283" s="126">
        <v>21</v>
      </c>
      <c r="C283" s="128">
        <v>0.006448058329132697</v>
      </c>
      <c r="D283" s="126" t="s">
        <v>701</v>
      </c>
      <c r="E283" s="126" t="b">
        <v>0</v>
      </c>
      <c r="F283" s="126" t="b">
        <v>0</v>
      </c>
      <c r="G283" s="126" t="b">
        <v>0</v>
      </c>
    </row>
    <row r="284" spans="1:7" ht="15">
      <c r="A284" s="126" t="s">
        <v>726</v>
      </c>
      <c r="B284" s="126">
        <v>21</v>
      </c>
      <c r="C284" s="128">
        <v>0.007751110876581953</v>
      </c>
      <c r="D284" s="126" t="s">
        <v>701</v>
      </c>
      <c r="E284" s="126" t="b">
        <v>0</v>
      </c>
      <c r="F284" s="126" t="b">
        <v>0</v>
      </c>
      <c r="G284" s="126" t="b">
        <v>0</v>
      </c>
    </row>
    <row r="285" spans="1:7" ht="15">
      <c r="A285" s="126" t="s">
        <v>728</v>
      </c>
      <c r="B285" s="126">
        <v>20</v>
      </c>
      <c r="C285" s="128">
        <v>0.0061410079325073304</v>
      </c>
      <c r="D285" s="126" t="s">
        <v>701</v>
      </c>
      <c r="E285" s="126" t="b">
        <v>0</v>
      </c>
      <c r="F285" s="126" t="b">
        <v>0</v>
      </c>
      <c r="G285" s="126" t="b">
        <v>0</v>
      </c>
    </row>
    <row r="286" spans="1:7" ht="15">
      <c r="A286" s="126" t="s">
        <v>729</v>
      </c>
      <c r="B286" s="126">
        <v>18</v>
      </c>
      <c r="C286" s="128">
        <v>0.004882416293141673</v>
      </c>
      <c r="D286" s="126" t="s">
        <v>701</v>
      </c>
      <c r="E286" s="126" t="b">
        <v>0</v>
      </c>
      <c r="F286" s="126" t="b">
        <v>0</v>
      </c>
      <c r="G286" s="126" t="b">
        <v>0</v>
      </c>
    </row>
    <row r="287" spans="1:7" ht="15">
      <c r="A287" s="126" t="s">
        <v>730</v>
      </c>
      <c r="B287" s="126">
        <v>18</v>
      </c>
      <c r="C287" s="128">
        <v>0.005297888871403529</v>
      </c>
      <c r="D287" s="126" t="s">
        <v>701</v>
      </c>
      <c r="E287" s="126" t="b">
        <v>0</v>
      </c>
      <c r="F287" s="126" t="b">
        <v>0</v>
      </c>
      <c r="G287" s="126" t="b">
        <v>0</v>
      </c>
    </row>
    <row r="288" spans="1:7" ht="15">
      <c r="A288" s="126" t="s">
        <v>731</v>
      </c>
      <c r="B288" s="126">
        <v>17</v>
      </c>
      <c r="C288" s="128">
        <v>0.005452187790322875</v>
      </c>
      <c r="D288" s="126" t="s">
        <v>701</v>
      </c>
      <c r="E288" s="126" t="b">
        <v>0</v>
      </c>
      <c r="F288" s="126" t="b">
        <v>0</v>
      </c>
      <c r="G288" s="126" t="b">
        <v>0</v>
      </c>
    </row>
    <row r="289" spans="1:7" ht="15">
      <c r="A289" s="126" t="s">
        <v>734</v>
      </c>
      <c r="B289" s="126">
        <v>15</v>
      </c>
      <c r="C289" s="128">
        <v>0.005272860092820072</v>
      </c>
      <c r="D289" s="126" t="s">
        <v>701</v>
      </c>
      <c r="E289" s="126" t="b">
        <v>0</v>
      </c>
      <c r="F289" s="126" t="b">
        <v>0</v>
      </c>
      <c r="G289" s="126" t="b">
        <v>0</v>
      </c>
    </row>
    <row r="290" spans="1:7" ht="15">
      <c r="A290" s="126" t="s">
        <v>735</v>
      </c>
      <c r="B290" s="126">
        <v>15</v>
      </c>
      <c r="C290" s="128">
        <v>0.009988546013165574</v>
      </c>
      <c r="D290" s="126" t="s">
        <v>701</v>
      </c>
      <c r="E290" s="126" t="b">
        <v>0</v>
      </c>
      <c r="F290" s="126" t="b">
        <v>0</v>
      </c>
      <c r="G290" s="126" t="b">
        <v>0</v>
      </c>
    </row>
    <row r="291" spans="1:7" ht="15">
      <c r="A291" s="126" t="s">
        <v>732</v>
      </c>
      <c r="B291" s="126">
        <v>15</v>
      </c>
      <c r="C291" s="128">
        <v>0.00553650776898711</v>
      </c>
      <c r="D291" s="126" t="s">
        <v>701</v>
      </c>
      <c r="E291" s="126" t="b">
        <v>0</v>
      </c>
      <c r="F291" s="126" t="b">
        <v>0</v>
      </c>
      <c r="G291" s="126" t="b">
        <v>0</v>
      </c>
    </row>
    <row r="292" spans="1:7" ht="15">
      <c r="A292" s="126" t="s">
        <v>733</v>
      </c>
      <c r="B292" s="126">
        <v>15</v>
      </c>
      <c r="C292" s="128">
        <v>0.006523144456794391</v>
      </c>
      <c r="D292" s="126" t="s">
        <v>701</v>
      </c>
      <c r="E292" s="126" t="b">
        <v>0</v>
      </c>
      <c r="F292" s="126" t="b">
        <v>0</v>
      </c>
      <c r="G292" s="126" t="b">
        <v>0</v>
      </c>
    </row>
    <row r="293" spans="1:7" ht="15">
      <c r="A293" s="126" t="s">
        <v>736</v>
      </c>
      <c r="B293" s="126">
        <v>14</v>
      </c>
      <c r="C293" s="128">
        <v>0.004490037003795309</v>
      </c>
      <c r="D293" s="126" t="s">
        <v>701</v>
      </c>
      <c r="E293" s="126" t="b">
        <v>0</v>
      </c>
      <c r="F293" s="126" t="b">
        <v>0</v>
      </c>
      <c r="G293" s="126" t="b">
        <v>0</v>
      </c>
    </row>
    <row r="294" spans="1:7" ht="15">
      <c r="A294" s="126" t="s">
        <v>737</v>
      </c>
      <c r="B294" s="126">
        <v>14</v>
      </c>
      <c r="C294" s="128">
        <v>0.007533080338701569</v>
      </c>
      <c r="D294" s="126" t="s">
        <v>701</v>
      </c>
      <c r="E294" s="126" t="b">
        <v>0</v>
      </c>
      <c r="F294" s="126" t="b">
        <v>0</v>
      </c>
      <c r="G294" s="126" t="b">
        <v>0</v>
      </c>
    </row>
    <row r="295" spans="1:7" ht="15">
      <c r="A295" s="126" t="s">
        <v>739</v>
      </c>
      <c r="B295" s="126">
        <v>13</v>
      </c>
      <c r="C295" s="128">
        <v>0.004169320074952786</v>
      </c>
      <c r="D295" s="126" t="s">
        <v>701</v>
      </c>
      <c r="E295" s="126" t="b">
        <v>0</v>
      </c>
      <c r="F295" s="126" t="b">
        <v>0</v>
      </c>
      <c r="G295" s="126" t="b">
        <v>0</v>
      </c>
    </row>
    <row r="296" spans="1:7" ht="15">
      <c r="A296" s="126" t="s">
        <v>738</v>
      </c>
      <c r="B296" s="126">
        <v>13</v>
      </c>
      <c r="C296" s="128">
        <v>0.005333266465226082</v>
      </c>
      <c r="D296" s="126" t="s">
        <v>701</v>
      </c>
      <c r="E296" s="126" t="b">
        <v>0</v>
      </c>
      <c r="F296" s="126" t="b">
        <v>0</v>
      </c>
      <c r="G296" s="126" t="b">
        <v>0</v>
      </c>
    </row>
    <row r="297" spans="1:7" ht="15">
      <c r="A297" s="126" t="s">
        <v>740</v>
      </c>
      <c r="B297" s="126">
        <v>12</v>
      </c>
      <c r="C297" s="128">
        <v>0.005218515565435512</v>
      </c>
      <c r="D297" s="126" t="s">
        <v>701</v>
      </c>
      <c r="E297" s="126" t="b">
        <v>0</v>
      </c>
      <c r="F297" s="126" t="b">
        <v>0</v>
      </c>
      <c r="G297" s="126" t="b">
        <v>0</v>
      </c>
    </row>
    <row r="298" spans="1:7" ht="15">
      <c r="A298" s="126" t="s">
        <v>741</v>
      </c>
      <c r="B298" s="126">
        <v>11</v>
      </c>
      <c r="C298" s="128">
        <v>0.004783639268315886</v>
      </c>
      <c r="D298" s="126" t="s">
        <v>701</v>
      </c>
      <c r="E298" s="126" t="b">
        <v>0</v>
      </c>
      <c r="F298" s="126" t="b">
        <v>0</v>
      </c>
      <c r="G298" s="126" t="b">
        <v>0</v>
      </c>
    </row>
    <row r="299" spans="1:7" ht="15">
      <c r="A299" s="126" t="s">
        <v>746</v>
      </c>
      <c r="B299" s="126">
        <v>10</v>
      </c>
      <c r="C299" s="128">
        <v>0.005911297091343158</v>
      </c>
      <c r="D299" s="126" t="s">
        <v>701</v>
      </c>
      <c r="E299" s="126" t="b">
        <v>0</v>
      </c>
      <c r="F299" s="126" t="b">
        <v>0</v>
      </c>
      <c r="G299" s="126" t="b">
        <v>0</v>
      </c>
    </row>
    <row r="300" spans="1:7" ht="15">
      <c r="A300" s="126" t="s">
        <v>745</v>
      </c>
      <c r="B300" s="126">
        <v>10</v>
      </c>
      <c r="C300" s="128">
        <v>0.005911297091343158</v>
      </c>
      <c r="D300" s="126" t="s">
        <v>701</v>
      </c>
      <c r="E300" s="126" t="b">
        <v>0</v>
      </c>
      <c r="F300" s="126" t="b">
        <v>0</v>
      </c>
      <c r="G300" s="126" t="b">
        <v>0</v>
      </c>
    </row>
    <row r="301" spans="1:7" ht="15">
      <c r="A301" s="126" t="s">
        <v>742</v>
      </c>
      <c r="B301" s="126">
        <v>10</v>
      </c>
      <c r="C301" s="128">
        <v>0.0036910051793247398</v>
      </c>
      <c r="D301" s="126" t="s">
        <v>701</v>
      </c>
      <c r="E301" s="126" t="b">
        <v>0</v>
      </c>
      <c r="F301" s="126" t="b">
        <v>1</v>
      </c>
      <c r="G301" s="126" t="b">
        <v>0</v>
      </c>
    </row>
    <row r="302" spans="1:7" ht="15">
      <c r="A302" s="126" t="s">
        <v>744</v>
      </c>
      <c r="B302" s="126">
        <v>10</v>
      </c>
      <c r="C302" s="128">
        <v>0.0038853045023000054</v>
      </c>
      <c r="D302" s="126" t="s">
        <v>701</v>
      </c>
      <c r="E302" s="126" t="b">
        <v>0</v>
      </c>
      <c r="F302" s="126" t="b">
        <v>0</v>
      </c>
      <c r="G302" s="126" t="b">
        <v>0</v>
      </c>
    </row>
    <row r="303" spans="1:7" ht="15">
      <c r="A303" s="126" t="s">
        <v>748</v>
      </c>
      <c r="B303" s="126">
        <v>10</v>
      </c>
      <c r="C303" s="128">
        <v>0.005911297091343158</v>
      </c>
      <c r="D303" s="126" t="s">
        <v>701</v>
      </c>
      <c r="E303" s="126" t="b">
        <v>0</v>
      </c>
      <c r="F303" s="126" t="b">
        <v>0</v>
      </c>
      <c r="G303" s="126" t="b">
        <v>0</v>
      </c>
    </row>
    <row r="304" spans="1:7" ht="15">
      <c r="A304" s="126" t="s">
        <v>743</v>
      </c>
      <c r="B304" s="126">
        <v>10</v>
      </c>
      <c r="C304" s="128">
        <v>0.0036910051793247398</v>
      </c>
      <c r="D304" s="126" t="s">
        <v>701</v>
      </c>
      <c r="E304" s="126" t="b">
        <v>0</v>
      </c>
      <c r="F304" s="126" t="b">
        <v>0</v>
      </c>
      <c r="G304" s="126" t="b">
        <v>0</v>
      </c>
    </row>
    <row r="305" spans="1:7" ht="15">
      <c r="A305" s="126" t="s">
        <v>747</v>
      </c>
      <c r="B305" s="126">
        <v>10</v>
      </c>
      <c r="C305" s="128">
        <v>0.0066590306754437155</v>
      </c>
      <c r="D305" s="126" t="s">
        <v>701</v>
      </c>
      <c r="E305" s="126" t="b">
        <v>0</v>
      </c>
      <c r="F305" s="126" t="b">
        <v>0</v>
      </c>
      <c r="G305" s="126" t="b">
        <v>0</v>
      </c>
    </row>
    <row r="306" spans="1:7" ht="15">
      <c r="A306" s="126" t="s">
        <v>750</v>
      </c>
      <c r="B306" s="126">
        <v>9</v>
      </c>
      <c r="C306" s="128">
        <v>0.004842694503451008</v>
      </c>
      <c r="D306" s="126" t="s">
        <v>701</v>
      </c>
      <c r="E306" s="126" t="b">
        <v>0</v>
      </c>
      <c r="F306" s="126" t="b">
        <v>1</v>
      </c>
      <c r="G306" s="126" t="b">
        <v>0</v>
      </c>
    </row>
    <row r="307" spans="1:7" ht="15">
      <c r="A307" s="126" t="s">
        <v>752</v>
      </c>
      <c r="B307" s="126">
        <v>9</v>
      </c>
      <c r="C307" s="128">
        <v>0.0053201673822088425</v>
      </c>
      <c r="D307" s="126" t="s">
        <v>701</v>
      </c>
      <c r="E307" s="126" t="b">
        <v>0</v>
      </c>
      <c r="F307" s="126" t="b">
        <v>0</v>
      </c>
      <c r="G307" s="126" t="b">
        <v>0</v>
      </c>
    </row>
    <row r="308" spans="1:7" ht="15">
      <c r="A308" s="126" t="s">
        <v>754</v>
      </c>
      <c r="B308" s="126">
        <v>9</v>
      </c>
      <c r="C308" s="128">
        <v>0.003913886674076634</v>
      </c>
      <c r="D308" s="126" t="s">
        <v>701</v>
      </c>
      <c r="E308" s="126" t="b">
        <v>0</v>
      </c>
      <c r="F308" s="126" t="b">
        <v>0</v>
      </c>
      <c r="G308" s="126" t="b">
        <v>0</v>
      </c>
    </row>
    <row r="309" spans="1:7" ht="15">
      <c r="A309" s="126" t="s">
        <v>755</v>
      </c>
      <c r="B309" s="126">
        <v>9</v>
      </c>
      <c r="C309" s="128">
        <v>0.005993127607899344</v>
      </c>
      <c r="D309" s="126" t="s">
        <v>701</v>
      </c>
      <c r="E309" s="126" t="b">
        <v>0</v>
      </c>
      <c r="F309" s="126" t="b">
        <v>0</v>
      </c>
      <c r="G309" s="126" t="b">
        <v>0</v>
      </c>
    </row>
    <row r="310" spans="1:7" ht="15">
      <c r="A310" s="126" t="s">
        <v>753</v>
      </c>
      <c r="B310" s="126">
        <v>9</v>
      </c>
      <c r="C310" s="128">
        <v>0.005993127607899344</v>
      </c>
      <c r="D310" s="126" t="s">
        <v>701</v>
      </c>
      <c r="E310" s="126" t="b">
        <v>0</v>
      </c>
      <c r="F310" s="126" t="b">
        <v>0</v>
      </c>
      <c r="G310" s="126" t="b">
        <v>0</v>
      </c>
    </row>
    <row r="311" spans="1:7" ht="15">
      <c r="A311" s="126" t="s">
        <v>751</v>
      </c>
      <c r="B311" s="126">
        <v>9</v>
      </c>
      <c r="C311" s="128">
        <v>0.003496774052070005</v>
      </c>
      <c r="D311" s="126" t="s">
        <v>701</v>
      </c>
      <c r="E311" s="126" t="b">
        <v>0</v>
      </c>
      <c r="F311" s="126" t="b">
        <v>0</v>
      </c>
      <c r="G311" s="126" t="b">
        <v>0</v>
      </c>
    </row>
    <row r="312" spans="1:7" ht="15">
      <c r="A312" s="126" t="s">
        <v>749</v>
      </c>
      <c r="B312" s="126">
        <v>9</v>
      </c>
      <c r="C312" s="128">
        <v>0.00714356071234768</v>
      </c>
      <c r="D312" s="126" t="s">
        <v>701</v>
      </c>
      <c r="E312" s="126" t="b">
        <v>0</v>
      </c>
      <c r="F312" s="126" t="b">
        <v>0</v>
      </c>
      <c r="G312" s="126" t="b">
        <v>0</v>
      </c>
    </row>
    <row r="313" spans="1:7" ht="15">
      <c r="A313" s="126" t="s">
        <v>757</v>
      </c>
      <c r="B313" s="126">
        <v>8</v>
      </c>
      <c r="C313" s="128">
        <v>0.003975411347413868</v>
      </c>
      <c r="D313" s="126" t="s">
        <v>701</v>
      </c>
      <c r="E313" s="126" t="b">
        <v>0</v>
      </c>
      <c r="F313" s="126" t="b">
        <v>0</v>
      </c>
      <c r="G313" s="126" t="b">
        <v>0</v>
      </c>
    </row>
    <row r="314" spans="1:7" ht="15">
      <c r="A314" s="126" t="s">
        <v>756</v>
      </c>
      <c r="B314" s="126">
        <v>8</v>
      </c>
      <c r="C314" s="128">
        <v>0.0034790103769570084</v>
      </c>
      <c r="D314" s="126" t="s">
        <v>701</v>
      </c>
      <c r="E314" s="126" t="b">
        <v>0</v>
      </c>
      <c r="F314" s="126" t="b">
        <v>0</v>
      </c>
      <c r="G314" s="126" t="b">
        <v>0</v>
      </c>
    </row>
    <row r="315" spans="1:7" ht="15">
      <c r="A315" s="126" t="s">
        <v>759</v>
      </c>
      <c r="B315" s="126">
        <v>7</v>
      </c>
      <c r="C315" s="128">
        <v>0.004137907963940211</v>
      </c>
      <c r="D315" s="126" t="s">
        <v>701</v>
      </c>
      <c r="E315" s="126" t="b">
        <v>0</v>
      </c>
      <c r="F315" s="126" t="b">
        <v>0</v>
      </c>
      <c r="G315" s="126" t="b">
        <v>0</v>
      </c>
    </row>
    <row r="316" spans="1:7" ht="15">
      <c r="A316" s="126" t="s">
        <v>760</v>
      </c>
      <c r="B316" s="126">
        <v>7</v>
      </c>
      <c r="C316" s="128">
        <v>0.004137907963940211</v>
      </c>
      <c r="D316" s="126" t="s">
        <v>701</v>
      </c>
      <c r="E316" s="126" t="b">
        <v>0</v>
      </c>
      <c r="F316" s="126" t="b">
        <v>0</v>
      </c>
      <c r="G316" s="126" t="b">
        <v>0</v>
      </c>
    </row>
    <row r="317" spans="1:7" ht="15">
      <c r="A317" s="126" t="s">
        <v>764</v>
      </c>
      <c r="B317" s="126">
        <v>7</v>
      </c>
      <c r="C317" s="128">
        <v>0.003478484928987135</v>
      </c>
      <c r="D317" s="126" t="s">
        <v>701</v>
      </c>
      <c r="E317" s="126" t="b">
        <v>0</v>
      </c>
      <c r="F317" s="126" t="b">
        <v>0</v>
      </c>
      <c r="G317" s="126" t="b">
        <v>0</v>
      </c>
    </row>
    <row r="318" spans="1:7" ht="15">
      <c r="A318" s="126" t="s">
        <v>763</v>
      </c>
      <c r="B318" s="126">
        <v>7</v>
      </c>
      <c r="C318" s="128">
        <v>0.0037665401693507843</v>
      </c>
      <c r="D318" s="126" t="s">
        <v>701</v>
      </c>
      <c r="E318" s="126" t="b">
        <v>0</v>
      </c>
      <c r="F318" s="126" t="b">
        <v>0</v>
      </c>
      <c r="G318" s="126" t="b">
        <v>0</v>
      </c>
    </row>
    <row r="319" spans="1:7" ht="15">
      <c r="A319" s="126" t="s">
        <v>767</v>
      </c>
      <c r="B319" s="126">
        <v>7</v>
      </c>
      <c r="C319" s="128">
        <v>0.0037665401693507843</v>
      </c>
      <c r="D319" s="126" t="s">
        <v>701</v>
      </c>
      <c r="E319" s="126" t="b">
        <v>0</v>
      </c>
      <c r="F319" s="126" t="b">
        <v>0</v>
      </c>
      <c r="G319" s="126" t="b">
        <v>0</v>
      </c>
    </row>
    <row r="320" spans="1:7" ht="15">
      <c r="A320" s="126" t="s">
        <v>762</v>
      </c>
      <c r="B320" s="126">
        <v>7</v>
      </c>
      <c r="C320" s="128">
        <v>0.0037665401693507843</v>
      </c>
      <c r="D320" s="126" t="s">
        <v>701</v>
      </c>
      <c r="E320" s="126" t="b">
        <v>0</v>
      </c>
      <c r="F320" s="126" t="b">
        <v>0</v>
      </c>
      <c r="G320" s="126" t="b">
        <v>0</v>
      </c>
    </row>
    <row r="321" spans="1:7" ht="15">
      <c r="A321" s="126" t="s">
        <v>761</v>
      </c>
      <c r="B321" s="126">
        <v>7</v>
      </c>
      <c r="C321" s="128">
        <v>0.0032431266604803946</v>
      </c>
      <c r="D321" s="126" t="s">
        <v>701</v>
      </c>
      <c r="E321" s="126" t="b">
        <v>0</v>
      </c>
      <c r="F321" s="126" t="b">
        <v>0</v>
      </c>
      <c r="G321" s="126" t="b">
        <v>0</v>
      </c>
    </row>
    <row r="322" spans="1:7" ht="15">
      <c r="A322" s="126" t="s">
        <v>766</v>
      </c>
      <c r="B322" s="126">
        <v>7</v>
      </c>
      <c r="C322" s="128">
        <v>0.004661321472810601</v>
      </c>
      <c r="D322" s="126" t="s">
        <v>701</v>
      </c>
      <c r="E322" s="126" t="b">
        <v>0</v>
      </c>
      <c r="F322" s="126" t="b">
        <v>0</v>
      </c>
      <c r="G322" s="126" t="b">
        <v>0</v>
      </c>
    </row>
    <row r="323" spans="1:7" ht="15">
      <c r="A323" s="126" t="s">
        <v>765</v>
      </c>
      <c r="B323" s="126">
        <v>7</v>
      </c>
      <c r="C323" s="128">
        <v>0.0032431266604803946</v>
      </c>
      <c r="D323" s="126" t="s">
        <v>701</v>
      </c>
      <c r="E323" s="126" t="b">
        <v>0</v>
      </c>
      <c r="F323" s="126" t="b">
        <v>0</v>
      </c>
      <c r="G323" s="126" t="b">
        <v>0</v>
      </c>
    </row>
    <row r="324" spans="1:7" ht="15">
      <c r="A324" s="126" t="s">
        <v>758</v>
      </c>
      <c r="B324" s="126">
        <v>7</v>
      </c>
      <c r="C324" s="128">
        <v>0.0037665401693507843</v>
      </c>
      <c r="D324" s="126" t="s">
        <v>701</v>
      </c>
      <c r="E324" s="126" t="b">
        <v>0</v>
      </c>
      <c r="F324" s="126" t="b">
        <v>0</v>
      </c>
      <c r="G324" s="126" t="b">
        <v>0</v>
      </c>
    </row>
    <row r="325" spans="1:7" ht="15">
      <c r="A325" s="126" t="s">
        <v>773</v>
      </c>
      <c r="B325" s="126">
        <v>6</v>
      </c>
      <c r="C325" s="128">
        <v>0.0029815585105604013</v>
      </c>
      <c r="D325" s="126" t="s">
        <v>701</v>
      </c>
      <c r="E325" s="126" t="b">
        <v>0</v>
      </c>
      <c r="F325" s="126" t="b">
        <v>0</v>
      </c>
      <c r="G325" s="126" t="b">
        <v>0</v>
      </c>
    </row>
    <row r="326" spans="1:7" ht="15">
      <c r="A326" s="126" t="s">
        <v>778</v>
      </c>
      <c r="B326" s="126">
        <v>6</v>
      </c>
      <c r="C326" s="128">
        <v>0.003546778254805895</v>
      </c>
      <c r="D326" s="126" t="s">
        <v>701</v>
      </c>
      <c r="E326" s="126" t="b">
        <v>0</v>
      </c>
      <c r="F326" s="126" t="b">
        <v>0</v>
      </c>
      <c r="G326" s="126" t="b">
        <v>0</v>
      </c>
    </row>
    <row r="327" spans="1:7" ht="15">
      <c r="A327" s="126" t="s">
        <v>771</v>
      </c>
      <c r="B327" s="126">
        <v>6</v>
      </c>
      <c r="C327" s="128">
        <v>0.002779822851840338</v>
      </c>
      <c r="D327" s="126" t="s">
        <v>701</v>
      </c>
      <c r="E327" s="126" t="b">
        <v>0</v>
      </c>
      <c r="F327" s="126" t="b">
        <v>0</v>
      </c>
      <c r="G327" s="126" t="b">
        <v>0</v>
      </c>
    </row>
    <row r="328" spans="1:7" ht="15">
      <c r="A328" s="126" t="s">
        <v>777</v>
      </c>
      <c r="B328" s="126">
        <v>6</v>
      </c>
      <c r="C328" s="128">
        <v>0.003995418405266229</v>
      </c>
      <c r="D328" s="126" t="s">
        <v>701</v>
      </c>
      <c r="E328" s="126" t="b">
        <v>0</v>
      </c>
      <c r="F328" s="126" t="b">
        <v>0</v>
      </c>
      <c r="G328" s="126" t="b">
        <v>0</v>
      </c>
    </row>
    <row r="329" spans="1:7" ht="15">
      <c r="A329" s="126" t="s">
        <v>769</v>
      </c>
      <c r="B329" s="126">
        <v>6</v>
      </c>
      <c r="C329" s="128">
        <v>0.0029815585105604013</v>
      </c>
      <c r="D329" s="126" t="s">
        <v>701</v>
      </c>
      <c r="E329" s="126" t="b">
        <v>0</v>
      </c>
      <c r="F329" s="126" t="b">
        <v>0</v>
      </c>
      <c r="G329" s="126" t="b">
        <v>0</v>
      </c>
    </row>
    <row r="330" spans="1:7" ht="15">
      <c r="A330" s="126" t="s">
        <v>772</v>
      </c>
      <c r="B330" s="126">
        <v>6</v>
      </c>
      <c r="C330" s="128">
        <v>0.0029815585105604013</v>
      </c>
      <c r="D330" s="126" t="s">
        <v>701</v>
      </c>
      <c r="E330" s="126" t="b">
        <v>0</v>
      </c>
      <c r="F330" s="126" t="b">
        <v>0</v>
      </c>
      <c r="G330" s="126" t="b">
        <v>0</v>
      </c>
    </row>
    <row r="331" spans="1:7" ht="15">
      <c r="A331" s="126" t="s">
        <v>770</v>
      </c>
      <c r="B331" s="126">
        <v>6</v>
      </c>
      <c r="C331" s="128">
        <v>0.002779822851840338</v>
      </c>
      <c r="D331" s="126" t="s">
        <v>701</v>
      </c>
      <c r="E331" s="126" t="b">
        <v>0</v>
      </c>
      <c r="F331" s="126" t="b">
        <v>0</v>
      </c>
      <c r="G331" s="126" t="b">
        <v>0</v>
      </c>
    </row>
    <row r="332" spans="1:7" ht="15">
      <c r="A332" s="126" t="s">
        <v>776</v>
      </c>
      <c r="B332" s="126">
        <v>6</v>
      </c>
      <c r="C332" s="128">
        <v>0.003995418405266229</v>
      </c>
      <c r="D332" s="126" t="s">
        <v>701</v>
      </c>
      <c r="E332" s="126" t="b">
        <v>0</v>
      </c>
      <c r="F332" s="126" t="b">
        <v>0</v>
      </c>
      <c r="G332" s="126" t="b">
        <v>0</v>
      </c>
    </row>
    <row r="333" spans="1:7" ht="15">
      <c r="A333" s="126" t="s">
        <v>774</v>
      </c>
      <c r="B333" s="126">
        <v>6</v>
      </c>
      <c r="C333" s="128">
        <v>0.0047623738082317865</v>
      </c>
      <c r="D333" s="126" t="s">
        <v>701</v>
      </c>
      <c r="E333" s="126" t="b">
        <v>0</v>
      </c>
      <c r="F333" s="126" t="b">
        <v>0</v>
      </c>
      <c r="G333" s="126" t="b">
        <v>0</v>
      </c>
    </row>
    <row r="334" spans="1:7" ht="15">
      <c r="A334" s="126" t="s">
        <v>775</v>
      </c>
      <c r="B334" s="126">
        <v>6</v>
      </c>
      <c r="C334" s="128">
        <v>0.0047623738082317865</v>
      </c>
      <c r="D334" s="126" t="s">
        <v>701</v>
      </c>
      <c r="E334" s="126" t="b">
        <v>0</v>
      </c>
      <c r="F334" s="126" t="b">
        <v>1</v>
      </c>
      <c r="G334" s="126" t="b">
        <v>0</v>
      </c>
    </row>
    <row r="335" spans="1:7" ht="15">
      <c r="A335" s="126" t="s">
        <v>768</v>
      </c>
      <c r="B335" s="126">
        <v>6</v>
      </c>
      <c r="C335" s="128">
        <v>0.003995418405266229</v>
      </c>
      <c r="D335" s="126" t="s">
        <v>701</v>
      </c>
      <c r="E335" s="126" t="b">
        <v>0</v>
      </c>
      <c r="F335" s="126" t="b">
        <v>0</v>
      </c>
      <c r="G335" s="126" t="b">
        <v>0</v>
      </c>
    </row>
    <row r="336" spans="1:7" ht="15">
      <c r="A336" s="126" t="s">
        <v>788</v>
      </c>
      <c r="B336" s="126">
        <v>5</v>
      </c>
      <c r="C336" s="128">
        <v>0.0033295153377218578</v>
      </c>
      <c r="D336" s="126" t="s">
        <v>701</v>
      </c>
      <c r="E336" s="126" t="b">
        <v>0</v>
      </c>
      <c r="F336" s="126" t="b">
        <v>0</v>
      </c>
      <c r="G336" s="126" t="b">
        <v>0</v>
      </c>
    </row>
    <row r="337" spans="1:7" ht="15">
      <c r="A337" s="126" t="s">
        <v>790</v>
      </c>
      <c r="B337" s="126">
        <v>5</v>
      </c>
      <c r="C337" s="128">
        <v>0.0026903858352505597</v>
      </c>
      <c r="D337" s="126" t="s">
        <v>701</v>
      </c>
      <c r="E337" s="126" t="b">
        <v>0</v>
      </c>
      <c r="F337" s="126" t="b">
        <v>0</v>
      </c>
      <c r="G337" s="126" t="b">
        <v>0</v>
      </c>
    </row>
    <row r="338" spans="1:7" ht="15">
      <c r="A338" s="126" t="s">
        <v>792</v>
      </c>
      <c r="B338" s="126">
        <v>5</v>
      </c>
      <c r="C338" s="128">
        <v>0.0026903858352505597</v>
      </c>
      <c r="D338" s="126" t="s">
        <v>701</v>
      </c>
      <c r="E338" s="126" t="b">
        <v>0</v>
      </c>
      <c r="F338" s="126" t="b">
        <v>0</v>
      </c>
      <c r="G338" s="126" t="b">
        <v>0</v>
      </c>
    </row>
    <row r="339" spans="1:7" ht="15">
      <c r="A339" s="126" t="s">
        <v>789</v>
      </c>
      <c r="B339" s="126">
        <v>5</v>
      </c>
      <c r="C339" s="128">
        <v>0.002955648545671579</v>
      </c>
      <c r="D339" s="126" t="s">
        <v>701</v>
      </c>
      <c r="E339" s="126" t="b">
        <v>0</v>
      </c>
      <c r="F339" s="126" t="b">
        <v>0</v>
      </c>
      <c r="G339" s="126" t="b">
        <v>0</v>
      </c>
    </row>
    <row r="340" spans="1:7" ht="15">
      <c r="A340" s="126" t="s">
        <v>781</v>
      </c>
      <c r="B340" s="126">
        <v>5</v>
      </c>
      <c r="C340" s="128">
        <v>0.0024846320921336675</v>
      </c>
      <c r="D340" s="126" t="s">
        <v>701</v>
      </c>
      <c r="E340" s="126" t="b">
        <v>0</v>
      </c>
      <c r="F340" s="126" t="b">
        <v>0</v>
      </c>
      <c r="G340" s="126" t="b">
        <v>0</v>
      </c>
    </row>
    <row r="341" spans="1:7" ht="15">
      <c r="A341" s="126" t="s">
        <v>791</v>
      </c>
      <c r="B341" s="126">
        <v>5</v>
      </c>
      <c r="C341" s="128">
        <v>0.0024846320921336675</v>
      </c>
      <c r="D341" s="126" t="s">
        <v>701</v>
      </c>
      <c r="E341" s="126" t="b">
        <v>0</v>
      </c>
      <c r="F341" s="126" t="b">
        <v>0</v>
      </c>
      <c r="G341" s="126" t="b">
        <v>0</v>
      </c>
    </row>
    <row r="342" spans="1:7" ht="15">
      <c r="A342" s="126" t="s">
        <v>780</v>
      </c>
      <c r="B342" s="126">
        <v>5</v>
      </c>
      <c r="C342" s="128">
        <v>0.0024846320921336675</v>
      </c>
      <c r="D342" s="126" t="s">
        <v>701</v>
      </c>
      <c r="E342" s="126" t="b">
        <v>0</v>
      </c>
      <c r="F342" s="126" t="b">
        <v>0</v>
      </c>
      <c r="G342" s="126" t="b">
        <v>0</v>
      </c>
    </row>
    <row r="343" spans="1:7" ht="15">
      <c r="A343" s="126" t="s">
        <v>786</v>
      </c>
      <c r="B343" s="126">
        <v>5</v>
      </c>
      <c r="C343" s="128">
        <v>0.0024846320921336675</v>
      </c>
      <c r="D343" s="126" t="s">
        <v>701</v>
      </c>
      <c r="E343" s="126" t="b">
        <v>0</v>
      </c>
      <c r="F343" s="126" t="b">
        <v>1</v>
      </c>
      <c r="G343" s="126" t="b">
        <v>0</v>
      </c>
    </row>
    <row r="344" spans="1:7" ht="15">
      <c r="A344" s="126" t="s">
        <v>782</v>
      </c>
      <c r="B344" s="126">
        <v>5</v>
      </c>
      <c r="C344" s="128">
        <v>0.002955648545671579</v>
      </c>
      <c r="D344" s="126" t="s">
        <v>701</v>
      </c>
      <c r="E344" s="126" t="b">
        <v>0</v>
      </c>
      <c r="F344" s="126" t="b">
        <v>0</v>
      </c>
      <c r="G344" s="126" t="b">
        <v>0</v>
      </c>
    </row>
    <row r="345" spans="1:7" ht="15">
      <c r="A345" s="126" t="s">
        <v>779</v>
      </c>
      <c r="B345" s="126">
        <v>5</v>
      </c>
      <c r="C345" s="128">
        <v>0.0024846320921336675</v>
      </c>
      <c r="D345" s="126" t="s">
        <v>701</v>
      </c>
      <c r="E345" s="126" t="b">
        <v>0</v>
      </c>
      <c r="F345" s="126" t="b">
        <v>0</v>
      </c>
      <c r="G345" s="126" t="b">
        <v>0</v>
      </c>
    </row>
    <row r="346" spans="1:7" ht="15">
      <c r="A346" s="126" t="s">
        <v>787</v>
      </c>
      <c r="B346" s="126">
        <v>5</v>
      </c>
      <c r="C346" s="128">
        <v>0.002955648545671579</v>
      </c>
      <c r="D346" s="126" t="s">
        <v>701</v>
      </c>
      <c r="E346" s="126" t="b">
        <v>0</v>
      </c>
      <c r="F346" s="126" t="b">
        <v>0</v>
      </c>
      <c r="G346" s="126" t="b">
        <v>0</v>
      </c>
    </row>
    <row r="347" spans="1:7" ht="15">
      <c r="A347" s="126" t="s">
        <v>783</v>
      </c>
      <c r="B347" s="126">
        <v>5</v>
      </c>
      <c r="C347" s="128">
        <v>0.0024846320921336675</v>
      </c>
      <c r="D347" s="126" t="s">
        <v>701</v>
      </c>
      <c r="E347" s="126" t="b">
        <v>0</v>
      </c>
      <c r="F347" s="126" t="b">
        <v>0</v>
      </c>
      <c r="G347" s="126" t="b">
        <v>0</v>
      </c>
    </row>
    <row r="348" spans="1:7" ht="15">
      <c r="A348" s="126" t="s">
        <v>784</v>
      </c>
      <c r="B348" s="126">
        <v>5</v>
      </c>
      <c r="C348" s="128">
        <v>0.0024846320921336675</v>
      </c>
      <c r="D348" s="126" t="s">
        <v>701</v>
      </c>
      <c r="E348" s="126" t="b">
        <v>0</v>
      </c>
      <c r="F348" s="126" t="b">
        <v>0</v>
      </c>
      <c r="G348" s="126" t="b">
        <v>0</v>
      </c>
    </row>
    <row r="349" spans="1:7" ht="15">
      <c r="A349" s="126" t="s">
        <v>785</v>
      </c>
      <c r="B349" s="126">
        <v>5</v>
      </c>
      <c r="C349" s="128">
        <v>0.003968644840193156</v>
      </c>
      <c r="D349" s="126" t="s">
        <v>701</v>
      </c>
      <c r="E349" s="126" t="b">
        <v>0</v>
      </c>
      <c r="F349" s="126" t="b">
        <v>0</v>
      </c>
      <c r="G349" s="126" t="b">
        <v>0</v>
      </c>
    </row>
    <row r="350" spans="1:7" ht="15">
      <c r="A350" s="126" t="s">
        <v>827</v>
      </c>
      <c r="B350" s="126">
        <v>4</v>
      </c>
      <c r="C350" s="128">
        <v>0.002152308668200448</v>
      </c>
      <c r="D350" s="126" t="s">
        <v>701</v>
      </c>
      <c r="E350" s="126" t="b">
        <v>0</v>
      </c>
      <c r="F350" s="126" t="b">
        <v>0</v>
      </c>
      <c r="G350" s="126" t="b">
        <v>0</v>
      </c>
    </row>
    <row r="351" spans="1:7" ht="15">
      <c r="A351" s="126" t="s">
        <v>825</v>
      </c>
      <c r="B351" s="126">
        <v>4</v>
      </c>
      <c r="C351" s="128">
        <v>0.0023645188365372634</v>
      </c>
      <c r="D351" s="126" t="s">
        <v>701</v>
      </c>
      <c r="E351" s="126" t="b">
        <v>0</v>
      </c>
      <c r="F351" s="126" t="b">
        <v>0</v>
      </c>
      <c r="G351" s="126" t="b">
        <v>0</v>
      </c>
    </row>
    <row r="352" spans="1:7" ht="15">
      <c r="A352" s="126" t="s">
        <v>826</v>
      </c>
      <c r="B352" s="126">
        <v>4</v>
      </c>
      <c r="C352" s="128">
        <v>0.002152308668200448</v>
      </c>
      <c r="D352" s="126" t="s">
        <v>701</v>
      </c>
      <c r="E352" s="126" t="b">
        <v>0</v>
      </c>
      <c r="F352" s="126" t="b">
        <v>0</v>
      </c>
      <c r="G352" s="126" t="b">
        <v>0</v>
      </c>
    </row>
    <row r="353" spans="1:7" ht="15">
      <c r="A353" s="126" t="s">
        <v>798</v>
      </c>
      <c r="B353" s="126">
        <v>4</v>
      </c>
      <c r="C353" s="128">
        <v>0.0026636122701774864</v>
      </c>
      <c r="D353" s="126" t="s">
        <v>701</v>
      </c>
      <c r="E353" s="126" t="b">
        <v>0</v>
      </c>
      <c r="F353" s="126" t="b">
        <v>0</v>
      </c>
      <c r="G353" s="126" t="b">
        <v>0</v>
      </c>
    </row>
    <row r="354" spans="1:7" ht="15">
      <c r="A354" s="126" t="s">
        <v>799</v>
      </c>
      <c r="B354" s="126">
        <v>4</v>
      </c>
      <c r="C354" s="128">
        <v>0.0026636122701774864</v>
      </c>
      <c r="D354" s="126" t="s">
        <v>701</v>
      </c>
      <c r="E354" s="126" t="b">
        <v>0</v>
      </c>
      <c r="F354" s="126" t="b">
        <v>0</v>
      </c>
      <c r="G354" s="126" t="b">
        <v>0</v>
      </c>
    </row>
    <row r="355" spans="1:7" ht="15">
      <c r="A355" s="126" t="s">
        <v>832</v>
      </c>
      <c r="B355" s="126">
        <v>4</v>
      </c>
      <c r="C355" s="128">
        <v>0.0031749158721545243</v>
      </c>
      <c r="D355" s="126" t="s">
        <v>701</v>
      </c>
      <c r="E355" s="126" t="b">
        <v>0</v>
      </c>
      <c r="F355" s="126" t="b">
        <v>0</v>
      </c>
      <c r="G355" s="126" t="b">
        <v>0</v>
      </c>
    </row>
    <row r="356" spans="1:7" ht="15">
      <c r="A356" s="126" t="s">
        <v>831</v>
      </c>
      <c r="B356" s="126">
        <v>4</v>
      </c>
      <c r="C356" s="128">
        <v>0.0031749158721545243</v>
      </c>
      <c r="D356" s="126" t="s">
        <v>701</v>
      </c>
      <c r="E356" s="126" t="b">
        <v>0</v>
      </c>
      <c r="F356" s="126" t="b">
        <v>0</v>
      </c>
      <c r="G356" s="126" t="b">
        <v>0</v>
      </c>
    </row>
    <row r="357" spans="1:7" ht="15">
      <c r="A357" s="126" t="s">
        <v>797</v>
      </c>
      <c r="B357" s="126">
        <v>4</v>
      </c>
      <c r="C357" s="128">
        <v>0.002152308668200448</v>
      </c>
      <c r="D357" s="126" t="s">
        <v>701</v>
      </c>
      <c r="E357" s="126" t="b">
        <v>0</v>
      </c>
      <c r="F357" s="126" t="b">
        <v>0</v>
      </c>
      <c r="G357" s="126" t="b">
        <v>0</v>
      </c>
    </row>
    <row r="358" spans="1:7" ht="15">
      <c r="A358" s="126" t="s">
        <v>830</v>
      </c>
      <c r="B358" s="126">
        <v>4</v>
      </c>
      <c r="C358" s="128">
        <v>0.0031749158721545243</v>
      </c>
      <c r="D358" s="126" t="s">
        <v>701</v>
      </c>
      <c r="E358" s="126" t="b">
        <v>0</v>
      </c>
      <c r="F358" s="126" t="b">
        <v>0</v>
      </c>
      <c r="G358" s="126" t="b">
        <v>0</v>
      </c>
    </row>
    <row r="359" spans="1:7" ht="15">
      <c r="A359" s="126" t="s">
        <v>828</v>
      </c>
      <c r="B359" s="126">
        <v>4</v>
      </c>
      <c r="C359" s="128">
        <v>0.0031749158721545243</v>
      </c>
      <c r="D359" s="126" t="s">
        <v>701</v>
      </c>
      <c r="E359" s="126" t="b">
        <v>0</v>
      </c>
      <c r="F359" s="126" t="b">
        <v>0</v>
      </c>
      <c r="G359" s="126" t="b">
        <v>0</v>
      </c>
    </row>
    <row r="360" spans="1:7" ht="15">
      <c r="A360" s="126" t="s">
        <v>829</v>
      </c>
      <c r="B360" s="126">
        <v>4</v>
      </c>
      <c r="C360" s="128">
        <v>0.0031749158721545243</v>
      </c>
      <c r="D360" s="126" t="s">
        <v>701</v>
      </c>
      <c r="E360" s="126" t="b">
        <v>0</v>
      </c>
      <c r="F360" s="126" t="b">
        <v>0</v>
      </c>
      <c r="G360" s="126" t="b">
        <v>0</v>
      </c>
    </row>
    <row r="361" spans="1:7" ht="15">
      <c r="A361" s="126" t="s">
        <v>818</v>
      </c>
      <c r="B361" s="126">
        <v>4</v>
      </c>
      <c r="C361" s="128">
        <v>0.0023645188365372634</v>
      </c>
      <c r="D361" s="126" t="s">
        <v>701</v>
      </c>
      <c r="E361" s="126" t="b">
        <v>0</v>
      </c>
      <c r="F361" s="126" t="b">
        <v>1</v>
      </c>
      <c r="G361" s="126" t="b">
        <v>0</v>
      </c>
    </row>
    <row r="362" spans="1:7" ht="15">
      <c r="A362" s="126" t="s">
        <v>795</v>
      </c>
      <c r="B362" s="126">
        <v>4</v>
      </c>
      <c r="C362" s="128">
        <v>0.0023645188365372634</v>
      </c>
      <c r="D362" s="126" t="s">
        <v>701</v>
      </c>
      <c r="E362" s="126" t="b">
        <v>0</v>
      </c>
      <c r="F362" s="126" t="b">
        <v>0</v>
      </c>
      <c r="G362" s="126" t="b">
        <v>0</v>
      </c>
    </row>
    <row r="363" spans="1:7" ht="15">
      <c r="A363" s="126" t="s">
        <v>819</v>
      </c>
      <c r="B363" s="126">
        <v>4</v>
      </c>
      <c r="C363" s="128">
        <v>0.0023645188365372634</v>
      </c>
      <c r="D363" s="126" t="s">
        <v>701</v>
      </c>
      <c r="E363" s="126" t="b">
        <v>0</v>
      </c>
      <c r="F363" s="126" t="b">
        <v>0</v>
      </c>
      <c r="G363" s="126" t="b">
        <v>0</v>
      </c>
    </row>
    <row r="364" spans="1:7" ht="15">
      <c r="A364" s="126" t="s">
        <v>820</v>
      </c>
      <c r="B364" s="126">
        <v>4</v>
      </c>
      <c r="C364" s="128">
        <v>0.0023645188365372634</v>
      </c>
      <c r="D364" s="126" t="s">
        <v>701</v>
      </c>
      <c r="E364" s="126" t="b">
        <v>0</v>
      </c>
      <c r="F364" s="126" t="b">
        <v>0</v>
      </c>
      <c r="G364" s="126" t="b">
        <v>0</v>
      </c>
    </row>
    <row r="365" spans="1:7" ht="15">
      <c r="A365" s="126" t="s">
        <v>821</v>
      </c>
      <c r="B365" s="126">
        <v>4</v>
      </c>
      <c r="C365" s="128">
        <v>0.0026636122701774864</v>
      </c>
      <c r="D365" s="126" t="s">
        <v>701</v>
      </c>
      <c r="E365" s="126" t="b">
        <v>0</v>
      </c>
      <c r="F365" s="126" t="b">
        <v>0</v>
      </c>
      <c r="G365" s="126" t="b">
        <v>0</v>
      </c>
    </row>
    <row r="366" spans="1:7" ht="15">
      <c r="A366" s="126" t="s">
        <v>822</v>
      </c>
      <c r="B366" s="126">
        <v>4</v>
      </c>
      <c r="C366" s="128">
        <v>0.0026636122701774864</v>
      </c>
      <c r="D366" s="126" t="s">
        <v>701</v>
      </c>
      <c r="E366" s="126" t="b">
        <v>0</v>
      </c>
      <c r="F366" s="126" t="b">
        <v>0</v>
      </c>
      <c r="G366" s="126" t="b">
        <v>0</v>
      </c>
    </row>
    <row r="367" spans="1:7" ht="15">
      <c r="A367" s="126" t="s">
        <v>824</v>
      </c>
      <c r="B367" s="126">
        <v>4</v>
      </c>
      <c r="C367" s="128">
        <v>0.0031749158721545243</v>
      </c>
      <c r="D367" s="126" t="s">
        <v>701</v>
      </c>
      <c r="E367" s="126" t="b">
        <v>0</v>
      </c>
      <c r="F367" s="126" t="b">
        <v>0</v>
      </c>
      <c r="G367" s="126" t="b">
        <v>0</v>
      </c>
    </row>
    <row r="368" spans="1:7" ht="15">
      <c r="A368" s="126" t="s">
        <v>800</v>
      </c>
      <c r="B368" s="126">
        <v>4</v>
      </c>
      <c r="C368" s="128">
        <v>0.002152308668200448</v>
      </c>
      <c r="D368" s="126" t="s">
        <v>701</v>
      </c>
      <c r="E368" s="126" t="b">
        <v>0</v>
      </c>
      <c r="F368" s="126" t="b">
        <v>0</v>
      </c>
      <c r="G368" s="126" t="b">
        <v>0</v>
      </c>
    </row>
    <row r="369" spans="1:7" ht="15">
      <c r="A369" s="126" t="s">
        <v>801</v>
      </c>
      <c r="B369" s="126">
        <v>4</v>
      </c>
      <c r="C369" s="128">
        <v>0.002152308668200448</v>
      </c>
      <c r="D369" s="126" t="s">
        <v>701</v>
      </c>
      <c r="E369" s="126" t="b">
        <v>0</v>
      </c>
      <c r="F369" s="126" t="b">
        <v>0</v>
      </c>
      <c r="G369" s="126" t="b">
        <v>0</v>
      </c>
    </row>
    <row r="370" spans="1:7" ht="15">
      <c r="A370" s="126" t="s">
        <v>802</v>
      </c>
      <c r="B370" s="126">
        <v>4</v>
      </c>
      <c r="C370" s="128">
        <v>0.002152308668200448</v>
      </c>
      <c r="D370" s="126" t="s">
        <v>701</v>
      </c>
      <c r="E370" s="126" t="b">
        <v>0</v>
      </c>
      <c r="F370" s="126" t="b">
        <v>1</v>
      </c>
      <c r="G370" s="126" t="b">
        <v>0</v>
      </c>
    </row>
    <row r="371" spans="1:7" ht="15">
      <c r="A371" s="126" t="s">
        <v>803</v>
      </c>
      <c r="B371" s="126">
        <v>4</v>
      </c>
      <c r="C371" s="128">
        <v>0.002152308668200448</v>
      </c>
      <c r="D371" s="126" t="s">
        <v>701</v>
      </c>
      <c r="E371" s="126" t="b">
        <v>0</v>
      </c>
      <c r="F371" s="126" t="b">
        <v>0</v>
      </c>
      <c r="G371" s="126" t="b">
        <v>0</v>
      </c>
    </row>
    <row r="372" spans="1:7" ht="15">
      <c r="A372" s="126" t="s">
        <v>804</v>
      </c>
      <c r="B372" s="126">
        <v>4</v>
      </c>
      <c r="C372" s="128">
        <v>0.002152308668200448</v>
      </c>
      <c r="D372" s="126" t="s">
        <v>701</v>
      </c>
      <c r="E372" s="126" t="b">
        <v>0</v>
      </c>
      <c r="F372" s="126" t="b">
        <v>0</v>
      </c>
      <c r="G372" s="126" t="b">
        <v>0</v>
      </c>
    </row>
    <row r="373" spans="1:7" ht="15">
      <c r="A373" s="126" t="s">
        <v>805</v>
      </c>
      <c r="B373" s="126">
        <v>4</v>
      </c>
      <c r="C373" s="128">
        <v>0.002152308668200448</v>
      </c>
      <c r="D373" s="126" t="s">
        <v>701</v>
      </c>
      <c r="E373" s="126" t="b">
        <v>0</v>
      </c>
      <c r="F373" s="126" t="b">
        <v>0</v>
      </c>
      <c r="G373" s="126" t="b">
        <v>0</v>
      </c>
    </row>
    <row r="374" spans="1:7" ht="15">
      <c r="A374" s="126" t="s">
        <v>806</v>
      </c>
      <c r="B374" s="126">
        <v>4</v>
      </c>
      <c r="C374" s="128">
        <v>0.002152308668200448</v>
      </c>
      <c r="D374" s="126" t="s">
        <v>701</v>
      </c>
      <c r="E374" s="126" t="b">
        <v>0</v>
      </c>
      <c r="F374" s="126" t="b">
        <v>0</v>
      </c>
      <c r="G374" s="126" t="b">
        <v>0</v>
      </c>
    </row>
    <row r="375" spans="1:7" ht="15">
      <c r="A375" s="126" t="s">
        <v>807</v>
      </c>
      <c r="B375" s="126">
        <v>4</v>
      </c>
      <c r="C375" s="128">
        <v>0.002152308668200448</v>
      </c>
      <c r="D375" s="126" t="s">
        <v>701</v>
      </c>
      <c r="E375" s="126" t="b">
        <v>0</v>
      </c>
      <c r="F375" s="126" t="b">
        <v>0</v>
      </c>
      <c r="G375" s="126" t="b">
        <v>0</v>
      </c>
    </row>
    <row r="376" spans="1:7" ht="15">
      <c r="A376" s="126" t="s">
        <v>808</v>
      </c>
      <c r="B376" s="126">
        <v>4</v>
      </c>
      <c r="C376" s="128">
        <v>0.002152308668200448</v>
      </c>
      <c r="D376" s="126" t="s">
        <v>701</v>
      </c>
      <c r="E376" s="126" t="b">
        <v>0</v>
      </c>
      <c r="F376" s="126" t="b">
        <v>0</v>
      </c>
      <c r="G376" s="126" t="b">
        <v>0</v>
      </c>
    </row>
    <row r="377" spans="1:7" ht="15">
      <c r="A377" s="126" t="s">
        <v>809</v>
      </c>
      <c r="B377" s="126">
        <v>4</v>
      </c>
      <c r="C377" s="128">
        <v>0.002152308668200448</v>
      </c>
      <c r="D377" s="126" t="s">
        <v>701</v>
      </c>
      <c r="E377" s="126" t="b">
        <v>0</v>
      </c>
      <c r="F377" s="126" t="b">
        <v>0</v>
      </c>
      <c r="G377" s="126" t="b">
        <v>0</v>
      </c>
    </row>
    <row r="378" spans="1:7" ht="15">
      <c r="A378" s="126" t="s">
        <v>810</v>
      </c>
      <c r="B378" s="126">
        <v>4</v>
      </c>
      <c r="C378" s="128">
        <v>0.002152308668200448</v>
      </c>
      <c r="D378" s="126" t="s">
        <v>701</v>
      </c>
      <c r="E378" s="126" t="b">
        <v>0</v>
      </c>
      <c r="F378" s="126" t="b">
        <v>0</v>
      </c>
      <c r="G378" s="126" t="b">
        <v>0</v>
      </c>
    </row>
    <row r="379" spans="1:7" ht="15">
      <c r="A379" s="126" t="s">
        <v>811</v>
      </c>
      <c r="B379" s="126">
        <v>4</v>
      </c>
      <c r="C379" s="128">
        <v>0.002152308668200448</v>
      </c>
      <c r="D379" s="126" t="s">
        <v>701</v>
      </c>
      <c r="E379" s="126" t="b">
        <v>0</v>
      </c>
      <c r="F379" s="126" t="b">
        <v>0</v>
      </c>
      <c r="G379" s="126" t="b">
        <v>0</v>
      </c>
    </row>
    <row r="380" spans="1:7" ht="15">
      <c r="A380" s="126" t="s">
        <v>812</v>
      </c>
      <c r="B380" s="126">
        <v>4</v>
      </c>
      <c r="C380" s="128">
        <v>0.002152308668200448</v>
      </c>
      <c r="D380" s="126" t="s">
        <v>701</v>
      </c>
      <c r="E380" s="126" t="b">
        <v>0</v>
      </c>
      <c r="F380" s="126" t="b">
        <v>0</v>
      </c>
      <c r="G380" s="126" t="b">
        <v>0</v>
      </c>
    </row>
    <row r="381" spans="1:7" ht="15">
      <c r="A381" s="126" t="s">
        <v>813</v>
      </c>
      <c r="B381" s="126">
        <v>4</v>
      </c>
      <c r="C381" s="128">
        <v>0.002152308668200448</v>
      </c>
      <c r="D381" s="126" t="s">
        <v>701</v>
      </c>
      <c r="E381" s="126" t="b">
        <v>0</v>
      </c>
      <c r="F381" s="126" t="b">
        <v>0</v>
      </c>
      <c r="G381" s="126" t="b">
        <v>0</v>
      </c>
    </row>
    <row r="382" spans="1:7" ht="15">
      <c r="A382" s="126" t="s">
        <v>814</v>
      </c>
      <c r="B382" s="126">
        <v>4</v>
      </c>
      <c r="C382" s="128">
        <v>0.002152308668200448</v>
      </c>
      <c r="D382" s="126" t="s">
        <v>701</v>
      </c>
      <c r="E382" s="126" t="b">
        <v>0</v>
      </c>
      <c r="F382" s="126" t="b">
        <v>0</v>
      </c>
      <c r="G382" s="126" t="b">
        <v>0</v>
      </c>
    </row>
    <row r="383" spans="1:7" ht="15">
      <c r="A383" s="126" t="s">
        <v>815</v>
      </c>
      <c r="B383" s="126">
        <v>4</v>
      </c>
      <c r="C383" s="128">
        <v>0.002152308668200448</v>
      </c>
      <c r="D383" s="126" t="s">
        <v>701</v>
      </c>
      <c r="E383" s="126" t="b">
        <v>0</v>
      </c>
      <c r="F383" s="126" t="b">
        <v>0</v>
      </c>
      <c r="G383" s="126" t="b">
        <v>0</v>
      </c>
    </row>
    <row r="384" spans="1:7" ht="15">
      <c r="A384" s="126" t="s">
        <v>816</v>
      </c>
      <c r="B384" s="126">
        <v>4</v>
      </c>
      <c r="C384" s="128">
        <v>0.002152308668200448</v>
      </c>
      <c r="D384" s="126" t="s">
        <v>701</v>
      </c>
      <c r="E384" s="126" t="b">
        <v>0</v>
      </c>
      <c r="F384" s="126" t="b">
        <v>0</v>
      </c>
      <c r="G384" s="126" t="b">
        <v>0</v>
      </c>
    </row>
    <row r="385" spans="1:7" ht="15">
      <c r="A385" s="126" t="s">
        <v>817</v>
      </c>
      <c r="B385" s="126">
        <v>4</v>
      </c>
      <c r="C385" s="128">
        <v>0.002152308668200448</v>
      </c>
      <c r="D385" s="126" t="s">
        <v>701</v>
      </c>
      <c r="E385" s="126" t="b">
        <v>0</v>
      </c>
      <c r="F385" s="126" t="b">
        <v>0</v>
      </c>
      <c r="G385" s="126" t="b">
        <v>0</v>
      </c>
    </row>
    <row r="386" spans="1:7" ht="15">
      <c r="A386" s="126" t="s">
        <v>823</v>
      </c>
      <c r="B386" s="126">
        <v>4</v>
      </c>
      <c r="C386" s="128">
        <v>0.0031749158721545243</v>
      </c>
      <c r="D386" s="126" t="s">
        <v>701</v>
      </c>
      <c r="E386" s="126" t="b">
        <v>0</v>
      </c>
      <c r="F386" s="126" t="b">
        <v>0</v>
      </c>
      <c r="G386" s="126" t="b">
        <v>0</v>
      </c>
    </row>
    <row r="387" spans="1:7" ht="15">
      <c r="A387" s="126" t="s">
        <v>794</v>
      </c>
      <c r="B387" s="126">
        <v>4</v>
      </c>
      <c r="C387" s="128">
        <v>0.002152308668200448</v>
      </c>
      <c r="D387" s="126" t="s">
        <v>701</v>
      </c>
      <c r="E387" s="126" t="b">
        <v>0</v>
      </c>
      <c r="F387" s="126" t="b">
        <v>0</v>
      </c>
      <c r="G387" s="126" t="b">
        <v>0</v>
      </c>
    </row>
    <row r="388" spans="1:7" ht="15">
      <c r="A388" s="126" t="s">
        <v>793</v>
      </c>
      <c r="B388" s="126">
        <v>4</v>
      </c>
      <c r="C388" s="128">
        <v>0.0026636122701774864</v>
      </c>
      <c r="D388" s="126" t="s">
        <v>701</v>
      </c>
      <c r="E388" s="126" t="b">
        <v>1</v>
      </c>
      <c r="F388" s="126" t="b">
        <v>0</v>
      </c>
      <c r="G388" s="126" t="b">
        <v>0</v>
      </c>
    </row>
    <row r="389" spans="1:7" ht="15">
      <c r="A389" s="126" t="s">
        <v>796</v>
      </c>
      <c r="B389" s="126">
        <v>4</v>
      </c>
      <c r="C389" s="128">
        <v>0.0031749158721545243</v>
      </c>
      <c r="D389" s="126" t="s">
        <v>701</v>
      </c>
      <c r="E389" s="126" t="b">
        <v>0</v>
      </c>
      <c r="F389" s="126" t="b">
        <v>0</v>
      </c>
      <c r="G389" s="126" t="b">
        <v>0</v>
      </c>
    </row>
    <row r="390" spans="1:7" ht="15">
      <c r="A390" s="126" t="s">
        <v>855</v>
      </c>
      <c r="B390" s="126">
        <v>3</v>
      </c>
      <c r="C390" s="128">
        <v>0.0017733891274029476</v>
      </c>
      <c r="D390" s="126" t="s">
        <v>701</v>
      </c>
      <c r="E390" s="126" t="b">
        <v>0</v>
      </c>
      <c r="F390" s="126" t="b">
        <v>0</v>
      </c>
      <c r="G390" s="126" t="b">
        <v>0</v>
      </c>
    </row>
    <row r="391" spans="1:7" ht="15">
      <c r="A391" s="126" t="s">
        <v>856</v>
      </c>
      <c r="B391" s="126">
        <v>3</v>
      </c>
      <c r="C391" s="128">
        <v>0.0017733891274029476</v>
      </c>
      <c r="D391" s="126" t="s">
        <v>701</v>
      </c>
      <c r="E391" s="126" t="b">
        <v>0</v>
      </c>
      <c r="F391" s="126" t="b">
        <v>0</v>
      </c>
      <c r="G391" s="126" t="b">
        <v>0</v>
      </c>
    </row>
    <row r="392" spans="1:7" ht="15">
      <c r="A392" s="126" t="s">
        <v>853</v>
      </c>
      <c r="B392" s="126">
        <v>3</v>
      </c>
      <c r="C392" s="128">
        <v>0.0019977092026331146</v>
      </c>
      <c r="D392" s="126" t="s">
        <v>701</v>
      </c>
      <c r="E392" s="126" t="b">
        <v>0</v>
      </c>
      <c r="F392" s="126" t="b">
        <v>0</v>
      </c>
      <c r="G392" s="126" t="b">
        <v>0</v>
      </c>
    </row>
    <row r="393" spans="1:7" ht="15">
      <c r="A393" s="126" t="s">
        <v>864</v>
      </c>
      <c r="B393" s="126">
        <v>3</v>
      </c>
      <c r="C393" s="128">
        <v>0.0017733891274029476</v>
      </c>
      <c r="D393" s="126" t="s">
        <v>701</v>
      </c>
      <c r="E393" s="126" t="b">
        <v>0</v>
      </c>
      <c r="F393" s="126" t="b">
        <v>0</v>
      </c>
      <c r="G393" s="126" t="b">
        <v>0</v>
      </c>
    </row>
    <row r="394" spans="1:7" ht="15">
      <c r="A394" s="126" t="s">
        <v>868</v>
      </c>
      <c r="B394" s="126">
        <v>3</v>
      </c>
      <c r="C394" s="128">
        <v>0.0017733891274029476</v>
      </c>
      <c r="D394" s="126" t="s">
        <v>701</v>
      </c>
      <c r="E394" s="126" t="b">
        <v>0</v>
      </c>
      <c r="F394" s="126" t="b">
        <v>0</v>
      </c>
      <c r="G394" s="126" t="b">
        <v>0</v>
      </c>
    </row>
    <row r="395" spans="1:7" ht="15">
      <c r="A395" s="126" t="s">
        <v>878</v>
      </c>
      <c r="B395" s="126">
        <v>3</v>
      </c>
      <c r="C395" s="128">
        <v>0.0019977092026331146</v>
      </c>
      <c r="D395" s="126" t="s">
        <v>701</v>
      </c>
      <c r="E395" s="126" t="b">
        <v>0</v>
      </c>
      <c r="F395" s="126" t="b">
        <v>0</v>
      </c>
      <c r="G395" s="126" t="b">
        <v>0</v>
      </c>
    </row>
    <row r="396" spans="1:7" ht="15">
      <c r="A396" s="126" t="s">
        <v>877</v>
      </c>
      <c r="B396" s="126">
        <v>3</v>
      </c>
      <c r="C396" s="128">
        <v>0.0019977092026331146</v>
      </c>
      <c r="D396" s="126" t="s">
        <v>701</v>
      </c>
      <c r="E396" s="126" t="b">
        <v>0</v>
      </c>
      <c r="F396" s="126" t="b">
        <v>0</v>
      </c>
      <c r="G396" s="126" t="b">
        <v>0</v>
      </c>
    </row>
    <row r="397" spans="1:7" ht="15">
      <c r="A397" s="126" t="s">
        <v>871</v>
      </c>
      <c r="B397" s="126">
        <v>3</v>
      </c>
      <c r="C397" s="128">
        <v>0.0017733891274029476</v>
      </c>
      <c r="D397" s="126" t="s">
        <v>701</v>
      </c>
      <c r="E397" s="126" t="b">
        <v>0</v>
      </c>
      <c r="F397" s="126" t="b">
        <v>0</v>
      </c>
      <c r="G397" s="126" t="b">
        <v>0</v>
      </c>
    </row>
    <row r="398" spans="1:7" ht="15">
      <c r="A398" s="126" t="s">
        <v>837</v>
      </c>
      <c r="B398" s="126">
        <v>3</v>
      </c>
      <c r="C398" s="128">
        <v>0.0017733891274029476</v>
      </c>
      <c r="D398" s="126" t="s">
        <v>701</v>
      </c>
      <c r="E398" s="126" t="b">
        <v>1</v>
      </c>
      <c r="F398" s="126" t="b">
        <v>0</v>
      </c>
      <c r="G398" s="126" t="b">
        <v>0</v>
      </c>
    </row>
    <row r="399" spans="1:7" ht="15">
      <c r="A399" s="126" t="s">
        <v>860</v>
      </c>
      <c r="B399" s="126">
        <v>3</v>
      </c>
      <c r="C399" s="128">
        <v>0.0017733891274029476</v>
      </c>
      <c r="D399" s="126" t="s">
        <v>701</v>
      </c>
      <c r="E399" s="126" t="b">
        <v>0</v>
      </c>
      <c r="F399" s="126" t="b">
        <v>0</v>
      </c>
      <c r="G399" s="126" t="b">
        <v>0</v>
      </c>
    </row>
    <row r="400" spans="1:7" ht="15">
      <c r="A400" s="126" t="s">
        <v>876</v>
      </c>
      <c r="B400" s="126">
        <v>3</v>
      </c>
      <c r="C400" s="128">
        <v>0.0023811869041158932</v>
      </c>
      <c r="D400" s="126" t="s">
        <v>701</v>
      </c>
      <c r="E400" s="126" t="b">
        <v>0</v>
      </c>
      <c r="F400" s="126" t="b">
        <v>1</v>
      </c>
      <c r="G400" s="126" t="b">
        <v>0</v>
      </c>
    </row>
    <row r="401" spans="1:7" ht="15">
      <c r="A401" s="126" t="s">
        <v>866</v>
      </c>
      <c r="B401" s="126">
        <v>3</v>
      </c>
      <c r="C401" s="128">
        <v>0.0019977092026331146</v>
      </c>
      <c r="D401" s="126" t="s">
        <v>701</v>
      </c>
      <c r="E401" s="126" t="b">
        <v>0</v>
      </c>
      <c r="F401" s="126" t="b">
        <v>0</v>
      </c>
      <c r="G401" s="126" t="b">
        <v>0</v>
      </c>
    </row>
    <row r="402" spans="1:7" ht="15">
      <c r="A402" s="126" t="s">
        <v>849</v>
      </c>
      <c r="B402" s="126">
        <v>3</v>
      </c>
      <c r="C402" s="128">
        <v>0.0017733891274029476</v>
      </c>
      <c r="D402" s="126" t="s">
        <v>701</v>
      </c>
      <c r="E402" s="126" t="b">
        <v>0</v>
      </c>
      <c r="F402" s="126" t="b">
        <v>0</v>
      </c>
      <c r="G402" s="126" t="b">
        <v>0</v>
      </c>
    </row>
    <row r="403" spans="1:7" ht="15">
      <c r="A403" s="126" t="s">
        <v>874</v>
      </c>
      <c r="B403" s="126">
        <v>3</v>
      </c>
      <c r="C403" s="128">
        <v>0.0023811869041158932</v>
      </c>
      <c r="D403" s="126" t="s">
        <v>701</v>
      </c>
      <c r="E403" s="126" t="b">
        <v>0</v>
      </c>
      <c r="F403" s="126" t="b">
        <v>0</v>
      </c>
      <c r="G403" s="126" t="b">
        <v>0</v>
      </c>
    </row>
    <row r="404" spans="1:7" ht="15">
      <c r="A404" s="126" t="s">
        <v>862</v>
      </c>
      <c r="B404" s="126">
        <v>3</v>
      </c>
      <c r="C404" s="128">
        <v>0.0019977092026331146</v>
      </c>
      <c r="D404" s="126" t="s">
        <v>701</v>
      </c>
      <c r="E404" s="126" t="b">
        <v>1</v>
      </c>
      <c r="F404" s="126" t="b">
        <v>0</v>
      </c>
      <c r="G404" s="126" t="b">
        <v>0</v>
      </c>
    </row>
    <row r="405" spans="1:7" ht="15">
      <c r="A405" s="126" t="s">
        <v>875</v>
      </c>
      <c r="B405" s="126">
        <v>3</v>
      </c>
      <c r="C405" s="128">
        <v>0.0023811869041158932</v>
      </c>
      <c r="D405" s="126" t="s">
        <v>701</v>
      </c>
      <c r="E405" s="126" t="b">
        <v>0</v>
      </c>
      <c r="F405" s="126" t="b">
        <v>0</v>
      </c>
      <c r="G405" s="126" t="b">
        <v>0</v>
      </c>
    </row>
    <row r="406" spans="1:7" ht="15">
      <c r="A406" s="126" t="s">
        <v>873</v>
      </c>
      <c r="B406" s="126">
        <v>3</v>
      </c>
      <c r="C406" s="128">
        <v>0.0023811869041158932</v>
      </c>
      <c r="D406" s="126" t="s">
        <v>701</v>
      </c>
      <c r="E406" s="126" t="b">
        <v>0</v>
      </c>
      <c r="F406" s="126" t="b">
        <v>0</v>
      </c>
      <c r="G406" s="126" t="b">
        <v>0</v>
      </c>
    </row>
    <row r="407" spans="1:7" ht="15">
      <c r="A407" s="126" t="s">
        <v>872</v>
      </c>
      <c r="B407" s="126">
        <v>3</v>
      </c>
      <c r="C407" s="128">
        <v>0.0019977092026331146</v>
      </c>
      <c r="D407" s="126" t="s">
        <v>701</v>
      </c>
      <c r="E407" s="126" t="b">
        <v>0</v>
      </c>
      <c r="F407" s="126" t="b">
        <v>1</v>
      </c>
      <c r="G407" s="126" t="b">
        <v>0</v>
      </c>
    </row>
    <row r="408" spans="1:7" ht="15">
      <c r="A408" s="126" t="s">
        <v>867</v>
      </c>
      <c r="B408" s="126">
        <v>3</v>
      </c>
      <c r="C408" s="128">
        <v>0.0019977092026331146</v>
      </c>
      <c r="D408" s="126" t="s">
        <v>701</v>
      </c>
      <c r="E408" s="126" t="b">
        <v>0</v>
      </c>
      <c r="F408" s="126" t="b">
        <v>0</v>
      </c>
      <c r="G408" s="126" t="b">
        <v>0</v>
      </c>
    </row>
    <row r="409" spans="1:7" ht="15">
      <c r="A409" s="126" t="s">
        <v>870</v>
      </c>
      <c r="B409" s="126">
        <v>3</v>
      </c>
      <c r="C409" s="128">
        <v>0.0023811869041158932</v>
      </c>
      <c r="D409" s="126" t="s">
        <v>701</v>
      </c>
      <c r="E409" s="126" t="b">
        <v>0</v>
      </c>
      <c r="F409" s="126" t="b">
        <v>0</v>
      </c>
      <c r="G409" s="126" t="b">
        <v>0</v>
      </c>
    </row>
    <row r="410" spans="1:7" ht="15">
      <c r="A410" s="126" t="s">
        <v>869</v>
      </c>
      <c r="B410" s="126">
        <v>3</v>
      </c>
      <c r="C410" s="128">
        <v>0.0023811869041158932</v>
      </c>
      <c r="D410" s="126" t="s">
        <v>701</v>
      </c>
      <c r="E410" s="126" t="b">
        <v>0</v>
      </c>
      <c r="F410" s="126" t="b">
        <v>0</v>
      </c>
      <c r="G410" s="126" t="b">
        <v>0</v>
      </c>
    </row>
    <row r="411" spans="1:7" ht="15">
      <c r="A411" s="126" t="s">
        <v>839</v>
      </c>
      <c r="B411" s="126">
        <v>3</v>
      </c>
      <c r="C411" s="128">
        <v>0.0019977092026331146</v>
      </c>
      <c r="D411" s="126" t="s">
        <v>701</v>
      </c>
      <c r="E411" s="126" t="b">
        <v>0</v>
      </c>
      <c r="F411" s="126" t="b">
        <v>0</v>
      </c>
      <c r="G411" s="126" t="b">
        <v>0</v>
      </c>
    </row>
    <row r="412" spans="1:7" ht="15">
      <c r="A412" s="126" t="s">
        <v>865</v>
      </c>
      <c r="B412" s="126">
        <v>3</v>
      </c>
      <c r="C412" s="128">
        <v>0.0023811869041158932</v>
      </c>
      <c r="D412" s="126" t="s">
        <v>701</v>
      </c>
      <c r="E412" s="126" t="b">
        <v>0</v>
      </c>
      <c r="F412" s="126" t="b">
        <v>0</v>
      </c>
      <c r="G412" s="126" t="b">
        <v>0</v>
      </c>
    </row>
    <row r="413" spans="1:7" ht="15">
      <c r="A413" s="126" t="s">
        <v>843</v>
      </c>
      <c r="B413" s="126">
        <v>3</v>
      </c>
      <c r="C413" s="128">
        <v>0.0019977092026331146</v>
      </c>
      <c r="D413" s="126" t="s">
        <v>701</v>
      </c>
      <c r="E413" s="126" t="b">
        <v>0</v>
      </c>
      <c r="F413" s="126" t="b">
        <v>0</v>
      </c>
      <c r="G413" s="126" t="b">
        <v>0</v>
      </c>
    </row>
    <row r="414" spans="1:7" ht="15">
      <c r="A414" s="126" t="s">
        <v>844</v>
      </c>
      <c r="B414" s="126">
        <v>3</v>
      </c>
      <c r="C414" s="128">
        <v>0.0019977092026331146</v>
      </c>
      <c r="D414" s="126" t="s">
        <v>701</v>
      </c>
      <c r="E414" s="126" t="b">
        <v>0</v>
      </c>
      <c r="F414" s="126" t="b">
        <v>0</v>
      </c>
      <c r="G414" s="126" t="b">
        <v>0</v>
      </c>
    </row>
    <row r="415" spans="1:7" ht="15">
      <c r="A415" s="126" t="s">
        <v>852</v>
      </c>
      <c r="B415" s="126">
        <v>3</v>
      </c>
      <c r="C415" s="128">
        <v>0.0019977092026331146</v>
      </c>
      <c r="D415" s="126" t="s">
        <v>701</v>
      </c>
      <c r="E415" s="126" t="b">
        <v>0</v>
      </c>
      <c r="F415" s="126" t="b">
        <v>0</v>
      </c>
      <c r="G415" s="126" t="b">
        <v>0</v>
      </c>
    </row>
    <row r="416" spans="1:7" ht="15">
      <c r="A416" s="126" t="s">
        <v>863</v>
      </c>
      <c r="B416" s="126">
        <v>3</v>
      </c>
      <c r="C416" s="128">
        <v>0.0023811869041158932</v>
      </c>
      <c r="D416" s="126" t="s">
        <v>701</v>
      </c>
      <c r="E416" s="126" t="b">
        <v>0</v>
      </c>
      <c r="F416" s="126" t="b">
        <v>0</v>
      </c>
      <c r="G416" s="126" t="b">
        <v>0</v>
      </c>
    </row>
    <row r="417" spans="1:7" ht="15">
      <c r="A417" s="126" t="s">
        <v>861</v>
      </c>
      <c r="B417" s="126">
        <v>3</v>
      </c>
      <c r="C417" s="128">
        <v>0.0023811869041158932</v>
      </c>
      <c r="D417" s="126" t="s">
        <v>701</v>
      </c>
      <c r="E417" s="126" t="b">
        <v>0</v>
      </c>
      <c r="F417" s="126" t="b">
        <v>0</v>
      </c>
      <c r="G417" s="126" t="b">
        <v>0</v>
      </c>
    </row>
    <row r="418" spans="1:7" ht="15">
      <c r="A418" s="126" t="s">
        <v>845</v>
      </c>
      <c r="B418" s="126">
        <v>3</v>
      </c>
      <c r="C418" s="128">
        <v>0.0017733891274029476</v>
      </c>
      <c r="D418" s="126" t="s">
        <v>701</v>
      </c>
      <c r="E418" s="126" t="b">
        <v>0</v>
      </c>
      <c r="F418" s="126" t="b">
        <v>0</v>
      </c>
      <c r="G418" s="126" t="b">
        <v>0</v>
      </c>
    </row>
    <row r="419" spans="1:7" ht="15">
      <c r="A419" s="126" t="s">
        <v>846</v>
      </c>
      <c r="B419" s="126">
        <v>3</v>
      </c>
      <c r="C419" s="128">
        <v>0.0017733891274029476</v>
      </c>
      <c r="D419" s="126" t="s">
        <v>701</v>
      </c>
      <c r="E419" s="126" t="b">
        <v>0</v>
      </c>
      <c r="F419" s="126" t="b">
        <v>0</v>
      </c>
      <c r="G419" s="126" t="b">
        <v>0</v>
      </c>
    </row>
    <row r="420" spans="1:7" ht="15">
      <c r="A420" s="126" t="s">
        <v>858</v>
      </c>
      <c r="B420" s="126">
        <v>3</v>
      </c>
      <c r="C420" s="128">
        <v>0.0023811869041158932</v>
      </c>
      <c r="D420" s="126" t="s">
        <v>701</v>
      </c>
      <c r="E420" s="126" t="b">
        <v>0</v>
      </c>
      <c r="F420" s="126" t="b">
        <v>1</v>
      </c>
      <c r="G420" s="126" t="b">
        <v>0</v>
      </c>
    </row>
    <row r="421" spans="1:7" ht="15">
      <c r="A421" s="126" t="s">
        <v>859</v>
      </c>
      <c r="B421" s="126">
        <v>3</v>
      </c>
      <c r="C421" s="128">
        <v>0.0023811869041158932</v>
      </c>
      <c r="D421" s="126" t="s">
        <v>701</v>
      </c>
      <c r="E421" s="126" t="b">
        <v>0</v>
      </c>
      <c r="F421" s="126" t="b">
        <v>0</v>
      </c>
      <c r="G421" s="126" t="b">
        <v>0</v>
      </c>
    </row>
    <row r="422" spans="1:7" ht="15">
      <c r="A422" s="126" t="s">
        <v>857</v>
      </c>
      <c r="B422" s="126">
        <v>3</v>
      </c>
      <c r="C422" s="128">
        <v>0.0023811869041158932</v>
      </c>
      <c r="D422" s="126" t="s">
        <v>701</v>
      </c>
      <c r="E422" s="126" t="b">
        <v>0</v>
      </c>
      <c r="F422" s="126" t="b">
        <v>0</v>
      </c>
      <c r="G422" s="126" t="b">
        <v>0</v>
      </c>
    </row>
    <row r="423" spans="1:7" ht="15">
      <c r="A423" s="126" t="s">
        <v>854</v>
      </c>
      <c r="B423" s="126">
        <v>3</v>
      </c>
      <c r="C423" s="128">
        <v>0.0019977092026331146</v>
      </c>
      <c r="D423" s="126" t="s">
        <v>701</v>
      </c>
      <c r="E423" s="126" t="b">
        <v>0</v>
      </c>
      <c r="F423" s="126" t="b">
        <v>0</v>
      </c>
      <c r="G423" s="126" t="b">
        <v>0</v>
      </c>
    </row>
    <row r="424" spans="1:7" ht="15">
      <c r="A424" s="126" t="s">
        <v>851</v>
      </c>
      <c r="B424" s="126">
        <v>3</v>
      </c>
      <c r="C424" s="128">
        <v>0.0023811869041158932</v>
      </c>
      <c r="D424" s="126" t="s">
        <v>701</v>
      </c>
      <c r="E424" s="126" t="b">
        <v>0</v>
      </c>
      <c r="F424" s="126" t="b">
        <v>0</v>
      </c>
      <c r="G424" s="126" t="b">
        <v>0</v>
      </c>
    </row>
    <row r="425" spans="1:7" ht="15">
      <c r="A425" s="126" t="s">
        <v>850</v>
      </c>
      <c r="B425" s="126">
        <v>3</v>
      </c>
      <c r="C425" s="128">
        <v>0.0023811869041158932</v>
      </c>
      <c r="D425" s="126" t="s">
        <v>701</v>
      </c>
      <c r="E425" s="126" t="b">
        <v>0</v>
      </c>
      <c r="F425" s="126" t="b">
        <v>0</v>
      </c>
      <c r="G425" s="126" t="b">
        <v>0</v>
      </c>
    </row>
    <row r="426" spans="1:7" ht="15">
      <c r="A426" s="126" t="s">
        <v>848</v>
      </c>
      <c r="B426" s="126">
        <v>3</v>
      </c>
      <c r="C426" s="128">
        <v>0.0019977092026331146</v>
      </c>
      <c r="D426" s="126" t="s">
        <v>701</v>
      </c>
      <c r="E426" s="126" t="b">
        <v>0</v>
      </c>
      <c r="F426" s="126" t="b">
        <v>0</v>
      </c>
      <c r="G426" s="126" t="b">
        <v>0</v>
      </c>
    </row>
    <row r="427" spans="1:7" ht="15">
      <c r="A427" s="126" t="s">
        <v>847</v>
      </c>
      <c r="B427" s="126">
        <v>3</v>
      </c>
      <c r="C427" s="128">
        <v>0.0023811869041158932</v>
      </c>
      <c r="D427" s="126" t="s">
        <v>701</v>
      </c>
      <c r="E427" s="126" t="b">
        <v>0</v>
      </c>
      <c r="F427" s="126" t="b">
        <v>0</v>
      </c>
      <c r="G427" s="126" t="b">
        <v>0</v>
      </c>
    </row>
    <row r="428" spans="1:7" ht="15">
      <c r="A428" s="126" t="s">
        <v>841</v>
      </c>
      <c r="B428" s="126">
        <v>3</v>
      </c>
      <c r="C428" s="128">
        <v>0.0019977092026331146</v>
      </c>
      <c r="D428" s="126" t="s">
        <v>701</v>
      </c>
      <c r="E428" s="126" t="b">
        <v>0</v>
      </c>
      <c r="F428" s="126" t="b">
        <v>0</v>
      </c>
      <c r="G428" s="126" t="b">
        <v>0</v>
      </c>
    </row>
    <row r="429" spans="1:7" ht="15">
      <c r="A429" s="126" t="s">
        <v>842</v>
      </c>
      <c r="B429" s="126">
        <v>3</v>
      </c>
      <c r="C429" s="128">
        <v>0.0019977092026331146</v>
      </c>
      <c r="D429" s="126" t="s">
        <v>701</v>
      </c>
      <c r="E429" s="126" t="b">
        <v>0</v>
      </c>
      <c r="F429" s="126" t="b">
        <v>0</v>
      </c>
      <c r="G429" s="126" t="b">
        <v>0</v>
      </c>
    </row>
    <row r="430" spans="1:7" ht="15">
      <c r="A430" s="126" t="s">
        <v>833</v>
      </c>
      <c r="B430" s="126">
        <v>3</v>
      </c>
      <c r="C430" s="128">
        <v>0.0017733891274029476</v>
      </c>
      <c r="D430" s="126" t="s">
        <v>701</v>
      </c>
      <c r="E430" s="126" t="b">
        <v>0</v>
      </c>
      <c r="F430" s="126" t="b">
        <v>0</v>
      </c>
      <c r="G430" s="126" t="b">
        <v>0</v>
      </c>
    </row>
    <row r="431" spans="1:7" ht="15">
      <c r="A431" s="126" t="s">
        <v>840</v>
      </c>
      <c r="B431" s="126">
        <v>3</v>
      </c>
      <c r="C431" s="128">
        <v>0.0019977092026331146</v>
      </c>
      <c r="D431" s="126" t="s">
        <v>701</v>
      </c>
      <c r="E431" s="126" t="b">
        <v>0</v>
      </c>
      <c r="F431" s="126" t="b">
        <v>0</v>
      </c>
      <c r="G431" s="126" t="b">
        <v>0</v>
      </c>
    </row>
    <row r="432" spans="1:7" ht="15">
      <c r="A432" s="126" t="s">
        <v>834</v>
      </c>
      <c r="B432" s="126">
        <v>3</v>
      </c>
      <c r="C432" s="128">
        <v>0.0023811869041158932</v>
      </c>
      <c r="D432" s="126" t="s">
        <v>701</v>
      </c>
      <c r="E432" s="126" t="b">
        <v>0</v>
      </c>
      <c r="F432" s="126" t="b">
        <v>0</v>
      </c>
      <c r="G432" s="126" t="b">
        <v>0</v>
      </c>
    </row>
    <row r="433" spans="1:7" ht="15">
      <c r="A433" s="126" t="s">
        <v>835</v>
      </c>
      <c r="B433" s="126">
        <v>3</v>
      </c>
      <c r="C433" s="128">
        <v>0.0023811869041158932</v>
      </c>
      <c r="D433" s="126" t="s">
        <v>701</v>
      </c>
      <c r="E433" s="126" t="b">
        <v>0</v>
      </c>
      <c r="F433" s="126" t="b">
        <v>0</v>
      </c>
      <c r="G433" s="126" t="b">
        <v>0</v>
      </c>
    </row>
    <row r="434" spans="1:7" ht="15">
      <c r="A434" s="126" t="s">
        <v>836</v>
      </c>
      <c r="B434" s="126">
        <v>3</v>
      </c>
      <c r="C434" s="128">
        <v>0.0023811869041158932</v>
      </c>
      <c r="D434" s="126" t="s">
        <v>701</v>
      </c>
      <c r="E434" s="126" t="b">
        <v>0</v>
      </c>
      <c r="F434" s="126" t="b">
        <v>0</v>
      </c>
      <c r="G434" s="126" t="b">
        <v>0</v>
      </c>
    </row>
    <row r="435" spans="1:7" ht="15">
      <c r="A435" s="126" t="s">
        <v>838</v>
      </c>
      <c r="B435" s="126">
        <v>3</v>
      </c>
      <c r="C435" s="128">
        <v>0.0023811869041158932</v>
      </c>
      <c r="D435" s="126" t="s">
        <v>701</v>
      </c>
      <c r="E435" s="126" t="b">
        <v>0</v>
      </c>
      <c r="F435" s="126" t="b">
        <v>0</v>
      </c>
      <c r="G435" s="126" t="b">
        <v>0</v>
      </c>
    </row>
    <row r="436" spans="1:7" ht="15">
      <c r="A436" s="126" t="s">
        <v>970</v>
      </c>
      <c r="B436" s="126">
        <v>2</v>
      </c>
      <c r="C436" s="128">
        <v>0.0013318061350887432</v>
      </c>
      <c r="D436" s="126" t="s">
        <v>701</v>
      </c>
      <c r="E436" s="126" t="b">
        <v>0</v>
      </c>
      <c r="F436" s="126" t="b">
        <v>0</v>
      </c>
      <c r="G436" s="126" t="b">
        <v>0</v>
      </c>
    </row>
    <row r="437" spans="1:7" ht="15">
      <c r="A437" s="126" t="s">
        <v>969</v>
      </c>
      <c r="B437" s="126">
        <v>2</v>
      </c>
      <c r="C437" s="128">
        <v>0.0013318061350887432</v>
      </c>
      <c r="D437" s="126" t="s">
        <v>701</v>
      </c>
      <c r="E437" s="126" t="b">
        <v>0</v>
      </c>
      <c r="F437" s="126" t="b">
        <v>1</v>
      </c>
      <c r="G437" s="126" t="b">
        <v>0</v>
      </c>
    </row>
    <row r="438" spans="1:7" ht="15">
      <c r="A438" s="126" t="s">
        <v>910</v>
      </c>
      <c r="B438" s="126">
        <v>2</v>
      </c>
      <c r="C438" s="128">
        <v>0.0013318061350887432</v>
      </c>
      <c r="D438" s="126" t="s">
        <v>701</v>
      </c>
      <c r="E438" s="126" t="b">
        <v>0</v>
      </c>
      <c r="F438" s="126" t="b">
        <v>0</v>
      </c>
      <c r="G438" s="126" t="b">
        <v>0</v>
      </c>
    </row>
    <row r="439" spans="1:7" ht="15">
      <c r="A439" s="126" t="s">
        <v>909</v>
      </c>
      <c r="B439" s="126">
        <v>2</v>
      </c>
      <c r="C439" s="128">
        <v>0.0013318061350887432</v>
      </c>
      <c r="D439" s="126" t="s">
        <v>701</v>
      </c>
      <c r="E439" s="126" t="b">
        <v>0</v>
      </c>
      <c r="F439" s="126" t="b">
        <v>0</v>
      </c>
      <c r="G439" s="126" t="b">
        <v>0</v>
      </c>
    </row>
    <row r="440" spans="1:7" ht="15">
      <c r="A440" s="126" t="s">
        <v>975</v>
      </c>
      <c r="B440" s="126">
        <v>2</v>
      </c>
      <c r="C440" s="128">
        <v>0.0015874579360772622</v>
      </c>
      <c r="D440" s="126" t="s">
        <v>701</v>
      </c>
      <c r="E440" s="126" t="b">
        <v>0</v>
      </c>
      <c r="F440" s="126" t="b">
        <v>0</v>
      </c>
      <c r="G440" s="126" t="b">
        <v>0</v>
      </c>
    </row>
    <row r="441" spans="1:7" ht="15">
      <c r="A441" s="126" t="s">
        <v>976</v>
      </c>
      <c r="B441" s="126">
        <v>2</v>
      </c>
      <c r="C441" s="128">
        <v>0.0015874579360772622</v>
      </c>
      <c r="D441" s="126" t="s">
        <v>701</v>
      </c>
      <c r="E441" s="126" t="b">
        <v>0</v>
      </c>
      <c r="F441" s="126" t="b">
        <v>0</v>
      </c>
      <c r="G441" s="126" t="b">
        <v>0</v>
      </c>
    </row>
    <row r="442" spans="1:7" ht="15">
      <c r="A442" s="126" t="s">
        <v>918</v>
      </c>
      <c r="B442" s="126">
        <v>2</v>
      </c>
      <c r="C442" s="128">
        <v>0.0013318061350887432</v>
      </c>
      <c r="D442" s="126" t="s">
        <v>701</v>
      </c>
      <c r="E442" s="126" t="b">
        <v>0</v>
      </c>
      <c r="F442" s="126" t="b">
        <v>0</v>
      </c>
      <c r="G442" s="126" t="b">
        <v>0</v>
      </c>
    </row>
    <row r="443" spans="1:7" ht="15">
      <c r="A443" s="126" t="s">
        <v>937</v>
      </c>
      <c r="B443" s="126">
        <v>2</v>
      </c>
      <c r="C443" s="128">
        <v>0.0013318061350887432</v>
      </c>
      <c r="D443" s="126" t="s">
        <v>701</v>
      </c>
      <c r="E443" s="126" t="b">
        <v>0</v>
      </c>
      <c r="F443" s="126" t="b">
        <v>0</v>
      </c>
      <c r="G443" s="126" t="b">
        <v>0</v>
      </c>
    </row>
    <row r="444" spans="1:7" ht="15">
      <c r="A444" s="126" t="s">
        <v>920</v>
      </c>
      <c r="B444" s="126">
        <v>2</v>
      </c>
      <c r="C444" s="128">
        <v>0.0013318061350887432</v>
      </c>
      <c r="D444" s="126" t="s">
        <v>701</v>
      </c>
      <c r="E444" s="126" t="b">
        <v>0</v>
      </c>
      <c r="F444" s="126" t="b">
        <v>0</v>
      </c>
      <c r="G444" s="126" t="b">
        <v>0</v>
      </c>
    </row>
    <row r="445" spans="1:7" ht="15">
      <c r="A445" s="126" t="s">
        <v>921</v>
      </c>
      <c r="B445" s="126">
        <v>2</v>
      </c>
      <c r="C445" s="128">
        <v>0.0013318061350887432</v>
      </c>
      <c r="D445" s="126" t="s">
        <v>701</v>
      </c>
      <c r="E445" s="126" t="b">
        <v>0</v>
      </c>
      <c r="F445" s="126" t="b">
        <v>0</v>
      </c>
      <c r="G445" s="126" t="b">
        <v>0</v>
      </c>
    </row>
    <row r="446" spans="1:7" ht="15">
      <c r="A446" s="126" t="s">
        <v>922</v>
      </c>
      <c r="B446" s="126">
        <v>2</v>
      </c>
      <c r="C446" s="128">
        <v>0.0013318061350887432</v>
      </c>
      <c r="D446" s="126" t="s">
        <v>701</v>
      </c>
      <c r="E446" s="126" t="b">
        <v>0</v>
      </c>
      <c r="F446" s="126" t="b">
        <v>0</v>
      </c>
      <c r="G446" s="126" t="b">
        <v>0</v>
      </c>
    </row>
    <row r="447" spans="1:7" ht="15">
      <c r="A447" s="126" t="s">
        <v>923</v>
      </c>
      <c r="B447" s="126">
        <v>2</v>
      </c>
      <c r="C447" s="128">
        <v>0.0013318061350887432</v>
      </c>
      <c r="D447" s="126" t="s">
        <v>701</v>
      </c>
      <c r="E447" s="126" t="b">
        <v>0</v>
      </c>
      <c r="F447" s="126" t="b">
        <v>1</v>
      </c>
      <c r="G447" s="126" t="b">
        <v>0</v>
      </c>
    </row>
    <row r="448" spans="1:7" ht="15">
      <c r="A448" s="126" t="s">
        <v>924</v>
      </c>
      <c r="B448" s="126">
        <v>2</v>
      </c>
      <c r="C448" s="128">
        <v>0.0013318061350887432</v>
      </c>
      <c r="D448" s="126" t="s">
        <v>701</v>
      </c>
      <c r="E448" s="126" t="b">
        <v>0</v>
      </c>
      <c r="F448" s="126" t="b">
        <v>0</v>
      </c>
      <c r="G448" s="126" t="b">
        <v>0</v>
      </c>
    </row>
    <row r="449" spans="1:7" ht="15">
      <c r="A449" s="126" t="s">
        <v>925</v>
      </c>
      <c r="B449" s="126">
        <v>2</v>
      </c>
      <c r="C449" s="128">
        <v>0.0013318061350887432</v>
      </c>
      <c r="D449" s="126" t="s">
        <v>701</v>
      </c>
      <c r="E449" s="126" t="b">
        <v>0</v>
      </c>
      <c r="F449" s="126" t="b">
        <v>0</v>
      </c>
      <c r="G449" s="126" t="b">
        <v>0</v>
      </c>
    </row>
    <row r="450" spans="1:7" ht="15">
      <c r="A450" s="126" t="s">
        <v>926</v>
      </c>
      <c r="B450" s="126">
        <v>2</v>
      </c>
      <c r="C450" s="128">
        <v>0.0013318061350887432</v>
      </c>
      <c r="D450" s="126" t="s">
        <v>701</v>
      </c>
      <c r="E450" s="126" t="b">
        <v>1</v>
      </c>
      <c r="F450" s="126" t="b">
        <v>0</v>
      </c>
      <c r="G450" s="126" t="b">
        <v>0</v>
      </c>
    </row>
    <row r="451" spans="1:7" ht="15">
      <c r="A451" s="126" t="s">
        <v>929</v>
      </c>
      <c r="B451" s="126">
        <v>2</v>
      </c>
      <c r="C451" s="128">
        <v>0.0013318061350887432</v>
      </c>
      <c r="D451" s="126" t="s">
        <v>701</v>
      </c>
      <c r="E451" s="126" t="b">
        <v>0</v>
      </c>
      <c r="F451" s="126" t="b">
        <v>0</v>
      </c>
      <c r="G451" s="126" t="b">
        <v>0</v>
      </c>
    </row>
    <row r="452" spans="1:7" ht="15">
      <c r="A452" s="126" t="s">
        <v>930</v>
      </c>
      <c r="B452" s="126">
        <v>2</v>
      </c>
      <c r="C452" s="128">
        <v>0.0013318061350887432</v>
      </c>
      <c r="D452" s="126" t="s">
        <v>701</v>
      </c>
      <c r="E452" s="126" t="b">
        <v>0</v>
      </c>
      <c r="F452" s="126" t="b">
        <v>0</v>
      </c>
      <c r="G452" s="126" t="b">
        <v>0</v>
      </c>
    </row>
    <row r="453" spans="1:7" ht="15">
      <c r="A453" s="126" t="s">
        <v>971</v>
      </c>
      <c r="B453" s="126">
        <v>2</v>
      </c>
      <c r="C453" s="128">
        <v>0.0015874579360772622</v>
      </c>
      <c r="D453" s="126" t="s">
        <v>701</v>
      </c>
      <c r="E453" s="126" t="b">
        <v>0</v>
      </c>
      <c r="F453" s="126" t="b">
        <v>0</v>
      </c>
      <c r="G453" s="126" t="b">
        <v>0</v>
      </c>
    </row>
    <row r="454" spans="1:7" ht="15">
      <c r="A454" s="126" t="s">
        <v>972</v>
      </c>
      <c r="B454" s="126">
        <v>2</v>
      </c>
      <c r="C454" s="128">
        <v>0.0015874579360772622</v>
      </c>
      <c r="D454" s="126" t="s">
        <v>701</v>
      </c>
      <c r="E454" s="126" t="b">
        <v>0</v>
      </c>
      <c r="F454" s="126" t="b">
        <v>0</v>
      </c>
      <c r="G454" s="126" t="b">
        <v>0</v>
      </c>
    </row>
    <row r="455" spans="1:7" ht="15">
      <c r="A455" s="126" t="s">
        <v>931</v>
      </c>
      <c r="B455" s="126">
        <v>2</v>
      </c>
      <c r="C455" s="128">
        <v>0.0013318061350887432</v>
      </c>
      <c r="D455" s="126" t="s">
        <v>701</v>
      </c>
      <c r="E455" s="126" t="b">
        <v>0</v>
      </c>
      <c r="F455" s="126" t="b">
        <v>0</v>
      </c>
      <c r="G455" s="126" t="b">
        <v>0</v>
      </c>
    </row>
    <row r="456" spans="1:7" ht="15">
      <c r="A456" s="126" t="s">
        <v>973</v>
      </c>
      <c r="B456" s="126">
        <v>2</v>
      </c>
      <c r="C456" s="128">
        <v>0.0015874579360772622</v>
      </c>
      <c r="D456" s="126" t="s">
        <v>701</v>
      </c>
      <c r="E456" s="126" t="b">
        <v>0</v>
      </c>
      <c r="F456" s="126" t="b">
        <v>0</v>
      </c>
      <c r="G456" s="126" t="b">
        <v>0</v>
      </c>
    </row>
    <row r="457" spans="1:7" ht="15">
      <c r="A457" s="126" t="s">
        <v>897</v>
      </c>
      <c r="B457" s="126">
        <v>2</v>
      </c>
      <c r="C457" s="128">
        <v>0.0013318061350887432</v>
      </c>
      <c r="D457" s="126" t="s">
        <v>701</v>
      </c>
      <c r="E457" s="126" t="b">
        <v>0</v>
      </c>
      <c r="F457" s="126" t="b">
        <v>0</v>
      </c>
      <c r="G457" s="126" t="b">
        <v>0</v>
      </c>
    </row>
    <row r="458" spans="1:7" ht="15">
      <c r="A458" s="126" t="s">
        <v>938</v>
      </c>
      <c r="B458" s="126">
        <v>2</v>
      </c>
      <c r="C458" s="128">
        <v>0.0013318061350887432</v>
      </c>
      <c r="D458" s="126" t="s">
        <v>701</v>
      </c>
      <c r="E458" s="126" t="b">
        <v>0</v>
      </c>
      <c r="F458" s="126" t="b">
        <v>0</v>
      </c>
      <c r="G458" s="126" t="b">
        <v>0</v>
      </c>
    </row>
    <row r="459" spans="1:7" ht="15">
      <c r="A459" s="126" t="s">
        <v>974</v>
      </c>
      <c r="B459" s="126">
        <v>2</v>
      </c>
      <c r="C459" s="128">
        <v>0.0015874579360772622</v>
      </c>
      <c r="D459" s="126" t="s">
        <v>701</v>
      </c>
      <c r="E459" s="126" t="b">
        <v>0</v>
      </c>
      <c r="F459" s="126" t="b">
        <v>0</v>
      </c>
      <c r="G459" s="126" t="b">
        <v>0</v>
      </c>
    </row>
    <row r="460" spans="1:7" ht="15">
      <c r="A460" s="126" t="s">
        <v>911</v>
      </c>
      <c r="B460" s="126">
        <v>2</v>
      </c>
      <c r="C460" s="128">
        <v>0.0013318061350887432</v>
      </c>
      <c r="D460" s="126" t="s">
        <v>701</v>
      </c>
      <c r="E460" s="126" t="b">
        <v>0</v>
      </c>
      <c r="F460" s="126" t="b">
        <v>0</v>
      </c>
      <c r="G460" s="126" t="b">
        <v>0</v>
      </c>
    </row>
    <row r="461" spans="1:7" ht="15">
      <c r="A461" s="126" t="s">
        <v>967</v>
      </c>
      <c r="B461" s="126">
        <v>2</v>
      </c>
      <c r="C461" s="128">
        <v>0.0015874579360772622</v>
      </c>
      <c r="D461" s="126" t="s">
        <v>701</v>
      </c>
      <c r="E461" s="126" t="b">
        <v>0</v>
      </c>
      <c r="F461" s="126" t="b">
        <v>0</v>
      </c>
      <c r="G461" s="126" t="b">
        <v>0</v>
      </c>
    </row>
    <row r="462" spans="1:7" ht="15">
      <c r="A462" s="126" t="s">
        <v>968</v>
      </c>
      <c r="B462" s="126">
        <v>2</v>
      </c>
      <c r="C462" s="128">
        <v>0.0015874579360772622</v>
      </c>
      <c r="D462" s="126" t="s">
        <v>701</v>
      </c>
      <c r="E462" s="126" t="b">
        <v>0</v>
      </c>
      <c r="F462" s="126" t="b">
        <v>0</v>
      </c>
      <c r="G462" s="126" t="b">
        <v>0</v>
      </c>
    </row>
    <row r="463" spans="1:7" ht="15">
      <c r="A463" s="126" t="s">
        <v>905</v>
      </c>
      <c r="B463" s="126">
        <v>2</v>
      </c>
      <c r="C463" s="128">
        <v>0.0013318061350887432</v>
      </c>
      <c r="D463" s="126" t="s">
        <v>701</v>
      </c>
      <c r="E463" s="126" t="b">
        <v>0</v>
      </c>
      <c r="F463" s="126" t="b">
        <v>0</v>
      </c>
      <c r="G463" s="126" t="b">
        <v>0</v>
      </c>
    </row>
    <row r="464" spans="1:7" ht="15">
      <c r="A464" s="126" t="s">
        <v>964</v>
      </c>
      <c r="B464" s="126">
        <v>2</v>
      </c>
      <c r="C464" s="128">
        <v>0.0013318061350887432</v>
      </c>
      <c r="D464" s="126" t="s">
        <v>701</v>
      </c>
      <c r="E464" s="126" t="b">
        <v>0</v>
      </c>
      <c r="F464" s="126" t="b">
        <v>0</v>
      </c>
      <c r="G464" s="126" t="b">
        <v>0</v>
      </c>
    </row>
    <row r="465" spans="1:7" ht="15">
      <c r="A465" s="126" t="s">
        <v>928</v>
      </c>
      <c r="B465" s="126">
        <v>2</v>
      </c>
      <c r="C465" s="128">
        <v>0.0013318061350887432</v>
      </c>
      <c r="D465" s="126" t="s">
        <v>701</v>
      </c>
      <c r="E465" s="126" t="b">
        <v>0</v>
      </c>
      <c r="F465" s="126" t="b">
        <v>0</v>
      </c>
      <c r="G465" s="126" t="b">
        <v>0</v>
      </c>
    </row>
    <row r="466" spans="1:7" ht="15">
      <c r="A466" s="126" t="s">
        <v>943</v>
      </c>
      <c r="B466" s="126">
        <v>2</v>
      </c>
      <c r="C466" s="128">
        <v>0.0013318061350887432</v>
      </c>
      <c r="D466" s="126" t="s">
        <v>701</v>
      </c>
      <c r="E466" s="126" t="b">
        <v>0</v>
      </c>
      <c r="F466" s="126" t="b">
        <v>0</v>
      </c>
      <c r="G466" s="126" t="b">
        <v>0</v>
      </c>
    </row>
    <row r="467" spans="1:7" ht="15">
      <c r="A467" s="126" t="s">
        <v>944</v>
      </c>
      <c r="B467" s="126">
        <v>2</v>
      </c>
      <c r="C467" s="128">
        <v>0.0013318061350887432</v>
      </c>
      <c r="D467" s="126" t="s">
        <v>701</v>
      </c>
      <c r="E467" s="126" t="b">
        <v>0</v>
      </c>
      <c r="F467" s="126" t="b">
        <v>0</v>
      </c>
      <c r="G467" s="126" t="b">
        <v>0</v>
      </c>
    </row>
    <row r="468" spans="1:7" ht="15">
      <c r="A468" s="126" t="s">
        <v>945</v>
      </c>
      <c r="B468" s="126">
        <v>2</v>
      </c>
      <c r="C468" s="128">
        <v>0.0013318061350887432</v>
      </c>
      <c r="D468" s="126" t="s">
        <v>701</v>
      </c>
      <c r="E468" s="126" t="b">
        <v>0</v>
      </c>
      <c r="F468" s="126" t="b">
        <v>0</v>
      </c>
      <c r="G468" s="126" t="b">
        <v>0</v>
      </c>
    </row>
    <row r="469" spans="1:7" ht="15">
      <c r="A469" s="126" t="s">
        <v>946</v>
      </c>
      <c r="B469" s="126">
        <v>2</v>
      </c>
      <c r="C469" s="128">
        <v>0.0013318061350887432</v>
      </c>
      <c r="D469" s="126" t="s">
        <v>701</v>
      </c>
      <c r="E469" s="126" t="b">
        <v>0</v>
      </c>
      <c r="F469" s="126" t="b">
        <v>0</v>
      </c>
      <c r="G469" s="126" t="b">
        <v>0</v>
      </c>
    </row>
    <row r="470" spans="1:7" ht="15">
      <c r="A470" s="126" t="s">
        <v>947</v>
      </c>
      <c r="B470" s="126">
        <v>2</v>
      </c>
      <c r="C470" s="128">
        <v>0.0013318061350887432</v>
      </c>
      <c r="D470" s="126" t="s">
        <v>701</v>
      </c>
      <c r="E470" s="126" t="b">
        <v>0</v>
      </c>
      <c r="F470" s="126" t="b">
        <v>0</v>
      </c>
      <c r="G470" s="126" t="b">
        <v>0</v>
      </c>
    </row>
    <row r="471" spans="1:7" ht="15">
      <c r="A471" s="126" t="s">
        <v>965</v>
      </c>
      <c r="B471" s="126">
        <v>2</v>
      </c>
      <c r="C471" s="128">
        <v>0.0015874579360772622</v>
      </c>
      <c r="D471" s="126" t="s">
        <v>701</v>
      </c>
      <c r="E471" s="126" t="b">
        <v>0</v>
      </c>
      <c r="F471" s="126" t="b">
        <v>0</v>
      </c>
      <c r="G471" s="126" t="b">
        <v>0</v>
      </c>
    </row>
    <row r="472" spans="1:7" ht="15">
      <c r="A472" s="126" t="s">
        <v>952</v>
      </c>
      <c r="B472" s="126">
        <v>2</v>
      </c>
      <c r="C472" s="128">
        <v>0.0013318061350887432</v>
      </c>
      <c r="D472" s="126" t="s">
        <v>701</v>
      </c>
      <c r="E472" s="126" t="b">
        <v>0</v>
      </c>
      <c r="F472" s="126" t="b">
        <v>0</v>
      </c>
      <c r="G472" s="126" t="b">
        <v>0</v>
      </c>
    </row>
    <row r="473" spans="1:7" ht="15">
      <c r="A473" s="126" t="s">
        <v>951</v>
      </c>
      <c r="B473" s="126">
        <v>2</v>
      </c>
      <c r="C473" s="128">
        <v>0.0013318061350887432</v>
      </c>
      <c r="D473" s="126" t="s">
        <v>701</v>
      </c>
      <c r="E473" s="126" t="b">
        <v>0</v>
      </c>
      <c r="F473" s="126" t="b">
        <v>0</v>
      </c>
      <c r="G473" s="126" t="b">
        <v>0</v>
      </c>
    </row>
    <row r="474" spans="1:7" ht="15">
      <c r="A474" s="126" t="s">
        <v>966</v>
      </c>
      <c r="B474" s="126">
        <v>2</v>
      </c>
      <c r="C474" s="128">
        <v>0.0015874579360772622</v>
      </c>
      <c r="D474" s="126" t="s">
        <v>701</v>
      </c>
      <c r="E474" s="126" t="b">
        <v>0</v>
      </c>
      <c r="F474" s="126" t="b">
        <v>0</v>
      </c>
      <c r="G474" s="126" t="b">
        <v>0</v>
      </c>
    </row>
    <row r="475" spans="1:7" ht="15">
      <c r="A475" s="126" t="s">
        <v>962</v>
      </c>
      <c r="B475" s="126">
        <v>2</v>
      </c>
      <c r="C475" s="128">
        <v>0.0015874579360772622</v>
      </c>
      <c r="D475" s="126" t="s">
        <v>701</v>
      </c>
      <c r="E475" s="126" t="b">
        <v>0</v>
      </c>
      <c r="F475" s="126" t="b">
        <v>0</v>
      </c>
      <c r="G475" s="126" t="b">
        <v>0</v>
      </c>
    </row>
    <row r="476" spans="1:7" ht="15">
      <c r="A476" s="126" t="s">
        <v>963</v>
      </c>
      <c r="B476" s="126">
        <v>2</v>
      </c>
      <c r="C476" s="128">
        <v>0.0015874579360772622</v>
      </c>
      <c r="D476" s="126" t="s">
        <v>701</v>
      </c>
      <c r="E476" s="126" t="b">
        <v>0</v>
      </c>
      <c r="F476" s="126" t="b">
        <v>0</v>
      </c>
      <c r="G476" s="126" t="b">
        <v>0</v>
      </c>
    </row>
    <row r="477" spans="1:7" ht="15">
      <c r="A477" s="126" t="s">
        <v>889</v>
      </c>
      <c r="B477" s="126">
        <v>2</v>
      </c>
      <c r="C477" s="128">
        <v>0.0013318061350887432</v>
      </c>
      <c r="D477" s="126" t="s">
        <v>701</v>
      </c>
      <c r="E477" s="126" t="b">
        <v>0</v>
      </c>
      <c r="F477" s="126" t="b">
        <v>0</v>
      </c>
      <c r="G477" s="126" t="b">
        <v>0</v>
      </c>
    </row>
    <row r="478" spans="1:7" ht="15">
      <c r="A478" s="126" t="s">
        <v>953</v>
      </c>
      <c r="B478" s="126">
        <v>2</v>
      </c>
      <c r="C478" s="128">
        <v>0.0013318061350887432</v>
      </c>
      <c r="D478" s="126" t="s">
        <v>701</v>
      </c>
      <c r="E478" s="126" t="b">
        <v>0</v>
      </c>
      <c r="F478" s="126" t="b">
        <v>0</v>
      </c>
      <c r="G478" s="126" t="b">
        <v>0</v>
      </c>
    </row>
    <row r="479" spans="1:7" ht="15">
      <c r="A479" s="126" t="s">
        <v>959</v>
      </c>
      <c r="B479" s="126">
        <v>2</v>
      </c>
      <c r="C479" s="128">
        <v>0.0013318061350887432</v>
      </c>
      <c r="D479" s="126" t="s">
        <v>701</v>
      </c>
      <c r="E479" s="126" t="b">
        <v>0</v>
      </c>
      <c r="F479" s="126" t="b">
        <v>0</v>
      </c>
      <c r="G479" s="126" t="b">
        <v>0</v>
      </c>
    </row>
    <row r="480" spans="1:7" ht="15">
      <c r="A480" s="126" t="s">
        <v>960</v>
      </c>
      <c r="B480" s="126">
        <v>2</v>
      </c>
      <c r="C480" s="128">
        <v>0.0013318061350887432</v>
      </c>
      <c r="D480" s="126" t="s">
        <v>701</v>
      </c>
      <c r="E480" s="126" t="b">
        <v>0</v>
      </c>
      <c r="F480" s="126" t="b">
        <v>0</v>
      </c>
      <c r="G480" s="126" t="b">
        <v>0</v>
      </c>
    </row>
    <row r="481" spans="1:7" ht="15">
      <c r="A481" s="126" t="s">
        <v>961</v>
      </c>
      <c r="B481" s="126">
        <v>2</v>
      </c>
      <c r="C481" s="128">
        <v>0.0013318061350887432</v>
      </c>
      <c r="D481" s="126" t="s">
        <v>701</v>
      </c>
      <c r="E481" s="126" t="b">
        <v>0</v>
      </c>
      <c r="F481" s="126" t="b">
        <v>0</v>
      </c>
      <c r="G481" s="126" t="b">
        <v>0</v>
      </c>
    </row>
    <row r="482" spans="1:7" ht="15">
      <c r="A482" s="126" t="s">
        <v>901</v>
      </c>
      <c r="B482" s="126">
        <v>2</v>
      </c>
      <c r="C482" s="128">
        <v>0.0013318061350887432</v>
      </c>
      <c r="D482" s="126" t="s">
        <v>701</v>
      </c>
      <c r="E482" s="126" t="b">
        <v>0</v>
      </c>
      <c r="F482" s="126" t="b">
        <v>0</v>
      </c>
      <c r="G482" s="126" t="b">
        <v>0</v>
      </c>
    </row>
    <row r="483" spans="1:7" ht="15">
      <c r="A483" s="126" t="s">
        <v>932</v>
      </c>
      <c r="B483" s="126">
        <v>2</v>
      </c>
      <c r="C483" s="128">
        <v>0.0013318061350887432</v>
      </c>
      <c r="D483" s="126" t="s">
        <v>701</v>
      </c>
      <c r="E483" s="126" t="b">
        <v>0</v>
      </c>
      <c r="F483" s="126" t="b">
        <v>0</v>
      </c>
      <c r="G483" s="126" t="b">
        <v>0</v>
      </c>
    </row>
    <row r="484" spans="1:7" ht="15">
      <c r="A484" s="126" t="s">
        <v>954</v>
      </c>
      <c r="B484" s="126">
        <v>2</v>
      </c>
      <c r="C484" s="128">
        <v>0.0015874579360772622</v>
      </c>
      <c r="D484" s="126" t="s">
        <v>701</v>
      </c>
      <c r="E484" s="126" t="b">
        <v>0</v>
      </c>
      <c r="F484" s="126" t="b">
        <v>0</v>
      </c>
      <c r="G484" s="126" t="b">
        <v>0</v>
      </c>
    </row>
    <row r="485" spans="1:7" ht="15">
      <c r="A485" s="126" t="s">
        <v>955</v>
      </c>
      <c r="B485" s="126">
        <v>2</v>
      </c>
      <c r="C485" s="128">
        <v>0.0015874579360772622</v>
      </c>
      <c r="D485" s="126" t="s">
        <v>701</v>
      </c>
      <c r="E485" s="126" t="b">
        <v>0</v>
      </c>
      <c r="F485" s="126" t="b">
        <v>0</v>
      </c>
      <c r="G485" s="126" t="b">
        <v>0</v>
      </c>
    </row>
    <row r="486" spans="1:7" ht="15">
      <c r="A486" s="126" t="s">
        <v>956</v>
      </c>
      <c r="B486" s="126">
        <v>2</v>
      </c>
      <c r="C486" s="128">
        <v>0.0015874579360772622</v>
      </c>
      <c r="D486" s="126" t="s">
        <v>701</v>
      </c>
      <c r="E486" s="126" t="b">
        <v>0</v>
      </c>
      <c r="F486" s="126" t="b">
        <v>0</v>
      </c>
      <c r="G486" s="126" t="b">
        <v>0</v>
      </c>
    </row>
    <row r="487" spans="1:7" ht="15">
      <c r="A487" s="126" t="s">
        <v>957</v>
      </c>
      <c r="B487" s="126">
        <v>2</v>
      </c>
      <c r="C487" s="128">
        <v>0.0015874579360772622</v>
      </c>
      <c r="D487" s="126" t="s">
        <v>701</v>
      </c>
      <c r="E487" s="126" t="b">
        <v>0</v>
      </c>
      <c r="F487" s="126" t="b">
        <v>0</v>
      </c>
      <c r="G487" s="126" t="b">
        <v>0</v>
      </c>
    </row>
    <row r="488" spans="1:7" ht="15">
      <c r="A488" s="126" t="s">
        <v>958</v>
      </c>
      <c r="B488" s="126">
        <v>2</v>
      </c>
      <c r="C488" s="128">
        <v>0.0015874579360772622</v>
      </c>
      <c r="D488" s="126" t="s">
        <v>701</v>
      </c>
      <c r="E488" s="126" t="b">
        <v>0</v>
      </c>
      <c r="F488" s="126" t="b">
        <v>0</v>
      </c>
      <c r="G488" s="126" t="b">
        <v>0</v>
      </c>
    </row>
    <row r="489" spans="1:7" ht="15">
      <c r="A489" s="126" t="s">
        <v>907</v>
      </c>
      <c r="B489" s="126">
        <v>2</v>
      </c>
      <c r="C489" s="128">
        <v>0.0013318061350887432</v>
      </c>
      <c r="D489" s="126" t="s">
        <v>701</v>
      </c>
      <c r="E489" s="126" t="b">
        <v>0</v>
      </c>
      <c r="F489" s="126" t="b">
        <v>0</v>
      </c>
      <c r="G489" s="126" t="b">
        <v>0</v>
      </c>
    </row>
    <row r="490" spans="1:7" ht="15">
      <c r="A490" s="126" t="s">
        <v>908</v>
      </c>
      <c r="B490" s="126">
        <v>2</v>
      </c>
      <c r="C490" s="128">
        <v>0.0013318061350887432</v>
      </c>
      <c r="D490" s="126" t="s">
        <v>701</v>
      </c>
      <c r="E490" s="126" t="b">
        <v>0</v>
      </c>
      <c r="F490" s="126" t="b">
        <v>0</v>
      </c>
      <c r="G490" s="126" t="b">
        <v>0</v>
      </c>
    </row>
    <row r="491" spans="1:7" ht="15">
      <c r="A491" s="126" t="s">
        <v>948</v>
      </c>
      <c r="B491" s="126">
        <v>2</v>
      </c>
      <c r="C491" s="128">
        <v>0.0015874579360772622</v>
      </c>
      <c r="D491" s="126" t="s">
        <v>701</v>
      </c>
      <c r="E491" s="126" t="b">
        <v>0</v>
      </c>
      <c r="F491" s="126" t="b">
        <v>0</v>
      </c>
      <c r="G491" s="126" t="b">
        <v>0</v>
      </c>
    </row>
    <row r="492" spans="1:7" ht="15">
      <c r="A492" s="126" t="s">
        <v>949</v>
      </c>
      <c r="B492" s="126">
        <v>2</v>
      </c>
      <c r="C492" s="128">
        <v>0.0015874579360772622</v>
      </c>
      <c r="D492" s="126" t="s">
        <v>701</v>
      </c>
      <c r="E492" s="126" t="b">
        <v>0</v>
      </c>
      <c r="F492" s="126" t="b">
        <v>0</v>
      </c>
      <c r="G492" s="126" t="b">
        <v>0</v>
      </c>
    </row>
    <row r="493" spans="1:7" ht="15">
      <c r="A493" s="126" t="s">
        <v>950</v>
      </c>
      <c r="B493" s="126">
        <v>2</v>
      </c>
      <c r="C493" s="128">
        <v>0.0015874579360772622</v>
      </c>
      <c r="D493" s="126" t="s">
        <v>701</v>
      </c>
      <c r="E493" s="126" t="b">
        <v>0</v>
      </c>
      <c r="F493" s="126" t="b">
        <v>0</v>
      </c>
      <c r="G493" s="126" t="b">
        <v>0</v>
      </c>
    </row>
    <row r="494" spans="1:7" ht="15">
      <c r="A494" s="126" t="s">
        <v>940</v>
      </c>
      <c r="B494" s="126">
        <v>2</v>
      </c>
      <c r="C494" s="128">
        <v>0.0015874579360772622</v>
      </c>
      <c r="D494" s="126" t="s">
        <v>701</v>
      </c>
      <c r="E494" s="126" t="b">
        <v>0</v>
      </c>
      <c r="F494" s="126" t="b">
        <v>0</v>
      </c>
      <c r="G494" s="126" t="b">
        <v>0</v>
      </c>
    </row>
    <row r="495" spans="1:7" ht="15">
      <c r="A495" s="126" t="s">
        <v>941</v>
      </c>
      <c r="B495" s="126">
        <v>2</v>
      </c>
      <c r="C495" s="128">
        <v>0.0015874579360772622</v>
      </c>
      <c r="D495" s="126" t="s">
        <v>701</v>
      </c>
      <c r="E495" s="126" t="b">
        <v>0</v>
      </c>
      <c r="F495" s="126" t="b">
        <v>0</v>
      </c>
      <c r="G495" s="126" t="b">
        <v>0</v>
      </c>
    </row>
    <row r="496" spans="1:7" ht="15">
      <c r="A496" s="126" t="s">
        <v>942</v>
      </c>
      <c r="B496" s="126">
        <v>2</v>
      </c>
      <c r="C496" s="128">
        <v>0.0015874579360772622</v>
      </c>
      <c r="D496" s="126" t="s">
        <v>701</v>
      </c>
      <c r="E496" s="126" t="b">
        <v>0</v>
      </c>
      <c r="F496" s="126" t="b">
        <v>0</v>
      </c>
      <c r="G496" s="126" t="b">
        <v>0</v>
      </c>
    </row>
    <row r="497" spans="1:7" ht="15">
      <c r="A497" s="126" t="s">
        <v>919</v>
      </c>
      <c r="B497" s="126">
        <v>2</v>
      </c>
      <c r="C497" s="128">
        <v>0.0013318061350887432</v>
      </c>
      <c r="D497" s="126" t="s">
        <v>701</v>
      </c>
      <c r="E497" s="126" t="b">
        <v>0</v>
      </c>
      <c r="F497" s="126" t="b">
        <v>0</v>
      </c>
      <c r="G497" s="126" t="b">
        <v>0</v>
      </c>
    </row>
    <row r="498" spans="1:7" ht="15">
      <c r="A498" s="126" t="s">
        <v>906</v>
      </c>
      <c r="B498" s="126">
        <v>2</v>
      </c>
      <c r="C498" s="128">
        <v>0.0013318061350887432</v>
      </c>
      <c r="D498" s="126" t="s">
        <v>701</v>
      </c>
      <c r="E498" s="126" t="b">
        <v>0</v>
      </c>
      <c r="F498" s="126" t="b">
        <v>0</v>
      </c>
      <c r="G498" s="126" t="b">
        <v>0</v>
      </c>
    </row>
    <row r="499" spans="1:7" ht="15">
      <c r="A499" s="126" t="s">
        <v>939</v>
      </c>
      <c r="B499" s="126">
        <v>2</v>
      </c>
      <c r="C499" s="128">
        <v>0.0015874579360772622</v>
      </c>
      <c r="D499" s="126" t="s">
        <v>701</v>
      </c>
      <c r="E499" s="126" t="b">
        <v>0</v>
      </c>
      <c r="F499" s="126" t="b">
        <v>0</v>
      </c>
      <c r="G499" s="126" t="b">
        <v>0</v>
      </c>
    </row>
    <row r="500" spans="1:7" ht="15">
      <c r="A500" s="126" t="s">
        <v>935</v>
      </c>
      <c r="B500" s="126">
        <v>2</v>
      </c>
      <c r="C500" s="128">
        <v>0.0013318061350887432</v>
      </c>
      <c r="D500" s="126" t="s">
        <v>701</v>
      </c>
      <c r="E500" s="126" t="b">
        <v>0</v>
      </c>
      <c r="F500" s="126" t="b">
        <v>0</v>
      </c>
      <c r="G500" s="126" t="b">
        <v>0</v>
      </c>
    </row>
    <row r="501" spans="1:7" ht="15">
      <c r="A501" s="126" t="s">
        <v>892</v>
      </c>
      <c r="B501" s="126">
        <v>2</v>
      </c>
      <c r="C501" s="128">
        <v>0.0013318061350887432</v>
      </c>
      <c r="D501" s="126" t="s">
        <v>701</v>
      </c>
      <c r="E501" s="126" t="b">
        <v>0</v>
      </c>
      <c r="F501" s="126" t="b">
        <v>0</v>
      </c>
      <c r="G501" s="126" t="b">
        <v>0</v>
      </c>
    </row>
    <row r="502" spans="1:7" ht="15">
      <c r="A502" s="126" t="s">
        <v>893</v>
      </c>
      <c r="B502" s="126">
        <v>2</v>
      </c>
      <c r="C502" s="128">
        <v>0.0013318061350887432</v>
      </c>
      <c r="D502" s="126" t="s">
        <v>701</v>
      </c>
      <c r="E502" s="126" t="b">
        <v>0</v>
      </c>
      <c r="F502" s="126" t="b">
        <v>0</v>
      </c>
      <c r="G502" s="126" t="b">
        <v>0</v>
      </c>
    </row>
    <row r="503" spans="1:7" ht="15">
      <c r="A503" s="126" t="s">
        <v>896</v>
      </c>
      <c r="B503" s="126">
        <v>2</v>
      </c>
      <c r="C503" s="128">
        <v>0.0013318061350887432</v>
      </c>
      <c r="D503" s="126" t="s">
        <v>701</v>
      </c>
      <c r="E503" s="126" t="b">
        <v>0</v>
      </c>
      <c r="F503" s="126" t="b">
        <v>0</v>
      </c>
      <c r="G503" s="126" t="b">
        <v>0</v>
      </c>
    </row>
    <row r="504" spans="1:7" ht="15">
      <c r="A504" s="126" t="s">
        <v>936</v>
      </c>
      <c r="B504" s="126">
        <v>2</v>
      </c>
      <c r="C504" s="128">
        <v>0.0015874579360772622</v>
      </c>
      <c r="D504" s="126" t="s">
        <v>701</v>
      </c>
      <c r="E504" s="126" t="b">
        <v>0</v>
      </c>
      <c r="F504" s="126" t="b">
        <v>1</v>
      </c>
      <c r="G504" s="126" t="b">
        <v>0</v>
      </c>
    </row>
    <row r="505" spans="1:7" ht="15">
      <c r="A505" s="126" t="s">
        <v>933</v>
      </c>
      <c r="B505" s="126">
        <v>2</v>
      </c>
      <c r="C505" s="128">
        <v>0.0013318061350887432</v>
      </c>
      <c r="D505" s="126" t="s">
        <v>701</v>
      </c>
      <c r="E505" s="126" t="b">
        <v>0</v>
      </c>
      <c r="F505" s="126" t="b">
        <v>0</v>
      </c>
      <c r="G505" s="126" t="b">
        <v>0</v>
      </c>
    </row>
    <row r="506" spans="1:7" ht="15">
      <c r="A506" s="126" t="s">
        <v>934</v>
      </c>
      <c r="B506" s="126">
        <v>2</v>
      </c>
      <c r="C506" s="128">
        <v>0.0015874579360772622</v>
      </c>
      <c r="D506" s="126" t="s">
        <v>701</v>
      </c>
      <c r="E506" s="126" t="b">
        <v>0</v>
      </c>
      <c r="F506" s="126" t="b">
        <v>0</v>
      </c>
      <c r="G506" s="126" t="b">
        <v>0</v>
      </c>
    </row>
    <row r="507" spans="1:7" ht="15">
      <c r="A507" s="126" t="s">
        <v>898</v>
      </c>
      <c r="B507" s="126">
        <v>2</v>
      </c>
      <c r="C507" s="128">
        <v>0.0013318061350887432</v>
      </c>
      <c r="D507" s="126" t="s">
        <v>701</v>
      </c>
      <c r="E507" s="126" t="b">
        <v>0</v>
      </c>
      <c r="F507" s="126" t="b">
        <v>0</v>
      </c>
      <c r="G507" s="126" t="b">
        <v>0</v>
      </c>
    </row>
    <row r="508" spans="1:7" ht="15">
      <c r="A508" s="126" t="s">
        <v>927</v>
      </c>
      <c r="B508" s="126">
        <v>2</v>
      </c>
      <c r="C508" s="128">
        <v>0.0015874579360772622</v>
      </c>
      <c r="D508" s="126" t="s">
        <v>701</v>
      </c>
      <c r="E508" s="126" t="b">
        <v>0</v>
      </c>
      <c r="F508" s="126" t="b">
        <v>0</v>
      </c>
      <c r="G508" s="126" t="b">
        <v>0</v>
      </c>
    </row>
    <row r="509" spans="1:7" ht="15">
      <c r="A509" s="126" t="s">
        <v>913</v>
      </c>
      <c r="B509" s="126">
        <v>2</v>
      </c>
      <c r="C509" s="128">
        <v>0.0013318061350887432</v>
      </c>
      <c r="D509" s="126" t="s">
        <v>701</v>
      </c>
      <c r="E509" s="126" t="b">
        <v>0</v>
      </c>
      <c r="F509" s="126" t="b">
        <v>0</v>
      </c>
      <c r="G509" s="126" t="b">
        <v>0</v>
      </c>
    </row>
    <row r="510" spans="1:7" ht="15">
      <c r="A510" s="126" t="s">
        <v>914</v>
      </c>
      <c r="B510" s="126">
        <v>2</v>
      </c>
      <c r="C510" s="128">
        <v>0.0013318061350887432</v>
      </c>
      <c r="D510" s="126" t="s">
        <v>701</v>
      </c>
      <c r="E510" s="126" t="b">
        <v>0</v>
      </c>
      <c r="F510" s="126" t="b">
        <v>0</v>
      </c>
      <c r="G510" s="126" t="b">
        <v>0</v>
      </c>
    </row>
    <row r="511" spans="1:7" ht="15">
      <c r="A511" s="126" t="s">
        <v>915</v>
      </c>
      <c r="B511" s="126">
        <v>2</v>
      </c>
      <c r="C511" s="128">
        <v>0.0013318061350887432</v>
      </c>
      <c r="D511" s="126" t="s">
        <v>701</v>
      </c>
      <c r="E511" s="126" t="b">
        <v>0</v>
      </c>
      <c r="F511" s="126" t="b">
        <v>0</v>
      </c>
      <c r="G511" s="126" t="b">
        <v>0</v>
      </c>
    </row>
    <row r="512" spans="1:7" ht="15">
      <c r="A512" s="126" t="s">
        <v>916</v>
      </c>
      <c r="B512" s="126">
        <v>2</v>
      </c>
      <c r="C512" s="128">
        <v>0.0013318061350887432</v>
      </c>
      <c r="D512" s="126" t="s">
        <v>701</v>
      </c>
      <c r="E512" s="126" t="b">
        <v>0</v>
      </c>
      <c r="F512" s="126" t="b">
        <v>0</v>
      </c>
      <c r="G512" s="126" t="b">
        <v>0</v>
      </c>
    </row>
    <row r="513" spans="1:7" ht="15">
      <c r="A513" s="126" t="s">
        <v>917</v>
      </c>
      <c r="B513" s="126">
        <v>2</v>
      </c>
      <c r="C513" s="128">
        <v>0.0013318061350887432</v>
      </c>
      <c r="D513" s="126" t="s">
        <v>701</v>
      </c>
      <c r="E513" s="126" t="b">
        <v>0</v>
      </c>
      <c r="F513" s="126" t="b">
        <v>0</v>
      </c>
      <c r="G513" s="126" t="b">
        <v>0</v>
      </c>
    </row>
    <row r="514" spans="1:7" ht="15">
      <c r="A514" s="126" t="s">
        <v>912</v>
      </c>
      <c r="B514" s="126">
        <v>2</v>
      </c>
      <c r="C514" s="128">
        <v>0.0013318061350887432</v>
      </c>
      <c r="D514" s="126" t="s">
        <v>701</v>
      </c>
      <c r="E514" s="126" t="b">
        <v>0</v>
      </c>
      <c r="F514" s="126" t="b">
        <v>0</v>
      </c>
      <c r="G514" s="126" t="b">
        <v>0</v>
      </c>
    </row>
    <row r="515" spans="1:7" ht="15">
      <c r="A515" s="126" t="s">
        <v>902</v>
      </c>
      <c r="B515" s="126">
        <v>2</v>
      </c>
      <c r="C515" s="128">
        <v>0.0015874579360772622</v>
      </c>
      <c r="D515" s="126" t="s">
        <v>701</v>
      </c>
      <c r="E515" s="126" t="b">
        <v>0</v>
      </c>
      <c r="F515" s="126" t="b">
        <v>0</v>
      </c>
      <c r="G515" s="126" t="b">
        <v>0</v>
      </c>
    </row>
    <row r="516" spans="1:7" ht="15">
      <c r="A516" s="126" t="s">
        <v>903</v>
      </c>
      <c r="B516" s="126">
        <v>2</v>
      </c>
      <c r="C516" s="128">
        <v>0.0015874579360772622</v>
      </c>
      <c r="D516" s="126" t="s">
        <v>701</v>
      </c>
      <c r="E516" s="126" t="b">
        <v>1</v>
      </c>
      <c r="F516" s="126" t="b">
        <v>0</v>
      </c>
      <c r="G516" s="126" t="b">
        <v>0</v>
      </c>
    </row>
    <row r="517" spans="1:7" ht="15">
      <c r="A517" s="126" t="s">
        <v>904</v>
      </c>
      <c r="B517" s="126">
        <v>2</v>
      </c>
      <c r="C517" s="128">
        <v>0.0015874579360772622</v>
      </c>
      <c r="D517" s="126" t="s">
        <v>701</v>
      </c>
      <c r="E517" s="126" t="b">
        <v>0</v>
      </c>
      <c r="F517" s="126" t="b">
        <v>0</v>
      </c>
      <c r="G517" s="126" t="b">
        <v>0</v>
      </c>
    </row>
    <row r="518" spans="1:7" ht="15">
      <c r="A518" s="126" t="s">
        <v>899</v>
      </c>
      <c r="B518" s="126">
        <v>2</v>
      </c>
      <c r="C518" s="128">
        <v>0.0015874579360772622</v>
      </c>
      <c r="D518" s="126" t="s">
        <v>701</v>
      </c>
      <c r="E518" s="126" t="b">
        <v>0</v>
      </c>
      <c r="F518" s="126" t="b">
        <v>0</v>
      </c>
      <c r="G518" s="126" t="b">
        <v>0</v>
      </c>
    </row>
    <row r="519" spans="1:7" ht="15">
      <c r="A519" s="126" t="s">
        <v>900</v>
      </c>
      <c r="B519" s="126">
        <v>2</v>
      </c>
      <c r="C519" s="128">
        <v>0.0015874579360772622</v>
      </c>
      <c r="D519" s="126" t="s">
        <v>701</v>
      </c>
      <c r="E519" s="126" t="b">
        <v>0</v>
      </c>
      <c r="F519" s="126" t="b">
        <v>0</v>
      </c>
      <c r="G519" s="126" t="b">
        <v>0</v>
      </c>
    </row>
    <row r="520" spans="1:7" ht="15">
      <c r="A520" s="126" t="s">
        <v>890</v>
      </c>
      <c r="B520" s="126">
        <v>2</v>
      </c>
      <c r="C520" s="128">
        <v>0.0013318061350887432</v>
      </c>
      <c r="D520" s="126" t="s">
        <v>701</v>
      </c>
      <c r="E520" s="126" t="b">
        <v>0</v>
      </c>
      <c r="F520" s="126" t="b">
        <v>0</v>
      </c>
      <c r="G520" s="126" t="b">
        <v>0</v>
      </c>
    </row>
    <row r="521" spans="1:7" ht="15">
      <c r="A521" s="126" t="s">
        <v>891</v>
      </c>
      <c r="B521" s="126">
        <v>2</v>
      </c>
      <c r="C521" s="128">
        <v>0.0013318061350887432</v>
      </c>
      <c r="D521" s="126" t="s">
        <v>701</v>
      </c>
      <c r="E521" s="126" t="b">
        <v>0</v>
      </c>
      <c r="F521" s="126" t="b">
        <v>0</v>
      </c>
      <c r="G521" s="126" t="b">
        <v>0</v>
      </c>
    </row>
    <row r="522" spans="1:7" ht="15">
      <c r="A522" s="126" t="s">
        <v>895</v>
      </c>
      <c r="B522" s="126">
        <v>2</v>
      </c>
      <c r="C522" s="128">
        <v>0.0015874579360772622</v>
      </c>
      <c r="D522" s="126" t="s">
        <v>701</v>
      </c>
      <c r="E522" s="126" t="b">
        <v>0</v>
      </c>
      <c r="F522" s="126" t="b">
        <v>0</v>
      </c>
      <c r="G522" s="126" t="b">
        <v>0</v>
      </c>
    </row>
    <row r="523" spans="1:7" ht="15">
      <c r="A523" s="126" t="s">
        <v>894</v>
      </c>
      <c r="B523" s="126">
        <v>2</v>
      </c>
      <c r="C523" s="128">
        <v>0.0015874579360772622</v>
      </c>
      <c r="D523" s="126" t="s">
        <v>701</v>
      </c>
      <c r="E523" s="126" t="b">
        <v>0</v>
      </c>
      <c r="F523" s="126" t="b">
        <v>0</v>
      </c>
      <c r="G523" s="126" t="b">
        <v>0</v>
      </c>
    </row>
    <row r="524" spans="1:7" ht="15">
      <c r="A524" s="126" t="s">
        <v>880</v>
      </c>
      <c r="B524" s="126">
        <v>2</v>
      </c>
      <c r="C524" s="128">
        <v>0.0013318061350887432</v>
      </c>
      <c r="D524" s="126" t="s">
        <v>701</v>
      </c>
      <c r="E524" s="126" t="b">
        <v>0</v>
      </c>
      <c r="F524" s="126" t="b">
        <v>0</v>
      </c>
      <c r="G524" s="126" t="b">
        <v>0</v>
      </c>
    </row>
    <row r="525" spans="1:7" ht="15">
      <c r="A525" s="126" t="s">
        <v>881</v>
      </c>
      <c r="B525" s="126">
        <v>2</v>
      </c>
      <c r="C525" s="128">
        <v>0.0013318061350887432</v>
      </c>
      <c r="D525" s="126" t="s">
        <v>701</v>
      </c>
      <c r="E525" s="126" t="b">
        <v>0</v>
      </c>
      <c r="F525" s="126" t="b">
        <v>0</v>
      </c>
      <c r="G525" s="126" t="b">
        <v>0</v>
      </c>
    </row>
    <row r="526" spans="1:7" ht="15">
      <c r="A526" s="126" t="s">
        <v>882</v>
      </c>
      <c r="B526" s="126">
        <v>2</v>
      </c>
      <c r="C526" s="128">
        <v>0.0013318061350887432</v>
      </c>
      <c r="D526" s="126" t="s">
        <v>701</v>
      </c>
      <c r="E526" s="126" t="b">
        <v>0</v>
      </c>
      <c r="F526" s="126" t="b">
        <v>0</v>
      </c>
      <c r="G526" s="126" t="b">
        <v>0</v>
      </c>
    </row>
    <row r="527" spans="1:7" ht="15">
      <c r="A527" s="126" t="s">
        <v>883</v>
      </c>
      <c r="B527" s="126">
        <v>2</v>
      </c>
      <c r="C527" s="128">
        <v>0.0013318061350887432</v>
      </c>
      <c r="D527" s="126" t="s">
        <v>701</v>
      </c>
      <c r="E527" s="126" t="b">
        <v>0</v>
      </c>
      <c r="F527" s="126" t="b">
        <v>0</v>
      </c>
      <c r="G527" s="126" t="b">
        <v>0</v>
      </c>
    </row>
    <row r="528" spans="1:7" ht="15">
      <c r="A528" s="126" t="s">
        <v>884</v>
      </c>
      <c r="B528" s="126">
        <v>2</v>
      </c>
      <c r="C528" s="128">
        <v>0.0015874579360772622</v>
      </c>
      <c r="D528" s="126" t="s">
        <v>701</v>
      </c>
      <c r="E528" s="126" t="b">
        <v>0</v>
      </c>
      <c r="F528" s="126" t="b">
        <v>0</v>
      </c>
      <c r="G528" s="126" t="b">
        <v>0</v>
      </c>
    </row>
    <row r="529" spans="1:7" ht="15">
      <c r="A529" s="126" t="s">
        <v>885</v>
      </c>
      <c r="B529" s="126">
        <v>2</v>
      </c>
      <c r="C529" s="128">
        <v>0.0015874579360772622</v>
      </c>
      <c r="D529" s="126" t="s">
        <v>701</v>
      </c>
      <c r="E529" s="126" t="b">
        <v>0</v>
      </c>
      <c r="F529" s="126" t="b">
        <v>0</v>
      </c>
      <c r="G529" s="126" t="b">
        <v>0</v>
      </c>
    </row>
    <row r="530" spans="1:7" ht="15">
      <c r="A530" s="126" t="s">
        <v>886</v>
      </c>
      <c r="B530" s="126">
        <v>2</v>
      </c>
      <c r="C530" s="128">
        <v>0.0015874579360772622</v>
      </c>
      <c r="D530" s="126" t="s">
        <v>701</v>
      </c>
      <c r="E530" s="126" t="b">
        <v>1</v>
      </c>
      <c r="F530" s="126" t="b">
        <v>0</v>
      </c>
      <c r="G530" s="126" t="b">
        <v>0</v>
      </c>
    </row>
    <row r="531" spans="1:7" ht="15">
      <c r="A531" s="126" t="s">
        <v>887</v>
      </c>
      <c r="B531" s="126">
        <v>2</v>
      </c>
      <c r="C531" s="128">
        <v>0.0015874579360772622</v>
      </c>
      <c r="D531" s="126" t="s">
        <v>701</v>
      </c>
      <c r="E531" s="126" t="b">
        <v>0</v>
      </c>
      <c r="F531" s="126" t="b">
        <v>0</v>
      </c>
      <c r="G531" s="126" t="b">
        <v>0</v>
      </c>
    </row>
    <row r="532" spans="1:7" ht="15">
      <c r="A532" s="126" t="s">
        <v>888</v>
      </c>
      <c r="B532" s="126">
        <v>2</v>
      </c>
      <c r="C532" s="128">
        <v>0.0015874579360772622</v>
      </c>
      <c r="D532" s="126" t="s">
        <v>701</v>
      </c>
      <c r="E532" s="126" t="b">
        <v>0</v>
      </c>
      <c r="F532" s="126" t="b">
        <v>1</v>
      </c>
      <c r="G532" s="126" t="b">
        <v>0</v>
      </c>
    </row>
    <row r="533" spans="1:7" ht="15">
      <c r="A533" s="126" t="s">
        <v>879</v>
      </c>
      <c r="B533" s="126">
        <v>2</v>
      </c>
      <c r="C533" s="128">
        <v>0.0015874579360772622</v>
      </c>
      <c r="D533" s="126" t="s">
        <v>701</v>
      </c>
      <c r="E533" s="126" t="b">
        <v>0</v>
      </c>
      <c r="F533" s="126" t="b">
        <v>0</v>
      </c>
      <c r="G533" s="12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03DD4-06A6-4DBE-B57B-CA67C23026D4}">
  <dimension ref="A1:L6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986</v>
      </c>
      <c r="B1" s="13" t="s">
        <v>987</v>
      </c>
      <c r="C1" s="13" t="s">
        <v>977</v>
      </c>
      <c r="D1" s="13" t="s">
        <v>981</v>
      </c>
      <c r="E1" s="13" t="s">
        <v>988</v>
      </c>
      <c r="F1" s="13" t="s">
        <v>144</v>
      </c>
      <c r="G1" s="13" t="s">
        <v>989</v>
      </c>
      <c r="H1" s="13" t="s">
        <v>990</v>
      </c>
      <c r="I1" s="13" t="s">
        <v>991</v>
      </c>
      <c r="J1" s="13" t="s">
        <v>992</v>
      </c>
      <c r="K1" s="13" t="s">
        <v>993</v>
      </c>
      <c r="L1" s="13" t="s">
        <v>994</v>
      </c>
    </row>
    <row r="2" spans="1:12" ht="15">
      <c r="A2" s="126" t="s">
        <v>715</v>
      </c>
      <c r="B2" s="126" t="s">
        <v>716</v>
      </c>
      <c r="C2" s="126">
        <v>91</v>
      </c>
      <c r="D2" s="128">
        <v>0.015151614571562444</v>
      </c>
      <c r="E2" s="128">
        <v>0.6120045582384475</v>
      </c>
      <c r="F2" s="126" t="s">
        <v>982</v>
      </c>
      <c r="G2" s="126" t="b">
        <v>0</v>
      </c>
      <c r="H2" s="126" t="b">
        <v>0</v>
      </c>
      <c r="I2" s="126" t="b">
        <v>0</v>
      </c>
      <c r="J2" s="126" t="b">
        <v>0</v>
      </c>
      <c r="K2" s="126" t="b">
        <v>0</v>
      </c>
      <c r="L2" s="126" t="b">
        <v>0</v>
      </c>
    </row>
    <row r="3" spans="1:12" ht="15">
      <c r="A3" s="126" t="s">
        <v>720</v>
      </c>
      <c r="B3" s="126" t="s">
        <v>715</v>
      </c>
      <c r="C3" s="126">
        <v>49</v>
      </c>
      <c r="D3" s="128">
        <v>0.008158561692379777</v>
      </c>
      <c r="E3" s="128">
        <v>0.8551967669507007</v>
      </c>
      <c r="F3" s="126" t="s">
        <v>982</v>
      </c>
      <c r="G3" s="126" t="b">
        <v>0</v>
      </c>
      <c r="H3" s="126" t="b">
        <v>0</v>
      </c>
      <c r="I3" s="126" t="b">
        <v>0</v>
      </c>
      <c r="J3" s="126" t="b">
        <v>0</v>
      </c>
      <c r="K3" s="126" t="b">
        <v>0</v>
      </c>
      <c r="L3" s="126" t="b">
        <v>0</v>
      </c>
    </row>
    <row r="4" spans="1:12" ht="15">
      <c r="A4" s="126" t="s">
        <v>716</v>
      </c>
      <c r="B4" s="126" t="s">
        <v>715</v>
      </c>
      <c r="C4" s="126">
        <v>35</v>
      </c>
      <c r="D4" s="128">
        <v>0.008775683293942741</v>
      </c>
      <c r="E4" s="128">
        <v>0.2261951476637089</v>
      </c>
      <c r="F4" s="126" t="s">
        <v>982</v>
      </c>
      <c r="G4" s="126" t="b">
        <v>0</v>
      </c>
      <c r="H4" s="126" t="b">
        <v>0</v>
      </c>
      <c r="I4" s="126" t="b">
        <v>0</v>
      </c>
      <c r="J4" s="126" t="b">
        <v>0</v>
      </c>
      <c r="K4" s="126" t="b">
        <v>0</v>
      </c>
      <c r="L4" s="126" t="b">
        <v>0</v>
      </c>
    </row>
    <row r="5" spans="1:12" ht="15">
      <c r="A5" s="126" t="s">
        <v>717</v>
      </c>
      <c r="B5" s="126" t="s">
        <v>716</v>
      </c>
      <c r="C5" s="126">
        <v>35</v>
      </c>
      <c r="D5" s="128">
        <v>0.008444611610337506</v>
      </c>
      <c r="E5" s="128">
        <v>0.6865029033737212</v>
      </c>
      <c r="F5" s="126" t="s">
        <v>982</v>
      </c>
      <c r="G5" s="126" t="b">
        <v>0</v>
      </c>
      <c r="H5" s="126" t="b">
        <v>0</v>
      </c>
      <c r="I5" s="126" t="b">
        <v>0</v>
      </c>
      <c r="J5" s="126" t="b">
        <v>0</v>
      </c>
      <c r="K5" s="126" t="b">
        <v>0</v>
      </c>
      <c r="L5" s="126" t="b">
        <v>0</v>
      </c>
    </row>
    <row r="6" spans="1:12" ht="15">
      <c r="A6" s="126" t="s">
        <v>716</v>
      </c>
      <c r="B6" s="126" t="s">
        <v>717</v>
      </c>
      <c r="C6" s="126">
        <v>33</v>
      </c>
      <c r="D6" s="128">
        <v>0.008274215677146013</v>
      </c>
      <c r="E6" s="128">
        <v>0.6777622979109831</v>
      </c>
      <c r="F6" s="126" t="s">
        <v>982</v>
      </c>
      <c r="G6" s="126" t="b">
        <v>0</v>
      </c>
      <c r="H6" s="126" t="b">
        <v>0</v>
      </c>
      <c r="I6" s="126" t="b">
        <v>0</v>
      </c>
      <c r="J6" s="126" t="b">
        <v>0</v>
      </c>
      <c r="K6" s="126" t="b">
        <v>0</v>
      </c>
      <c r="L6" s="126" t="b">
        <v>0</v>
      </c>
    </row>
    <row r="7" spans="1:12" ht="15">
      <c r="A7" s="126" t="s">
        <v>715</v>
      </c>
      <c r="B7" s="126" t="s">
        <v>717</v>
      </c>
      <c r="C7" s="126">
        <v>30</v>
      </c>
      <c r="D7" s="128">
        <v>0.007821136492072231</v>
      </c>
      <c r="E7" s="128">
        <v>0.31170816829265857</v>
      </c>
      <c r="F7" s="126" t="s">
        <v>982</v>
      </c>
      <c r="G7" s="126" t="b">
        <v>0</v>
      </c>
      <c r="H7" s="126" t="b">
        <v>0</v>
      </c>
      <c r="I7" s="126" t="b">
        <v>0</v>
      </c>
      <c r="J7" s="126" t="b">
        <v>0</v>
      </c>
      <c r="K7" s="126" t="b">
        <v>0</v>
      </c>
      <c r="L7" s="126" t="b">
        <v>0</v>
      </c>
    </row>
    <row r="8" spans="1:12" ht="15">
      <c r="A8" s="126" t="s">
        <v>715</v>
      </c>
      <c r="B8" s="126" t="s">
        <v>719</v>
      </c>
      <c r="C8" s="126">
        <v>27</v>
      </c>
      <c r="D8" s="128">
        <v>0.009965713984176797</v>
      </c>
      <c r="E8" s="128">
        <v>0.45047510432452753</v>
      </c>
      <c r="F8" s="126" t="s">
        <v>982</v>
      </c>
      <c r="G8" s="126" t="b">
        <v>0</v>
      </c>
      <c r="H8" s="126" t="b">
        <v>0</v>
      </c>
      <c r="I8" s="126" t="b">
        <v>0</v>
      </c>
      <c r="J8" s="126" t="b">
        <v>0</v>
      </c>
      <c r="K8" s="126" t="b">
        <v>0</v>
      </c>
      <c r="L8" s="126" t="b">
        <v>0</v>
      </c>
    </row>
    <row r="9" spans="1:12" ht="15">
      <c r="A9" s="126" t="s">
        <v>724</v>
      </c>
      <c r="B9" s="126" t="s">
        <v>718</v>
      </c>
      <c r="C9" s="126">
        <v>24</v>
      </c>
      <c r="D9" s="128">
        <v>0.012913852009202687</v>
      </c>
      <c r="E9" s="128">
        <v>1.2803033344917485</v>
      </c>
      <c r="F9" s="126" t="s">
        <v>982</v>
      </c>
      <c r="G9" s="126" t="b">
        <v>0</v>
      </c>
      <c r="H9" s="126" t="b">
        <v>0</v>
      </c>
      <c r="I9" s="126" t="b">
        <v>0</v>
      </c>
      <c r="J9" s="126" t="b">
        <v>0</v>
      </c>
      <c r="K9" s="126" t="b">
        <v>0</v>
      </c>
      <c r="L9" s="126" t="b">
        <v>0</v>
      </c>
    </row>
    <row r="10" spans="1:12" ht="15">
      <c r="A10" s="126" t="s">
        <v>719</v>
      </c>
      <c r="B10" s="126" t="s">
        <v>715</v>
      </c>
      <c r="C10" s="126">
        <v>20</v>
      </c>
      <c r="D10" s="128">
        <v>0.006709558162915935</v>
      </c>
      <c r="E10" s="128">
        <v>0.31374233820311165</v>
      </c>
      <c r="F10" s="126" t="s">
        <v>982</v>
      </c>
      <c r="G10" s="126" t="b">
        <v>0</v>
      </c>
      <c r="H10" s="126" t="b">
        <v>0</v>
      </c>
      <c r="I10" s="126" t="b">
        <v>0</v>
      </c>
      <c r="J10" s="126" t="b">
        <v>0</v>
      </c>
      <c r="K10" s="126" t="b">
        <v>0</v>
      </c>
      <c r="L10" s="126" t="b">
        <v>0</v>
      </c>
    </row>
    <row r="11" spans="1:12" ht="15">
      <c r="A11" s="126" t="s">
        <v>721</v>
      </c>
      <c r="B11" s="126" t="s">
        <v>715</v>
      </c>
      <c r="C11" s="126">
        <v>20</v>
      </c>
      <c r="D11" s="128">
        <v>0.0061410079325073304</v>
      </c>
      <c r="E11" s="128">
        <v>0.6086981861548997</v>
      </c>
      <c r="F11" s="126" t="s">
        <v>982</v>
      </c>
      <c r="G11" s="126" t="b">
        <v>0</v>
      </c>
      <c r="H11" s="126" t="b">
        <v>0</v>
      </c>
      <c r="I11" s="126" t="b">
        <v>0</v>
      </c>
      <c r="J11" s="126" t="b">
        <v>0</v>
      </c>
      <c r="K11" s="126" t="b">
        <v>0</v>
      </c>
      <c r="L11" s="126" t="b">
        <v>0</v>
      </c>
    </row>
    <row r="12" spans="1:12" ht="15">
      <c r="A12" s="126" t="s">
        <v>715</v>
      </c>
      <c r="B12" s="126" t="s">
        <v>715</v>
      </c>
      <c r="C12" s="126">
        <v>20</v>
      </c>
      <c r="D12" s="128">
        <v>0.0061410079325073304</v>
      </c>
      <c r="E12" s="128">
        <v>-0.3415043454826851</v>
      </c>
      <c r="F12" s="126" t="s">
        <v>982</v>
      </c>
      <c r="G12" s="126" t="b">
        <v>0</v>
      </c>
      <c r="H12" s="126" t="b">
        <v>0</v>
      </c>
      <c r="I12" s="126" t="b">
        <v>0</v>
      </c>
      <c r="J12" s="126" t="b">
        <v>0</v>
      </c>
      <c r="K12" s="126" t="b">
        <v>0</v>
      </c>
      <c r="L12" s="126" t="b">
        <v>0</v>
      </c>
    </row>
    <row r="13" spans="1:12" ht="15">
      <c r="A13" s="126" t="s">
        <v>717</v>
      </c>
      <c r="B13" s="126" t="s">
        <v>722</v>
      </c>
      <c r="C13" s="126">
        <v>17</v>
      </c>
      <c r="D13" s="128">
        <v>0.005003561711881111</v>
      </c>
      <c r="E13" s="128">
        <v>1.0152383665888547</v>
      </c>
      <c r="F13" s="126" t="s">
        <v>982</v>
      </c>
      <c r="G13" s="126" t="b">
        <v>0</v>
      </c>
      <c r="H13" s="126" t="b">
        <v>0</v>
      </c>
      <c r="I13" s="126" t="b">
        <v>0</v>
      </c>
      <c r="J13" s="126" t="b">
        <v>0</v>
      </c>
      <c r="K13" s="126" t="b">
        <v>0</v>
      </c>
      <c r="L13" s="126" t="b">
        <v>0</v>
      </c>
    </row>
    <row r="14" spans="1:12" ht="15">
      <c r="A14" s="126" t="s">
        <v>717</v>
      </c>
      <c r="B14" s="126" t="s">
        <v>715</v>
      </c>
      <c r="C14" s="126">
        <v>16</v>
      </c>
      <c r="D14" s="128">
        <v>0.005131470861480353</v>
      </c>
      <c r="E14" s="128">
        <v>0.05105733461535017</v>
      </c>
      <c r="F14" s="126" t="s">
        <v>982</v>
      </c>
      <c r="G14" s="126" t="b">
        <v>0</v>
      </c>
      <c r="H14" s="126" t="b">
        <v>0</v>
      </c>
      <c r="I14" s="126" t="b">
        <v>0</v>
      </c>
      <c r="J14" s="126" t="b">
        <v>0</v>
      </c>
      <c r="K14" s="126" t="b">
        <v>0</v>
      </c>
      <c r="L14" s="126" t="b">
        <v>0</v>
      </c>
    </row>
    <row r="15" spans="1:12" ht="15">
      <c r="A15" s="126" t="s">
        <v>715</v>
      </c>
      <c r="B15" s="126" t="s">
        <v>720</v>
      </c>
      <c r="C15" s="126">
        <v>15</v>
      </c>
      <c r="D15" s="128">
        <v>0.005827956753450009</v>
      </c>
      <c r="E15" s="128">
        <v>0.36495368024588365</v>
      </c>
      <c r="F15" s="126" t="s">
        <v>982</v>
      </c>
      <c r="G15" s="126" t="b">
        <v>0</v>
      </c>
      <c r="H15" s="126" t="b">
        <v>0</v>
      </c>
      <c r="I15" s="126" t="b">
        <v>0</v>
      </c>
      <c r="J15" s="126" t="b">
        <v>0</v>
      </c>
      <c r="K15" s="126" t="b">
        <v>0</v>
      </c>
      <c r="L15" s="126" t="b">
        <v>0</v>
      </c>
    </row>
    <row r="16" spans="1:12" ht="15">
      <c r="A16" s="126" t="s">
        <v>727</v>
      </c>
      <c r="B16" s="126" t="s">
        <v>734</v>
      </c>
      <c r="C16" s="126">
        <v>15</v>
      </c>
      <c r="D16" s="128">
        <v>0.005272860092820072</v>
      </c>
      <c r="E16" s="128">
        <v>2.0359059905427292</v>
      </c>
      <c r="F16" s="126" t="s">
        <v>982</v>
      </c>
      <c r="G16" s="126" t="b">
        <v>0</v>
      </c>
      <c r="H16" s="126" t="b">
        <v>0</v>
      </c>
      <c r="I16" s="126" t="b">
        <v>0</v>
      </c>
      <c r="J16" s="126" t="b">
        <v>0</v>
      </c>
      <c r="K16" s="126" t="b">
        <v>0</v>
      </c>
      <c r="L16" s="126" t="b">
        <v>0</v>
      </c>
    </row>
    <row r="17" spans="1:12" ht="15">
      <c r="A17" s="126" t="s">
        <v>718</v>
      </c>
      <c r="B17" s="126" t="s">
        <v>715</v>
      </c>
      <c r="C17" s="126">
        <v>14</v>
      </c>
      <c r="D17" s="128">
        <v>0.006088268159674765</v>
      </c>
      <c r="E17" s="128">
        <v>0.005777353153801243</v>
      </c>
      <c r="F17" s="126" t="s">
        <v>982</v>
      </c>
      <c r="G17" s="126" t="b">
        <v>0</v>
      </c>
      <c r="H17" s="126" t="b">
        <v>0</v>
      </c>
      <c r="I17" s="126" t="b">
        <v>0</v>
      </c>
      <c r="J17" s="126" t="b">
        <v>0</v>
      </c>
      <c r="K17" s="126" t="b">
        <v>0</v>
      </c>
      <c r="L17" s="126" t="b">
        <v>0</v>
      </c>
    </row>
    <row r="18" spans="1:12" ht="15">
      <c r="A18" s="126" t="s">
        <v>715</v>
      </c>
      <c r="B18" s="126" t="s">
        <v>721</v>
      </c>
      <c r="C18" s="126">
        <v>13</v>
      </c>
      <c r="D18" s="128">
        <v>0.0047983067331221615</v>
      </c>
      <c r="E18" s="128">
        <v>0.42149556082833767</v>
      </c>
      <c r="F18" s="126" t="s">
        <v>982</v>
      </c>
      <c r="G18" s="126" t="b">
        <v>0</v>
      </c>
      <c r="H18" s="126" t="b">
        <v>0</v>
      </c>
      <c r="I18" s="126" t="b">
        <v>0</v>
      </c>
      <c r="J18" s="126" t="b">
        <v>0</v>
      </c>
      <c r="K18" s="126" t="b">
        <v>0</v>
      </c>
      <c r="L18" s="126" t="b">
        <v>0</v>
      </c>
    </row>
    <row r="19" spans="1:12" ht="15">
      <c r="A19" s="126" t="s">
        <v>740</v>
      </c>
      <c r="B19" s="126" t="s">
        <v>738</v>
      </c>
      <c r="C19" s="126">
        <v>12</v>
      </c>
      <c r="D19" s="128">
        <v>0.005218515565435512</v>
      </c>
      <c r="E19" s="128">
        <v>2.244181932969812</v>
      </c>
      <c r="F19" s="126" t="s">
        <v>982</v>
      </c>
      <c r="G19" s="126" t="b">
        <v>0</v>
      </c>
      <c r="H19" s="126" t="b">
        <v>0</v>
      </c>
      <c r="I19" s="126" t="b">
        <v>0</v>
      </c>
      <c r="J19" s="126" t="b">
        <v>0</v>
      </c>
      <c r="K19" s="126" t="b">
        <v>0</v>
      </c>
      <c r="L19" s="126" t="b">
        <v>0</v>
      </c>
    </row>
    <row r="20" spans="1:12" ht="15">
      <c r="A20" s="126" t="s">
        <v>718</v>
      </c>
      <c r="B20" s="126" t="s">
        <v>718</v>
      </c>
      <c r="C20" s="126">
        <v>11</v>
      </c>
      <c r="D20" s="128">
        <v>0.005096341895040619</v>
      </c>
      <c r="E20" s="128">
        <v>0.3995614020546811</v>
      </c>
      <c r="F20" s="126" t="s">
        <v>982</v>
      </c>
      <c r="G20" s="126" t="b">
        <v>0</v>
      </c>
      <c r="H20" s="126" t="b">
        <v>0</v>
      </c>
      <c r="I20" s="126" t="b">
        <v>0</v>
      </c>
      <c r="J20" s="126" t="b">
        <v>0</v>
      </c>
      <c r="K20" s="126" t="b">
        <v>0</v>
      </c>
      <c r="L20" s="126" t="b">
        <v>0</v>
      </c>
    </row>
    <row r="21" spans="1:12" ht="15">
      <c r="A21" s="126" t="s">
        <v>722</v>
      </c>
      <c r="B21" s="126" t="s">
        <v>715</v>
      </c>
      <c r="C21" s="126">
        <v>11</v>
      </c>
      <c r="D21" s="128">
        <v>0.004783639268315886</v>
      </c>
      <c r="E21" s="128">
        <v>0.3612953320661552</v>
      </c>
      <c r="F21" s="126" t="s">
        <v>982</v>
      </c>
      <c r="G21" s="126" t="b">
        <v>0</v>
      </c>
      <c r="H21" s="126" t="b">
        <v>0</v>
      </c>
      <c r="I21" s="126" t="b">
        <v>0</v>
      </c>
      <c r="J21" s="126" t="b">
        <v>0</v>
      </c>
      <c r="K21" s="126" t="b">
        <v>0</v>
      </c>
      <c r="L21" s="126" t="b">
        <v>0</v>
      </c>
    </row>
    <row r="22" spans="1:12" ht="15">
      <c r="A22" s="126" t="s">
        <v>742</v>
      </c>
      <c r="B22" s="126" t="s">
        <v>718</v>
      </c>
      <c r="C22" s="126">
        <v>10</v>
      </c>
      <c r="D22" s="128">
        <v>0.0036910051793247398</v>
      </c>
      <c r="E22" s="128">
        <v>1.3624900906790987</v>
      </c>
      <c r="F22" s="126" t="s">
        <v>982</v>
      </c>
      <c r="G22" s="126" t="b">
        <v>0</v>
      </c>
      <c r="H22" s="126" t="b">
        <v>1</v>
      </c>
      <c r="I22" s="126" t="b">
        <v>0</v>
      </c>
      <c r="J22" s="126" t="b">
        <v>0</v>
      </c>
      <c r="K22" s="126" t="b">
        <v>0</v>
      </c>
      <c r="L22" s="126" t="b">
        <v>0</v>
      </c>
    </row>
    <row r="23" spans="1:12" ht="15">
      <c r="A23" s="126" t="s">
        <v>716</v>
      </c>
      <c r="B23" s="126" t="s">
        <v>719</v>
      </c>
      <c r="C23" s="126">
        <v>9</v>
      </c>
      <c r="D23" s="128">
        <v>0.004472337765840602</v>
      </c>
      <c r="E23" s="128">
        <v>0.29801529406496463</v>
      </c>
      <c r="F23" s="126" t="s">
        <v>982</v>
      </c>
      <c r="G23" s="126" t="b">
        <v>0</v>
      </c>
      <c r="H23" s="126" t="b">
        <v>0</v>
      </c>
      <c r="I23" s="126" t="b">
        <v>0</v>
      </c>
      <c r="J23" s="126" t="b">
        <v>0</v>
      </c>
      <c r="K23" s="126" t="b">
        <v>0</v>
      </c>
      <c r="L23" s="126" t="b">
        <v>0</v>
      </c>
    </row>
    <row r="24" spans="1:12" ht="15">
      <c r="A24" s="126" t="s">
        <v>719</v>
      </c>
      <c r="B24" s="126" t="s">
        <v>719</v>
      </c>
      <c r="C24" s="126">
        <v>9</v>
      </c>
      <c r="D24" s="128">
        <v>0.003496774052070005</v>
      </c>
      <c r="E24" s="128">
        <v>0.6286005332906619</v>
      </c>
      <c r="F24" s="126" t="s">
        <v>982</v>
      </c>
      <c r="G24" s="126" t="b">
        <v>0</v>
      </c>
      <c r="H24" s="126" t="b">
        <v>0</v>
      </c>
      <c r="I24" s="126" t="b">
        <v>0</v>
      </c>
      <c r="J24" s="126" t="b">
        <v>0</v>
      </c>
      <c r="K24" s="126" t="b">
        <v>0</v>
      </c>
      <c r="L24" s="126" t="b">
        <v>0</v>
      </c>
    </row>
    <row r="25" spans="1:12" ht="15">
      <c r="A25" s="126" t="s">
        <v>736</v>
      </c>
      <c r="B25" s="126" t="s">
        <v>743</v>
      </c>
      <c r="C25" s="126">
        <v>9</v>
      </c>
      <c r="D25" s="128">
        <v>0.003496774052070005</v>
      </c>
      <c r="E25" s="128">
        <v>2.1662397590377354</v>
      </c>
      <c r="F25" s="126" t="s">
        <v>982</v>
      </c>
      <c r="G25" s="126" t="b">
        <v>0</v>
      </c>
      <c r="H25" s="126" t="b">
        <v>0</v>
      </c>
      <c r="I25" s="126" t="b">
        <v>0</v>
      </c>
      <c r="J25" s="126" t="b">
        <v>0</v>
      </c>
      <c r="K25" s="126" t="b">
        <v>0</v>
      </c>
      <c r="L25" s="126" t="b">
        <v>0</v>
      </c>
    </row>
    <row r="26" spans="1:12" ht="15">
      <c r="A26" s="126" t="s">
        <v>743</v>
      </c>
      <c r="B26" s="126" t="s">
        <v>751</v>
      </c>
      <c r="C26" s="126">
        <v>9</v>
      </c>
      <c r="D26" s="128">
        <v>0.003496774052070005</v>
      </c>
      <c r="E26" s="128">
        <v>2.3581252852766488</v>
      </c>
      <c r="F26" s="126" t="s">
        <v>982</v>
      </c>
      <c r="G26" s="126" t="b">
        <v>0</v>
      </c>
      <c r="H26" s="126" t="b">
        <v>0</v>
      </c>
      <c r="I26" s="126" t="b">
        <v>0</v>
      </c>
      <c r="J26" s="126" t="b">
        <v>0</v>
      </c>
      <c r="K26" s="126" t="b">
        <v>0</v>
      </c>
      <c r="L26" s="126" t="b">
        <v>0</v>
      </c>
    </row>
    <row r="27" spans="1:12" ht="15">
      <c r="A27" s="126" t="s">
        <v>728</v>
      </c>
      <c r="B27" s="126" t="s">
        <v>716</v>
      </c>
      <c r="C27" s="126">
        <v>9</v>
      </c>
      <c r="D27" s="128">
        <v>0.003692261399002672</v>
      </c>
      <c r="E27" s="128">
        <v>0.8349571068087219</v>
      </c>
      <c r="F27" s="126" t="s">
        <v>982</v>
      </c>
      <c r="G27" s="126" t="b">
        <v>0</v>
      </c>
      <c r="H27" s="126" t="b">
        <v>0</v>
      </c>
      <c r="I27" s="126" t="b">
        <v>0</v>
      </c>
      <c r="J27" s="126" t="b">
        <v>0</v>
      </c>
      <c r="K27" s="126" t="b">
        <v>0</v>
      </c>
      <c r="L27" s="126" t="b">
        <v>0</v>
      </c>
    </row>
    <row r="28" spans="1:12" ht="15">
      <c r="A28" s="126" t="s">
        <v>716</v>
      </c>
      <c r="B28" s="126" t="s">
        <v>733</v>
      </c>
      <c r="C28" s="126">
        <v>9</v>
      </c>
      <c r="D28" s="128">
        <v>0.003913886674076634</v>
      </c>
      <c r="E28" s="128">
        <v>0.9544329477155197</v>
      </c>
      <c r="F28" s="126" t="s">
        <v>982</v>
      </c>
      <c r="G28" s="126" t="b">
        <v>0</v>
      </c>
      <c r="H28" s="126" t="b">
        <v>0</v>
      </c>
      <c r="I28" s="126" t="b">
        <v>0</v>
      </c>
      <c r="J28" s="126" t="b">
        <v>0</v>
      </c>
      <c r="K28" s="126" t="b">
        <v>0</v>
      </c>
      <c r="L28" s="126" t="b">
        <v>0</v>
      </c>
    </row>
    <row r="29" spans="1:12" ht="15">
      <c r="A29" s="126" t="s">
        <v>753</v>
      </c>
      <c r="B29" s="126" t="s">
        <v>737</v>
      </c>
      <c r="C29" s="126">
        <v>9</v>
      </c>
      <c r="D29" s="128">
        <v>0.005993127607899344</v>
      </c>
      <c r="E29" s="128">
        <v>2.2119972495984106</v>
      </c>
      <c r="F29" s="126" t="s">
        <v>982</v>
      </c>
      <c r="G29" s="126" t="b">
        <v>0</v>
      </c>
      <c r="H29" s="126" t="b">
        <v>0</v>
      </c>
      <c r="I29" s="126" t="b">
        <v>0</v>
      </c>
      <c r="J29" s="126" t="b">
        <v>0</v>
      </c>
      <c r="K29" s="126" t="b">
        <v>0</v>
      </c>
      <c r="L29" s="126" t="b">
        <v>0</v>
      </c>
    </row>
    <row r="30" spans="1:12" ht="15">
      <c r="A30" s="126" t="s">
        <v>745</v>
      </c>
      <c r="B30" s="126" t="s">
        <v>718</v>
      </c>
      <c r="C30" s="126">
        <v>9</v>
      </c>
      <c r="D30" s="128">
        <v>0.0053201673822088425</v>
      </c>
      <c r="E30" s="128">
        <v>1.3167326001184236</v>
      </c>
      <c r="F30" s="126" t="s">
        <v>982</v>
      </c>
      <c r="G30" s="126" t="b">
        <v>0</v>
      </c>
      <c r="H30" s="126" t="b">
        <v>0</v>
      </c>
      <c r="I30" s="126" t="b">
        <v>0</v>
      </c>
      <c r="J30" s="126" t="b">
        <v>0</v>
      </c>
      <c r="K30" s="126" t="b">
        <v>0</v>
      </c>
      <c r="L30" s="126" t="b">
        <v>0</v>
      </c>
    </row>
    <row r="31" spans="1:12" ht="15">
      <c r="A31" s="126" t="s">
        <v>717</v>
      </c>
      <c r="B31" s="126" t="s">
        <v>717</v>
      </c>
      <c r="C31" s="126">
        <v>9</v>
      </c>
      <c r="D31" s="128">
        <v>0.003913886674076634</v>
      </c>
      <c r="E31" s="128">
        <v>0.27830111611841263</v>
      </c>
      <c r="F31" s="126" t="s">
        <v>982</v>
      </c>
      <c r="G31" s="126" t="b">
        <v>0</v>
      </c>
      <c r="H31" s="126" t="b">
        <v>0</v>
      </c>
      <c r="I31" s="126" t="b">
        <v>0</v>
      </c>
      <c r="J31" s="126" t="b">
        <v>0</v>
      </c>
      <c r="K31" s="126" t="b">
        <v>0</v>
      </c>
      <c r="L31" s="126" t="b">
        <v>0</v>
      </c>
    </row>
    <row r="32" spans="1:12" ht="15">
      <c r="A32" s="126" t="s">
        <v>747</v>
      </c>
      <c r="B32" s="126" t="s">
        <v>715</v>
      </c>
      <c r="C32" s="126">
        <v>9</v>
      </c>
      <c r="D32" s="128">
        <v>0.005993127607899344</v>
      </c>
      <c r="E32" s="128">
        <v>0.8182132006975308</v>
      </c>
      <c r="F32" s="126" t="s">
        <v>982</v>
      </c>
      <c r="G32" s="126" t="b">
        <v>0</v>
      </c>
      <c r="H32" s="126" t="b">
        <v>0</v>
      </c>
      <c r="I32" s="126" t="b">
        <v>0</v>
      </c>
      <c r="J32" s="126" t="b">
        <v>0</v>
      </c>
      <c r="K32" s="126" t="b">
        <v>0</v>
      </c>
      <c r="L32" s="126" t="b">
        <v>0</v>
      </c>
    </row>
    <row r="33" spans="1:12" ht="15">
      <c r="A33" s="126" t="s">
        <v>719</v>
      </c>
      <c r="B33" s="126" t="s">
        <v>757</v>
      </c>
      <c r="C33" s="126">
        <v>8</v>
      </c>
      <c r="D33" s="128">
        <v>0.003975411347413868</v>
      </c>
      <c r="E33" s="128">
        <v>1.5068669365575733</v>
      </c>
      <c r="F33" s="126" t="s">
        <v>982</v>
      </c>
      <c r="G33" s="126" t="b">
        <v>0</v>
      </c>
      <c r="H33" s="126" t="b">
        <v>0</v>
      </c>
      <c r="I33" s="126" t="b">
        <v>0</v>
      </c>
      <c r="J33" s="126" t="b">
        <v>0</v>
      </c>
      <c r="K33" s="126" t="b">
        <v>0</v>
      </c>
      <c r="L33" s="126" t="b">
        <v>0</v>
      </c>
    </row>
    <row r="34" spans="1:12" ht="15">
      <c r="A34" s="126" t="s">
        <v>718</v>
      </c>
      <c r="B34" s="126" t="s">
        <v>719</v>
      </c>
      <c r="C34" s="126">
        <v>8</v>
      </c>
      <c r="D34" s="128">
        <v>0.004729037673074527</v>
      </c>
      <c r="E34" s="128">
        <v>0.42438498577971334</v>
      </c>
      <c r="F34" s="126" t="s">
        <v>982</v>
      </c>
      <c r="G34" s="126" t="b">
        <v>0</v>
      </c>
      <c r="H34" s="126" t="b">
        <v>0</v>
      </c>
      <c r="I34" s="126" t="b">
        <v>0</v>
      </c>
      <c r="J34" s="126" t="b">
        <v>0</v>
      </c>
      <c r="K34" s="126" t="b">
        <v>0</v>
      </c>
      <c r="L34" s="126" t="b">
        <v>0</v>
      </c>
    </row>
    <row r="35" spans="1:12" ht="15">
      <c r="A35" s="126" t="s">
        <v>715</v>
      </c>
      <c r="B35" s="126" t="s">
        <v>728</v>
      </c>
      <c r="C35" s="126">
        <v>7</v>
      </c>
      <c r="D35" s="128">
        <v>0.0030441340798373824</v>
      </c>
      <c r="E35" s="128">
        <v>0.3956882972220521</v>
      </c>
      <c r="F35" s="126" t="s">
        <v>982</v>
      </c>
      <c r="G35" s="126" t="b">
        <v>0</v>
      </c>
      <c r="H35" s="126" t="b">
        <v>0</v>
      </c>
      <c r="I35" s="126" t="b">
        <v>0</v>
      </c>
      <c r="J35" s="126" t="b">
        <v>0</v>
      </c>
      <c r="K35" s="126" t="b">
        <v>0</v>
      </c>
      <c r="L35" s="126" t="b">
        <v>0</v>
      </c>
    </row>
    <row r="36" spans="1:12" ht="15">
      <c r="A36" s="126" t="s">
        <v>729</v>
      </c>
      <c r="B36" s="126" t="s">
        <v>715</v>
      </c>
      <c r="C36" s="126">
        <v>6</v>
      </c>
      <c r="D36" s="128">
        <v>0.002779822851840338</v>
      </c>
      <c r="E36" s="128">
        <v>0.3868494365385433</v>
      </c>
      <c r="F36" s="126" t="s">
        <v>982</v>
      </c>
      <c r="G36" s="126" t="b">
        <v>0</v>
      </c>
      <c r="H36" s="126" t="b">
        <v>0</v>
      </c>
      <c r="I36" s="126" t="b">
        <v>0</v>
      </c>
      <c r="J36" s="126" t="b">
        <v>0</v>
      </c>
      <c r="K36" s="126" t="b">
        <v>0</v>
      </c>
      <c r="L36" s="126" t="b">
        <v>0</v>
      </c>
    </row>
    <row r="37" spans="1:12" ht="15">
      <c r="A37" s="126" t="s">
        <v>721</v>
      </c>
      <c r="B37" s="126" t="s">
        <v>756</v>
      </c>
      <c r="C37" s="126">
        <v>6</v>
      </c>
      <c r="D37" s="128">
        <v>0.002779822851840338</v>
      </c>
      <c r="E37" s="128">
        <v>1.7348759948787482</v>
      </c>
      <c r="F37" s="126" t="s">
        <v>982</v>
      </c>
      <c r="G37" s="126" t="b">
        <v>0</v>
      </c>
      <c r="H37" s="126" t="b">
        <v>0</v>
      </c>
      <c r="I37" s="126" t="b">
        <v>0</v>
      </c>
      <c r="J37" s="126" t="b">
        <v>0</v>
      </c>
      <c r="K37" s="126" t="b">
        <v>0</v>
      </c>
      <c r="L37" s="126" t="b">
        <v>0</v>
      </c>
    </row>
    <row r="38" spans="1:12" ht="15">
      <c r="A38" s="126" t="s">
        <v>744</v>
      </c>
      <c r="B38" s="126" t="s">
        <v>715</v>
      </c>
      <c r="C38" s="126">
        <v>6</v>
      </c>
      <c r="D38" s="128">
        <v>0.002779822851840338</v>
      </c>
      <c r="E38" s="128">
        <v>0.6878794322025245</v>
      </c>
      <c r="F38" s="126" t="s">
        <v>982</v>
      </c>
      <c r="G38" s="126" t="b">
        <v>0</v>
      </c>
      <c r="H38" s="126" t="b">
        <v>0</v>
      </c>
      <c r="I38" s="126" t="b">
        <v>0</v>
      </c>
      <c r="J38" s="126" t="b">
        <v>0</v>
      </c>
      <c r="K38" s="126" t="b">
        <v>0</v>
      </c>
      <c r="L38" s="126" t="b">
        <v>0</v>
      </c>
    </row>
    <row r="39" spans="1:12" ht="15">
      <c r="A39" s="126" t="s">
        <v>725</v>
      </c>
      <c r="B39" s="126" t="s">
        <v>715</v>
      </c>
      <c r="C39" s="126">
        <v>6</v>
      </c>
      <c r="D39" s="128">
        <v>0.002779822851840338</v>
      </c>
      <c r="E39" s="128">
        <v>0.2996992608196432</v>
      </c>
      <c r="F39" s="126" t="s">
        <v>982</v>
      </c>
      <c r="G39" s="126" t="b">
        <v>0</v>
      </c>
      <c r="H39" s="126" t="b">
        <v>0</v>
      </c>
      <c r="I39" s="126" t="b">
        <v>0</v>
      </c>
      <c r="J39" s="126" t="b">
        <v>0</v>
      </c>
      <c r="K39" s="126" t="b">
        <v>0</v>
      </c>
      <c r="L39" s="126" t="b">
        <v>0</v>
      </c>
    </row>
    <row r="40" spans="1:12" ht="15">
      <c r="A40" s="126" t="s">
        <v>764</v>
      </c>
      <c r="B40" s="126" t="s">
        <v>715</v>
      </c>
      <c r="C40" s="126">
        <v>6</v>
      </c>
      <c r="D40" s="128">
        <v>0.003228463002300672</v>
      </c>
      <c r="E40" s="128">
        <v>0.7970239016275926</v>
      </c>
      <c r="F40" s="126" t="s">
        <v>982</v>
      </c>
      <c r="G40" s="126" t="b">
        <v>0</v>
      </c>
      <c r="H40" s="126" t="b">
        <v>0</v>
      </c>
      <c r="I40" s="126" t="b">
        <v>0</v>
      </c>
      <c r="J40" s="126" t="b">
        <v>0</v>
      </c>
      <c r="K40" s="126" t="b">
        <v>0</v>
      </c>
      <c r="L40" s="126" t="b">
        <v>0</v>
      </c>
    </row>
    <row r="41" spans="1:12" ht="15">
      <c r="A41" s="126" t="s">
        <v>715</v>
      </c>
      <c r="B41" s="126" t="s">
        <v>718</v>
      </c>
      <c r="C41" s="126">
        <v>6</v>
      </c>
      <c r="D41" s="128">
        <v>0.003228463002300672</v>
      </c>
      <c r="E41" s="128">
        <v>-0.36586369134212976</v>
      </c>
      <c r="F41" s="126" t="s">
        <v>982</v>
      </c>
      <c r="G41" s="126" t="b">
        <v>0</v>
      </c>
      <c r="H41" s="126" t="b">
        <v>0</v>
      </c>
      <c r="I41" s="126" t="b">
        <v>0</v>
      </c>
      <c r="J41" s="126" t="b">
        <v>0</v>
      </c>
      <c r="K41" s="126" t="b">
        <v>0</v>
      </c>
      <c r="L41" s="126" t="b">
        <v>0</v>
      </c>
    </row>
    <row r="42" spans="1:12" ht="15">
      <c r="A42" s="126" t="s">
        <v>715</v>
      </c>
      <c r="B42" s="126" t="s">
        <v>748</v>
      </c>
      <c r="C42" s="126">
        <v>6</v>
      </c>
      <c r="D42" s="128">
        <v>0.003995418405266229</v>
      </c>
      <c r="E42" s="128">
        <v>0.6297715032554201</v>
      </c>
      <c r="F42" s="126" t="s">
        <v>982</v>
      </c>
      <c r="G42" s="126" t="b">
        <v>0</v>
      </c>
      <c r="H42" s="126" t="b">
        <v>0</v>
      </c>
      <c r="I42" s="126" t="b">
        <v>0</v>
      </c>
      <c r="J42" s="126" t="b">
        <v>0</v>
      </c>
      <c r="K42" s="126" t="b">
        <v>0</v>
      </c>
      <c r="L42" s="126" t="b">
        <v>0</v>
      </c>
    </row>
    <row r="43" spans="1:12" ht="15">
      <c r="A43" s="126" t="s">
        <v>718</v>
      </c>
      <c r="B43" s="126" t="s">
        <v>725</v>
      </c>
      <c r="C43" s="126">
        <v>5</v>
      </c>
      <c r="D43" s="128">
        <v>0.0024846320921336675</v>
      </c>
      <c r="E43" s="128">
        <v>0.6910460798124319</v>
      </c>
      <c r="F43" s="126" t="s">
        <v>982</v>
      </c>
      <c r="G43" s="126" t="b">
        <v>0</v>
      </c>
      <c r="H43" s="126" t="b">
        <v>0</v>
      </c>
      <c r="I43" s="126" t="b">
        <v>0</v>
      </c>
      <c r="J43" s="126" t="b">
        <v>0</v>
      </c>
      <c r="K43" s="126" t="b">
        <v>0</v>
      </c>
      <c r="L43" s="126" t="b">
        <v>0</v>
      </c>
    </row>
    <row r="44" spans="1:12" ht="15">
      <c r="A44" s="126" t="s">
        <v>721</v>
      </c>
      <c r="B44" s="126" t="s">
        <v>720</v>
      </c>
      <c r="C44" s="126">
        <v>5</v>
      </c>
      <c r="D44" s="128">
        <v>0.002955648545671579</v>
      </c>
      <c r="E44" s="128">
        <v>0.8380349571638059</v>
      </c>
      <c r="F44" s="126" t="s">
        <v>982</v>
      </c>
      <c r="G44" s="126" t="b">
        <v>0</v>
      </c>
      <c r="H44" s="126" t="b">
        <v>0</v>
      </c>
      <c r="I44" s="126" t="b">
        <v>0</v>
      </c>
      <c r="J44" s="126" t="b">
        <v>0</v>
      </c>
      <c r="K44" s="126" t="b">
        <v>0</v>
      </c>
      <c r="L44" s="126" t="b">
        <v>0</v>
      </c>
    </row>
    <row r="45" spans="1:12" ht="15">
      <c r="A45" s="126" t="s">
        <v>730</v>
      </c>
      <c r="B45" s="126" t="s">
        <v>729</v>
      </c>
      <c r="C45" s="126">
        <v>5</v>
      </c>
      <c r="D45" s="128">
        <v>0.0024846320921336675</v>
      </c>
      <c r="E45" s="128">
        <v>1.5713738631310874</v>
      </c>
      <c r="F45" s="126" t="s">
        <v>982</v>
      </c>
      <c r="G45" s="126" t="b">
        <v>0</v>
      </c>
      <c r="H45" s="126" t="b">
        <v>0</v>
      </c>
      <c r="I45" s="126" t="b">
        <v>0</v>
      </c>
      <c r="J45" s="126" t="b">
        <v>0</v>
      </c>
      <c r="K45" s="126" t="b">
        <v>0</v>
      </c>
      <c r="L45" s="126" t="b">
        <v>0</v>
      </c>
    </row>
    <row r="46" spans="1:12" ht="15">
      <c r="A46" s="126" t="s">
        <v>715</v>
      </c>
      <c r="B46" s="126" t="s">
        <v>783</v>
      </c>
      <c r="C46" s="126">
        <v>5</v>
      </c>
      <c r="D46" s="128">
        <v>0.0024846320921336675</v>
      </c>
      <c r="E46" s="128">
        <v>0.8516202528717765</v>
      </c>
      <c r="F46" s="126" t="s">
        <v>982</v>
      </c>
      <c r="G46" s="126" t="b">
        <v>0</v>
      </c>
      <c r="H46" s="126" t="b">
        <v>0</v>
      </c>
      <c r="I46" s="126" t="b">
        <v>0</v>
      </c>
      <c r="J46" s="126" t="b">
        <v>0</v>
      </c>
      <c r="K46" s="126" t="b">
        <v>0</v>
      </c>
      <c r="L46" s="126" t="b">
        <v>0</v>
      </c>
    </row>
    <row r="47" spans="1:12" ht="15">
      <c r="A47" s="126" t="s">
        <v>783</v>
      </c>
      <c r="B47" s="126" t="s">
        <v>721</v>
      </c>
      <c r="C47" s="126">
        <v>5</v>
      </c>
      <c r="D47" s="128">
        <v>0.0024846320921336675</v>
      </c>
      <c r="E47" s="128">
        <v>1.8140572409263729</v>
      </c>
      <c r="F47" s="126" t="s">
        <v>982</v>
      </c>
      <c r="G47" s="126" t="b">
        <v>0</v>
      </c>
      <c r="H47" s="126" t="b">
        <v>0</v>
      </c>
      <c r="I47" s="126" t="b">
        <v>0</v>
      </c>
      <c r="J47" s="126" t="b">
        <v>0</v>
      </c>
      <c r="K47" s="126" t="b">
        <v>0</v>
      </c>
      <c r="L47" s="126" t="b">
        <v>0</v>
      </c>
    </row>
    <row r="48" spans="1:12" ht="15">
      <c r="A48" s="126" t="s">
        <v>756</v>
      </c>
      <c r="B48" s="126" t="s">
        <v>726</v>
      </c>
      <c r="C48" s="126">
        <v>5</v>
      </c>
      <c r="D48" s="128">
        <v>0.0024846320921336675</v>
      </c>
      <c r="E48" s="128">
        <v>1.8317860078868045</v>
      </c>
      <c r="F48" s="126" t="s">
        <v>982</v>
      </c>
      <c r="G48" s="126" t="b">
        <v>0</v>
      </c>
      <c r="H48" s="126" t="b">
        <v>0</v>
      </c>
      <c r="I48" s="126" t="b">
        <v>0</v>
      </c>
      <c r="J48" s="126" t="b">
        <v>0</v>
      </c>
      <c r="K48" s="126" t="b">
        <v>0</v>
      </c>
      <c r="L48" s="126" t="b">
        <v>0</v>
      </c>
    </row>
    <row r="49" spans="1:12" ht="15">
      <c r="A49" s="126" t="s">
        <v>726</v>
      </c>
      <c r="B49" s="126" t="s">
        <v>732</v>
      </c>
      <c r="C49" s="126">
        <v>5</v>
      </c>
      <c r="D49" s="128">
        <v>0.0024846320921336675</v>
      </c>
      <c r="E49" s="128">
        <v>1.5587847358230669</v>
      </c>
      <c r="F49" s="126" t="s">
        <v>982</v>
      </c>
      <c r="G49" s="126" t="b">
        <v>0</v>
      </c>
      <c r="H49" s="126" t="b">
        <v>0</v>
      </c>
      <c r="I49" s="126" t="b">
        <v>0</v>
      </c>
      <c r="J49" s="126" t="b">
        <v>0</v>
      </c>
      <c r="K49" s="126" t="b">
        <v>0</v>
      </c>
      <c r="L49" s="126" t="b">
        <v>0</v>
      </c>
    </row>
    <row r="50" spans="1:12" ht="15">
      <c r="A50" s="126" t="s">
        <v>732</v>
      </c>
      <c r="B50" s="126" t="s">
        <v>736</v>
      </c>
      <c r="C50" s="126">
        <v>5</v>
      </c>
      <c r="D50" s="128">
        <v>0.0024846320921336675</v>
      </c>
      <c r="E50" s="128">
        <v>1.7348759948787482</v>
      </c>
      <c r="F50" s="126" t="s">
        <v>982</v>
      </c>
      <c r="G50" s="126" t="b">
        <v>0</v>
      </c>
      <c r="H50" s="126" t="b">
        <v>0</v>
      </c>
      <c r="I50" s="126" t="b">
        <v>0</v>
      </c>
      <c r="J50" s="126" t="b">
        <v>0</v>
      </c>
      <c r="K50" s="126" t="b">
        <v>0</v>
      </c>
      <c r="L50" s="126" t="b">
        <v>0</v>
      </c>
    </row>
    <row r="51" spans="1:12" ht="15">
      <c r="A51" s="126" t="s">
        <v>751</v>
      </c>
      <c r="B51" s="126" t="s">
        <v>726</v>
      </c>
      <c r="C51" s="126">
        <v>5</v>
      </c>
      <c r="D51" s="128">
        <v>0.0024846320921336675</v>
      </c>
      <c r="E51" s="128">
        <v>1.780633485439423</v>
      </c>
      <c r="F51" s="126" t="s">
        <v>982</v>
      </c>
      <c r="G51" s="126" t="b">
        <v>0</v>
      </c>
      <c r="H51" s="126" t="b">
        <v>0</v>
      </c>
      <c r="I51" s="126" t="b">
        <v>0</v>
      </c>
      <c r="J51" s="126" t="b">
        <v>0</v>
      </c>
      <c r="K51" s="126" t="b">
        <v>0</v>
      </c>
      <c r="L51" s="126" t="b">
        <v>0</v>
      </c>
    </row>
    <row r="52" spans="1:12" ht="15">
      <c r="A52" s="126" t="s">
        <v>726</v>
      </c>
      <c r="B52" s="126" t="s">
        <v>726</v>
      </c>
      <c r="C52" s="126">
        <v>5</v>
      </c>
      <c r="D52" s="128">
        <v>0.0024846320921336675</v>
      </c>
      <c r="E52" s="128">
        <v>1.4126567001448287</v>
      </c>
      <c r="F52" s="126" t="s">
        <v>982</v>
      </c>
      <c r="G52" s="126" t="b">
        <v>0</v>
      </c>
      <c r="H52" s="126" t="b">
        <v>0</v>
      </c>
      <c r="I52" s="126" t="b">
        <v>0</v>
      </c>
      <c r="J52" s="126" t="b">
        <v>0</v>
      </c>
      <c r="K52" s="126" t="b">
        <v>0</v>
      </c>
      <c r="L52" s="126" t="b">
        <v>0</v>
      </c>
    </row>
    <row r="53" spans="1:12" ht="15">
      <c r="A53" s="126" t="s">
        <v>726</v>
      </c>
      <c r="B53" s="126" t="s">
        <v>719</v>
      </c>
      <c r="C53" s="126">
        <v>5</v>
      </c>
      <c r="D53" s="128">
        <v>0.0024846320921336675</v>
      </c>
      <c r="E53" s="128">
        <v>0.9023670821725117</v>
      </c>
      <c r="F53" s="126" t="s">
        <v>982</v>
      </c>
      <c r="G53" s="126" t="b">
        <v>0</v>
      </c>
      <c r="H53" s="126" t="b">
        <v>0</v>
      </c>
      <c r="I53" s="126" t="b">
        <v>0</v>
      </c>
      <c r="J53" s="126" t="b">
        <v>0</v>
      </c>
      <c r="K53" s="126" t="b">
        <v>0</v>
      </c>
      <c r="L53" s="126" t="b">
        <v>0</v>
      </c>
    </row>
    <row r="54" spans="1:12" ht="15">
      <c r="A54" s="126" t="s">
        <v>719</v>
      </c>
      <c r="B54" s="126" t="s">
        <v>732</v>
      </c>
      <c r="C54" s="126">
        <v>5</v>
      </c>
      <c r="D54" s="128">
        <v>0.0024846320921336675</v>
      </c>
      <c r="E54" s="128">
        <v>1.0297456818379107</v>
      </c>
      <c r="F54" s="126" t="s">
        <v>982</v>
      </c>
      <c r="G54" s="126" t="b">
        <v>0</v>
      </c>
      <c r="H54" s="126" t="b">
        <v>0</v>
      </c>
      <c r="I54" s="126" t="b">
        <v>0</v>
      </c>
      <c r="J54" s="126" t="b">
        <v>0</v>
      </c>
      <c r="K54" s="126" t="b">
        <v>0</v>
      </c>
      <c r="L54" s="126" t="b">
        <v>0</v>
      </c>
    </row>
    <row r="55" spans="1:12" ht="15">
      <c r="A55" s="126" t="s">
        <v>732</v>
      </c>
      <c r="B55" s="126" t="s">
        <v>784</v>
      </c>
      <c r="C55" s="126">
        <v>5</v>
      </c>
      <c r="D55" s="128">
        <v>0.0024846320921336675</v>
      </c>
      <c r="E55" s="128">
        <v>2.1820340262209674</v>
      </c>
      <c r="F55" s="126" t="s">
        <v>982</v>
      </c>
      <c r="G55" s="126" t="b">
        <v>0</v>
      </c>
      <c r="H55" s="126" t="b">
        <v>0</v>
      </c>
      <c r="I55" s="126" t="b">
        <v>0</v>
      </c>
      <c r="J55" s="126" t="b">
        <v>0</v>
      </c>
      <c r="K55" s="126" t="b">
        <v>0</v>
      </c>
      <c r="L55" s="126" t="b">
        <v>0</v>
      </c>
    </row>
    <row r="56" spans="1:12" ht="15">
      <c r="A56" s="126" t="s">
        <v>784</v>
      </c>
      <c r="B56" s="126" t="s">
        <v>715</v>
      </c>
      <c r="C56" s="126">
        <v>5</v>
      </c>
      <c r="D56" s="128">
        <v>0.0024846320921336675</v>
      </c>
      <c r="E56" s="128">
        <v>0.8639706912582058</v>
      </c>
      <c r="F56" s="126" t="s">
        <v>982</v>
      </c>
      <c r="G56" s="126" t="b">
        <v>0</v>
      </c>
      <c r="H56" s="126" t="b">
        <v>0</v>
      </c>
      <c r="I56" s="126" t="b">
        <v>0</v>
      </c>
      <c r="J56" s="126" t="b">
        <v>0</v>
      </c>
      <c r="K56" s="126" t="b">
        <v>0</v>
      </c>
      <c r="L56" s="126" t="b">
        <v>0</v>
      </c>
    </row>
    <row r="57" spans="1:12" ht="15">
      <c r="A57" s="126" t="s">
        <v>733</v>
      </c>
      <c r="B57" s="126" t="s">
        <v>720</v>
      </c>
      <c r="C57" s="126">
        <v>5</v>
      </c>
      <c r="D57" s="128">
        <v>0.0024846320921336675</v>
      </c>
      <c r="E57" s="128">
        <v>1.2482094222528552</v>
      </c>
      <c r="F57" s="126" t="s">
        <v>982</v>
      </c>
      <c r="G57" s="126" t="b">
        <v>0</v>
      </c>
      <c r="H57" s="126" t="b">
        <v>0</v>
      </c>
      <c r="I57" s="126" t="b">
        <v>0</v>
      </c>
      <c r="J57" s="126" t="b">
        <v>0</v>
      </c>
      <c r="K57" s="126" t="b">
        <v>0</v>
      </c>
      <c r="L57" s="126" t="b">
        <v>0</v>
      </c>
    </row>
    <row r="58" spans="1:12" ht="15">
      <c r="A58" s="126" t="s">
        <v>719</v>
      </c>
      <c r="B58" s="126" t="s">
        <v>744</v>
      </c>
      <c r="C58" s="126">
        <v>5</v>
      </c>
      <c r="D58" s="128">
        <v>0.0024846320921336675</v>
      </c>
      <c r="E58" s="128">
        <v>1.205836940893592</v>
      </c>
      <c r="F58" s="126" t="s">
        <v>982</v>
      </c>
      <c r="G58" s="126" t="b">
        <v>0</v>
      </c>
      <c r="H58" s="126" t="b">
        <v>0</v>
      </c>
      <c r="I58" s="126" t="b">
        <v>0</v>
      </c>
      <c r="J58" s="126" t="b">
        <v>0</v>
      </c>
      <c r="K58" s="126" t="b">
        <v>0</v>
      </c>
      <c r="L58" s="126" t="b">
        <v>0</v>
      </c>
    </row>
    <row r="59" spans="1:12" ht="15">
      <c r="A59" s="126" t="s">
        <v>719</v>
      </c>
      <c r="B59" s="126" t="s">
        <v>733</v>
      </c>
      <c r="C59" s="126">
        <v>5</v>
      </c>
      <c r="D59" s="128">
        <v>0.0024846320921336675</v>
      </c>
      <c r="E59" s="128">
        <v>1.0297456818379107</v>
      </c>
      <c r="F59" s="126" t="s">
        <v>982</v>
      </c>
      <c r="G59" s="126" t="b">
        <v>0</v>
      </c>
      <c r="H59" s="126" t="b">
        <v>0</v>
      </c>
      <c r="I59" s="126" t="b">
        <v>0</v>
      </c>
      <c r="J59" s="126" t="b">
        <v>0</v>
      </c>
      <c r="K59" s="126" t="b">
        <v>0</v>
      </c>
      <c r="L59" s="126" t="b">
        <v>0</v>
      </c>
    </row>
    <row r="60" spans="1:12" ht="15">
      <c r="A60" s="126" t="s">
        <v>722</v>
      </c>
      <c r="B60" s="126" t="s">
        <v>722</v>
      </c>
      <c r="C60" s="126">
        <v>5</v>
      </c>
      <c r="D60" s="128">
        <v>0.0024846320921336675</v>
      </c>
      <c r="E60" s="128">
        <v>0.9567247444951045</v>
      </c>
      <c r="F60" s="126" t="s">
        <v>982</v>
      </c>
      <c r="G60" s="126" t="b">
        <v>0</v>
      </c>
      <c r="H60" s="126" t="b">
        <v>0</v>
      </c>
      <c r="I60" s="126" t="b">
        <v>0</v>
      </c>
      <c r="J60" s="126" t="b">
        <v>0</v>
      </c>
      <c r="K60" s="126" t="b">
        <v>0</v>
      </c>
      <c r="L60" s="126" t="b">
        <v>0</v>
      </c>
    </row>
    <row r="61" spans="1:12" ht="15">
      <c r="A61" s="126" t="s">
        <v>774</v>
      </c>
      <c r="B61" s="126" t="s">
        <v>775</v>
      </c>
      <c r="C61" s="126">
        <v>5</v>
      </c>
      <c r="D61" s="128">
        <v>0.003968644840193156</v>
      </c>
      <c r="E61" s="128">
        <v>2.5007927888453803</v>
      </c>
      <c r="F61" s="126" t="s">
        <v>982</v>
      </c>
      <c r="G61" s="126" t="b">
        <v>0</v>
      </c>
      <c r="H61" s="126" t="b">
        <v>0</v>
      </c>
      <c r="I61" s="126" t="b">
        <v>0</v>
      </c>
      <c r="J61" s="126" t="b">
        <v>0</v>
      </c>
      <c r="K61" s="126" t="b">
        <v>1</v>
      </c>
      <c r="L61" s="126" t="b">
        <v>0</v>
      </c>
    </row>
    <row r="62" spans="1:12" ht="15">
      <c r="A62" s="126" t="s">
        <v>718</v>
      </c>
      <c r="B62" s="126" t="s">
        <v>745</v>
      </c>
      <c r="C62" s="126">
        <v>5</v>
      </c>
      <c r="D62" s="128">
        <v>0.0033295153377218578</v>
      </c>
      <c r="E62" s="128">
        <v>1.0527739158300249</v>
      </c>
      <c r="F62" s="126" t="s">
        <v>982</v>
      </c>
      <c r="G62" s="126" t="b">
        <v>0</v>
      </c>
      <c r="H62" s="126" t="b">
        <v>0</v>
      </c>
      <c r="I62" s="126" t="b">
        <v>0</v>
      </c>
      <c r="J62" s="126" t="b">
        <v>0</v>
      </c>
      <c r="K62" s="126" t="b">
        <v>0</v>
      </c>
      <c r="L62" s="126" t="b">
        <v>0</v>
      </c>
    </row>
    <row r="63" spans="1:12" ht="15">
      <c r="A63" s="126" t="s">
        <v>731</v>
      </c>
      <c r="B63" s="126" t="s">
        <v>739</v>
      </c>
      <c r="C63" s="126">
        <v>5</v>
      </c>
      <c r="D63" s="128">
        <v>0.0024846320921336675</v>
      </c>
      <c r="E63" s="128">
        <v>1.7127030159275567</v>
      </c>
      <c r="F63" s="126" t="s">
        <v>982</v>
      </c>
      <c r="G63" s="126" t="b">
        <v>0</v>
      </c>
      <c r="H63" s="126" t="b">
        <v>0</v>
      </c>
      <c r="I63" s="126" t="b">
        <v>0</v>
      </c>
      <c r="J63" s="126" t="b">
        <v>0</v>
      </c>
      <c r="K63" s="126" t="b">
        <v>0</v>
      </c>
      <c r="L63" s="126" t="b">
        <v>0</v>
      </c>
    </row>
    <row r="64" spans="1:12" ht="15">
      <c r="A64" s="126" t="s">
        <v>718</v>
      </c>
      <c r="B64" s="126" t="s">
        <v>791</v>
      </c>
      <c r="C64" s="126">
        <v>5</v>
      </c>
      <c r="D64" s="128">
        <v>0.0024846320921336675</v>
      </c>
      <c r="E64" s="128">
        <v>1.353803911494006</v>
      </c>
      <c r="F64" s="126" t="s">
        <v>982</v>
      </c>
      <c r="G64" s="126" t="b">
        <v>0</v>
      </c>
      <c r="H64" s="126" t="b">
        <v>0</v>
      </c>
      <c r="I64" s="126" t="b">
        <v>0</v>
      </c>
      <c r="J64" s="126" t="b">
        <v>0</v>
      </c>
      <c r="K64" s="126" t="b">
        <v>0</v>
      </c>
      <c r="L64" s="126" t="b">
        <v>0</v>
      </c>
    </row>
    <row r="65" spans="1:12" ht="15">
      <c r="A65" s="126" t="s">
        <v>791</v>
      </c>
      <c r="B65" s="126" t="s">
        <v>754</v>
      </c>
      <c r="C65" s="126">
        <v>5</v>
      </c>
      <c r="D65" s="128">
        <v>0.0024846320921336675</v>
      </c>
      <c r="E65" s="128">
        <v>2.455035298284705</v>
      </c>
      <c r="F65" s="126" t="s">
        <v>982</v>
      </c>
      <c r="G65" s="126" t="b">
        <v>0</v>
      </c>
      <c r="H65" s="126" t="b">
        <v>0</v>
      </c>
      <c r="I65" s="126" t="b">
        <v>0</v>
      </c>
      <c r="J65" s="126" t="b">
        <v>0</v>
      </c>
      <c r="K65" s="126" t="b">
        <v>0</v>
      </c>
      <c r="L65" s="126" t="b">
        <v>0</v>
      </c>
    </row>
    <row r="66" spans="1:12" ht="15">
      <c r="A66" s="126" t="s">
        <v>723</v>
      </c>
      <c r="B66" s="126" t="s">
        <v>727</v>
      </c>
      <c r="C66" s="126">
        <v>5</v>
      </c>
      <c r="D66" s="128">
        <v>0.0024846320921336675</v>
      </c>
      <c r="E66" s="128">
        <v>1.29366729604973</v>
      </c>
      <c r="F66" s="126" t="s">
        <v>982</v>
      </c>
      <c r="G66" s="126" t="b">
        <v>0</v>
      </c>
      <c r="H66" s="126" t="b">
        <v>0</v>
      </c>
      <c r="I66" s="126" t="b">
        <v>0</v>
      </c>
      <c r="J66" s="126" t="b">
        <v>0</v>
      </c>
      <c r="K66" s="126" t="b">
        <v>0</v>
      </c>
      <c r="L66" s="126" t="b">
        <v>0</v>
      </c>
    </row>
    <row r="67" spans="1:12" ht="15">
      <c r="A67" s="126" t="s">
        <v>730</v>
      </c>
      <c r="B67" s="126" t="s">
        <v>716</v>
      </c>
      <c r="C67" s="126">
        <v>5</v>
      </c>
      <c r="D67" s="128">
        <v>0.0026903858352505597</v>
      </c>
      <c r="E67" s="128">
        <v>0.6031656975549387</v>
      </c>
      <c r="F67" s="126" t="s">
        <v>982</v>
      </c>
      <c r="G67" s="126" t="b">
        <v>0</v>
      </c>
      <c r="H67" s="126" t="b">
        <v>0</v>
      </c>
      <c r="I67" s="126" t="b">
        <v>0</v>
      </c>
      <c r="J67" s="126" t="b">
        <v>0</v>
      </c>
      <c r="K67" s="126" t="b">
        <v>0</v>
      </c>
      <c r="L67" s="126" t="b">
        <v>0</v>
      </c>
    </row>
    <row r="68" spans="1:12" ht="15">
      <c r="A68" s="126" t="s">
        <v>715</v>
      </c>
      <c r="B68" s="126" t="s">
        <v>723</v>
      </c>
      <c r="C68" s="126">
        <v>5</v>
      </c>
      <c r="D68" s="128">
        <v>0.0026903858352505597</v>
      </c>
      <c r="E68" s="128">
        <v>0.08819225930883914</v>
      </c>
      <c r="F68" s="126" t="s">
        <v>982</v>
      </c>
      <c r="G68" s="126" t="b">
        <v>0</v>
      </c>
      <c r="H68" s="126" t="b">
        <v>0</v>
      </c>
      <c r="I68" s="126" t="b">
        <v>0</v>
      </c>
      <c r="J68" s="126" t="b">
        <v>0</v>
      </c>
      <c r="K68" s="126" t="b">
        <v>0</v>
      </c>
      <c r="L68" s="126" t="b">
        <v>0</v>
      </c>
    </row>
    <row r="69" spans="1:12" ht="15">
      <c r="A69" s="126" t="s">
        <v>719</v>
      </c>
      <c r="B69" s="126" t="s">
        <v>724</v>
      </c>
      <c r="C69" s="126">
        <v>5</v>
      </c>
      <c r="D69" s="128">
        <v>0.002955648545671579</v>
      </c>
      <c r="E69" s="128">
        <v>0.7744731767346047</v>
      </c>
      <c r="F69" s="126" t="s">
        <v>982</v>
      </c>
      <c r="G69" s="126" t="b">
        <v>0</v>
      </c>
      <c r="H69" s="126" t="b">
        <v>0</v>
      </c>
      <c r="I69" s="126" t="b">
        <v>0</v>
      </c>
      <c r="J69" s="126" t="b">
        <v>0</v>
      </c>
      <c r="K69" s="126" t="b">
        <v>0</v>
      </c>
      <c r="L69" s="126" t="b">
        <v>0</v>
      </c>
    </row>
    <row r="70" spans="1:12" ht="15">
      <c r="A70" s="126" t="s">
        <v>725</v>
      </c>
      <c r="B70" s="126" t="s">
        <v>718</v>
      </c>
      <c r="C70" s="126">
        <v>4</v>
      </c>
      <c r="D70" s="128">
        <v>0.002152308668200448</v>
      </c>
      <c r="E70" s="128">
        <v>0.6221274011848549</v>
      </c>
      <c r="F70" s="126" t="s">
        <v>982</v>
      </c>
      <c r="G70" s="126" t="b">
        <v>0</v>
      </c>
      <c r="H70" s="126" t="b">
        <v>0</v>
      </c>
      <c r="I70" s="126" t="b">
        <v>0</v>
      </c>
      <c r="J70" s="126" t="b">
        <v>0</v>
      </c>
      <c r="K70" s="126" t="b">
        <v>0</v>
      </c>
      <c r="L70" s="126" t="b">
        <v>0</v>
      </c>
    </row>
    <row r="71" spans="1:12" ht="15">
      <c r="A71" s="126" t="s">
        <v>716</v>
      </c>
      <c r="B71" s="126" t="s">
        <v>721</v>
      </c>
      <c r="C71" s="126">
        <v>4</v>
      </c>
      <c r="D71" s="128">
        <v>0.0023645188365372634</v>
      </c>
      <c r="E71" s="128">
        <v>0.2342736443095628</v>
      </c>
      <c r="F71" s="126" t="s">
        <v>982</v>
      </c>
      <c r="G71" s="126" t="b">
        <v>0</v>
      </c>
      <c r="H71" s="126" t="b">
        <v>0</v>
      </c>
      <c r="I71" s="126" t="b">
        <v>0</v>
      </c>
      <c r="J71" s="126" t="b">
        <v>0</v>
      </c>
      <c r="K71" s="126" t="b">
        <v>0</v>
      </c>
      <c r="L71" s="126" t="b">
        <v>0</v>
      </c>
    </row>
    <row r="72" spans="1:12" ht="15">
      <c r="A72" s="126" t="s">
        <v>798</v>
      </c>
      <c r="B72" s="126" t="s">
        <v>799</v>
      </c>
      <c r="C72" s="126">
        <v>4</v>
      </c>
      <c r="D72" s="128">
        <v>0.0026636122701774864</v>
      </c>
      <c r="E72" s="128">
        <v>2.7560652939486863</v>
      </c>
      <c r="F72" s="126" t="s">
        <v>982</v>
      </c>
      <c r="G72" s="126" t="b">
        <v>0</v>
      </c>
      <c r="H72" s="126" t="b">
        <v>0</v>
      </c>
      <c r="I72" s="126" t="b">
        <v>0</v>
      </c>
      <c r="J72" s="126" t="b">
        <v>0</v>
      </c>
      <c r="K72" s="126" t="b">
        <v>0</v>
      </c>
      <c r="L72" s="126" t="b">
        <v>0</v>
      </c>
    </row>
    <row r="73" spans="1:12" ht="15">
      <c r="A73" s="126" t="s">
        <v>800</v>
      </c>
      <c r="B73" s="126" t="s">
        <v>721</v>
      </c>
      <c r="C73" s="126">
        <v>4</v>
      </c>
      <c r="D73" s="128">
        <v>0.002152308668200448</v>
      </c>
      <c r="E73" s="128">
        <v>1.8140572409263729</v>
      </c>
      <c r="F73" s="126" t="s">
        <v>982</v>
      </c>
      <c r="G73" s="126" t="b">
        <v>0</v>
      </c>
      <c r="H73" s="126" t="b">
        <v>0</v>
      </c>
      <c r="I73" s="126" t="b">
        <v>0</v>
      </c>
      <c r="J73" s="126" t="b">
        <v>0</v>
      </c>
      <c r="K73" s="126" t="b">
        <v>0</v>
      </c>
      <c r="L73" s="126" t="b">
        <v>0</v>
      </c>
    </row>
    <row r="74" spans="1:12" ht="15">
      <c r="A74" s="126" t="s">
        <v>721</v>
      </c>
      <c r="B74" s="126" t="s">
        <v>729</v>
      </c>
      <c r="C74" s="126">
        <v>4</v>
      </c>
      <c r="D74" s="128">
        <v>0.002152308668200448</v>
      </c>
      <c r="E74" s="128">
        <v>1.1734338544590497</v>
      </c>
      <c r="F74" s="126" t="s">
        <v>982</v>
      </c>
      <c r="G74" s="126" t="b">
        <v>0</v>
      </c>
      <c r="H74" s="126" t="b">
        <v>0</v>
      </c>
      <c r="I74" s="126" t="b">
        <v>0</v>
      </c>
      <c r="J74" s="126" t="b">
        <v>0</v>
      </c>
      <c r="K74" s="126" t="b">
        <v>0</v>
      </c>
      <c r="L74" s="126" t="b">
        <v>0</v>
      </c>
    </row>
    <row r="75" spans="1:12" ht="15">
      <c r="A75" s="126" t="s">
        <v>729</v>
      </c>
      <c r="B75" s="126" t="s">
        <v>801</v>
      </c>
      <c r="C75" s="126">
        <v>4</v>
      </c>
      <c r="D75" s="128">
        <v>0.002152308668200448</v>
      </c>
      <c r="E75" s="128">
        <v>2.1028527801733423</v>
      </c>
      <c r="F75" s="126" t="s">
        <v>982</v>
      </c>
      <c r="G75" s="126" t="b">
        <v>0</v>
      </c>
      <c r="H75" s="126" t="b">
        <v>0</v>
      </c>
      <c r="I75" s="126" t="b">
        <v>0</v>
      </c>
      <c r="J75" s="126" t="b">
        <v>0</v>
      </c>
      <c r="K75" s="126" t="b">
        <v>0</v>
      </c>
      <c r="L75" s="126" t="b">
        <v>0</v>
      </c>
    </row>
    <row r="76" spans="1:12" ht="15">
      <c r="A76" s="126" t="s">
        <v>801</v>
      </c>
      <c r="B76" s="126" t="s">
        <v>802</v>
      </c>
      <c r="C76" s="126">
        <v>4</v>
      </c>
      <c r="D76" s="128">
        <v>0.002152308668200448</v>
      </c>
      <c r="E76" s="128">
        <v>2.7560652939486863</v>
      </c>
      <c r="F76" s="126" t="s">
        <v>982</v>
      </c>
      <c r="G76" s="126" t="b">
        <v>0</v>
      </c>
      <c r="H76" s="126" t="b">
        <v>0</v>
      </c>
      <c r="I76" s="126" t="b">
        <v>0</v>
      </c>
      <c r="J76" s="126" t="b">
        <v>0</v>
      </c>
      <c r="K76" s="126" t="b">
        <v>1</v>
      </c>
      <c r="L76" s="126" t="b">
        <v>0</v>
      </c>
    </row>
    <row r="77" spans="1:12" ht="15">
      <c r="A77" s="126" t="s">
        <v>802</v>
      </c>
      <c r="B77" s="126" t="s">
        <v>726</v>
      </c>
      <c r="C77" s="126">
        <v>4</v>
      </c>
      <c r="D77" s="128">
        <v>0.002152308668200448</v>
      </c>
      <c r="E77" s="128">
        <v>2.0359059905427292</v>
      </c>
      <c r="F77" s="126" t="s">
        <v>982</v>
      </c>
      <c r="G77" s="126" t="b">
        <v>0</v>
      </c>
      <c r="H77" s="126" t="b">
        <v>1</v>
      </c>
      <c r="I77" s="126" t="b">
        <v>0</v>
      </c>
      <c r="J77" s="126" t="b">
        <v>0</v>
      </c>
      <c r="K77" s="126" t="b">
        <v>0</v>
      </c>
      <c r="L77" s="126" t="b">
        <v>0</v>
      </c>
    </row>
    <row r="78" spans="1:12" ht="15">
      <c r="A78" s="126" t="s">
        <v>726</v>
      </c>
      <c r="B78" s="126" t="s">
        <v>725</v>
      </c>
      <c r="C78" s="126">
        <v>4</v>
      </c>
      <c r="D78" s="128">
        <v>0.002152308668200448</v>
      </c>
      <c r="E78" s="128">
        <v>1.276238145853099</v>
      </c>
      <c r="F78" s="126" t="s">
        <v>982</v>
      </c>
      <c r="G78" s="126" t="b">
        <v>0</v>
      </c>
      <c r="H78" s="126" t="b">
        <v>0</v>
      </c>
      <c r="I78" s="126" t="b">
        <v>0</v>
      </c>
      <c r="J78" s="126" t="b">
        <v>0</v>
      </c>
      <c r="K78" s="126" t="b">
        <v>0</v>
      </c>
      <c r="L78" s="126" t="b">
        <v>0</v>
      </c>
    </row>
    <row r="79" spans="1:12" ht="15">
      <c r="A79" s="126" t="s">
        <v>725</v>
      </c>
      <c r="B79" s="126" t="s">
        <v>739</v>
      </c>
      <c r="C79" s="126">
        <v>4</v>
      </c>
      <c r="D79" s="128">
        <v>0.002152308668200448</v>
      </c>
      <c r="E79" s="128">
        <v>1.503819243475568</v>
      </c>
      <c r="F79" s="126" t="s">
        <v>982</v>
      </c>
      <c r="G79" s="126" t="b">
        <v>0</v>
      </c>
      <c r="H79" s="126" t="b">
        <v>0</v>
      </c>
      <c r="I79" s="126" t="b">
        <v>0</v>
      </c>
      <c r="J79" s="126" t="b">
        <v>0</v>
      </c>
      <c r="K79" s="126" t="b">
        <v>0</v>
      </c>
      <c r="L79" s="126" t="b">
        <v>0</v>
      </c>
    </row>
    <row r="80" spans="1:12" ht="15">
      <c r="A80" s="126" t="s">
        <v>739</v>
      </c>
      <c r="B80" s="126" t="s">
        <v>740</v>
      </c>
      <c r="C80" s="126">
        <v>4</v>
      </c>
      <c r="D80" s="128">
        <v>0.002152308668200448</v>
      </c>
      <c r="E80" s="128">
        <v>1.7670606782501492</v>
      </c>
      <c r="F80" s="126" t="s">
        <v>982</v>
      </c>
      <c r="G80" s="126" t="b">
        <v>0</v>
      </c>
      <c r="H80" s="126" t="b">
        <v>0</v>
      </c>
      <c r="I80" s="126" t="b">
        <v>0</v>
      </c>
      <c r="J80" s="126" t="b">
        <v>0</v>
      </c>
      <c r="K80" s="126" t="b">
        <v>0</v>
      </c>
      <c r="L80" s="126" t="b">
        <v>0</v>
      </c>
    </row>
    <row r="81" spans="1:12" ht="15">
      <c r="A81" s="126" t="s">
        <v>738</v>
      </c>
      <c r="B81" s="126" t="s">
        <v>803</v>
      </c>
      <c r="C81" s="126">
        <v>4</v>
      </c>
      <c r="D81" s="128">
        <v>0.002152308668200448</v>
      </c>
      <c r="E81" s="128">
        <v>2.2789440392290237</v>
      </c>
      <c r="F81" s="126" t="s">
        <v>982</v>
      </c>
      <c r="G81" s="126" t="b">
        <v>0</v>
      </c>
      <c r="H81" s="126" t="b">
        <v>0</v>
      </c>
      <c r="I81" s="126" t="b">
        <v>0</v>
      </c>
      <c r="J81" s="126" t="b">
        <v>0</v>
      </c>
      <c r="K81" s="126" t="b">
        <v>0</v>
      </c>
      <c r="L81" s="126" t="b">
        <v>0</v>
      </c>
    </row>
    <row r="82" spans="1:12" ht="15">
      <c r="A82" s="126" t="s">
        <v>803</v>
      </c>
      <c r="B82" s="126" t="s">
        <v>769</v>
      </c>
      <c r="C82" s="126">
        <v>4</v>
      </c>
      <c r="D82" s="128">
        <v>0.002152308668200448</v>
      </c>
      <c r="E82" s="128">
        <v>2.579974034893005</v>
      </c>
      <c r="F82" s="126" t="s">
        <v>982</v>
      </c>
      <c r="G82" s="126" t="b">
        <v>0</v>
      </c>
      <c r="H82" s="126" t="b">
        <v>0</v>
      </c>
      <c r="I82" s="126" t="b">
        <v>0</v>
      </c>
      <c r="J82" s="126" t="b">
        <v>0</v>
      </c>
      <c r="K82" s="126" t="b">
        <v>0</v>
      </c>
      <c r="L82" s="126" t="b">
        <v>0</v>
      </c>
    </row>
    <row r="83" spans="1:12" ht="15">
      <c r="A83" s="126" t="s">
        <v>769</v>
      </c>
      <c r="B83" s="126" t="s">
        <v>804</v>
      </c>
      <c r="C83" s="126">
        <v>4</v>
      </c>
      <c r="D83" s="128">
        <v>0.002152308668200448</v>
      </c>
      <c r="E83" s="128">
        <v>2.579974034893005</v>
      </c>
      <c r="F83" s="126" t="s">
        <v>982</v>
      </c>
      <c r="G83" s="126" t="b">
        <v>0</v>
      </c>
      <c r="H83" s="126" t="b">
        <v>0</v>
      </c>
      <c r="I83" s="126" t="b">
        <v>0</v>
      </c>
      <c r="J83" s="126" t="b">
        <v>0</v>
      </c>
      <c r="K83" s="126" t="b">
        <v>0</v>
      </c>
      <c r="L83" s="126" t="b">
        <v>0</v>
      </c>
    </row>
    <row r="84" spans="1:12" ht="15">
      <c r="A84" s="126" t="s">
        <v>804</v>
      </c>
      <c r="B84" s="126" t="s">
        <v>779</v>
      </c>
      <c r="C84" s="126">
        <v>4</v>
      </c>
      <c r="D84" s="128">
        <v>0.002152308668200448</v>
      </c>
      <c r="E84" s="128">
        <v>2.6591552809406296</v>
      </c>
      <c r="F84" s="126" t="s">
        <v>982</v>
      </c>
      <c r="G84" s="126" t="b">
        <v>0</v>
      </c>
      <c r="H84" s="126" t="b">
        <v>0</v>
      </c>
      <c r="I84" s="126" t="b">
        <v>0</v>
      </c>
      <c r="J84" s="126" t="b">
        <v>0</v>
      </c>
      <c r="K84" s="126" t="b">
        <v>0</v>
      </c>
      <c r="L84" s="126" t="b">
        <v>0</v>
      </c>
    </row>
    <row r="85" spans="1:12" ht="15">
      <c r="A85" s="126" t="s">
        <v>779</v>
      </c>
      <c r="B85" s="126" t="s">
        <v>736</v>
      </c>
      <c r="C85" s="126">
        <v>4</v>
      </c>
      <c r="D85" s="128">
        <v>0.002152308668200448</v>
      </c>
      <c r="E85" s="128">
        <v>2.1150872365903544</v>
      </c>
      <c r="F85" s="126" t="s">
        <v>982</v>
      </c>
      <c r="G85" s="126" t="b">
        <v>0</v>
      </c>
      <c r="H85" s="126" t="b">
        <v>0</v>
      </c>
      <c r="I85" s="126" t="b">
        <v>0</v>
      </c>
      <c r="J85" s="126" t="b">
        <v>0</v>
      </c>
      <c r="K85" s="126" t="b">
        <v>0</v>
      </c>
      <c r="L85" s="126" t="b">
        <v>0</v>
      </c>
    </row>
    <row r="86" spans="1:12" ht="15">
      <c r="A86" s="126" t="s">
        <v>751</v>
      </c>
      <c r="B86" s="126" t="s">
        <v>741</v>
      </c>
      <c r="C86" s="126">
        <v>4</v>
      </c>
      <c r="D86" s="128">
        <v>0.002152308668200448</v>
      </c>
      <c r="E86" s="128">
        <v>1.964550082007061</v>
      </c>
      <c r="F86" s="126" t="s">
        <v>982</v>
      </c>
      <c r="G86" s="126" t="b">
        <v>0</v>
      </c>
      <c r="H86" s="126" t="b">
        <v>0</v>
      </c>
      <c r="I86" s="126" t="b">
        <v>0</v>
      </c>
      <c r="J86" s="126" t="b">
        <v>0</v>
      </c>
      <c r="K86" s="126" t="b">
        <v>0</v>
      </c>
      <c r="L86" s="126" t="b">
        <v>0</v>
      </c>
    </row>
    <row r="87" spans="1:12" ht="15">
      <c r="A87" s="126" t="s">
        <v>741</v>
      </c>
      <c r="B87" s="126" t="s">
        <v>780</v>
      </c>
      <c r="C87" s="126">
        <v>4</v>
      </c>
      <c r="D87" s="128">
        <v>0.002152308668200448</v>
      </c>
      <c r="E87" s="128">
        <v>2.3581252852766488</v>
      </c>
      <c r="F87" s="126" t="s">
        <v>982</v>
      </c>
      <c r="G87" s="126" t="b">
        <v>0</v>
      </c>
      <c r="H87" s="126" t="b">
        <v>0</v>
      </c>
      <c r="I87" s="126" t="b">
        <v>0</v>
      </c>
      <c r="J87" s="126" t="b">
        <v>0</v>
      </c>
      <c r="K87" s="126" t="b">
        <v>0</v>
      </c>
      <c r="L87" s="126" t="b">
        <v>0</v>
      </c>
    </row>
    <row r="88" spans="1:12" ht="15">
      <c r="A88" s="126" t="s">
        <v>780</v>
      </c>
      <c r="B88" s="126" t="s">
        <v>742</v>
      </c>
      <c r="C88" s="126">
        <v>4</v>
      </c>
      <c r="D88" s="128">
        <v>0.002152308668200448</v>
      </c>
      <c r="E88" s="128">
        <v>2.261215272268592</v>
      </c>
      <c r="F88" s="126" t="s">
        <v>982</v>
      </c>
      <c r="G88" s="126" t="b">
        <v>0</v>
      </c>
      <c r="H88" s="126" t="b">
        <v>0</v>
      </c>
      <c r="I88" s="126" t="b">
        <v>0</v>
      </c>
      <c r="J88" s="126" t="b">
        <v>0</v>
      </c>
      <c r="K88" s="126" t="b">
        <v>1</v>
      </c>
      <c r="L88" s="126" t="b">
        <v>0</v>
      </c>
    </row>
    <row r="89" spans="1:12" ht="15">
      <c r="A89" s="126" t="s">
        <v>718</v>
      </c>
      <c r="B89" s="126" t="s">
        <v>805</v>
      </c>
      <c r="C89" s="126">
        <v>4</v>
      </c>
      <c r="D89" s="128">
        <v>0.002152308668200448</v>
      </c>
      <c r="E89" s="128">
        <v>1.353803911494006</v>
      </c>
      <c r="F89" s="126" t="s">
        <v>982</v>
      </c>
      <c r="G89" s="126" t="b">
        <v>0</v>
      </c>
      <c r="H89" s="126" t="b">
        <v>0</v>
      </c>
      <c r="I89" s="126" t="b">
        <v>0</v>
      </c>
      <c r="J89" s="126" t="b">
        <v>0</v>
      </c>
      <c r="K89" s="126" t="b">
        <v>0</v>
      </c>
      <c r="L89" s="126" t="b">
        <v>0</v>
      </c>
    </row>
    <row r="90" spans="1:12" ht="15">
      <c r="A90" s="126" t="s">
        <v>805</v>
      </c>
      <c r="B90" s="126" t="s">
        <v>732</v>
      </c>
      <c r="C90" s="126">
        <v>4</v>
      </c>
      <c r="D90" s="128">
        <v>0.002152308668200448</v>
      </c>
      <c r="E90" s="128">
        <v>2.1820340262209674</v>
      </c>
      <c r="F90" s="126" t="s">
        <v>982</v>
      </c>
      <c r="G90" s="126" t="b">
        <v>0</v>
      </c>
      <c r="H90" s="126" t="b">
        <v>0</v>
      </c>
      <c r="I90" s="126" t="b">
        <v>0</v>
      </c>
      <c r="J90" s="126" t="b">
        <v>0</v>
      </c>
      <c r="K90" s="126" t="b">
        <v>0</v>
      </c>
      <c r="L90" s="126" t="b">
        <v>0</v>
      </c>
    </row>
    <row r="91" spans="1:12" ht="15">
      <c r="A91" s="126" t="s">
        <v>732</v>
      </c>
      <c r="B91" s="126" t="s">
        <v>806</v>
      </c>
      <c r="C91" s="126">
        <v>4</v>
      </c>
      <c r="D91" s="128">
        <v>0.002152308668200448</v>
      </c>
      <c r="E91" s="128">
        <v>2.1820340262209674</v>
      </c>
      <c r="F91" s="126" t="s">
        <v>982</v>
      </c>
      <c r="G91" s="126" t="b">
        <v>0</v>
      </c>
      <c r="H91" s="126" t="b">
        <v>0</v>
      </c>
      <c r="I91" s="126" t="b">
        <v>0</v>
      </c>
      <c r="J91" s="126" t="b">
        <v>0</v>
      </c>
      <c r="K91" s="126" t="b">
        <v>0</v>
      </c>
      <c r="L91" s="126" t="b">
        <v>0</v>
      </c>
    </row>
    <row r="92" spans="1:12" ht="15">
      <c r="A92" s="126" t="s">
        <v>806</v>
      </c>
      <c r="B92" s="126" t="s">
        <v>807</v>
      </c>
      <c r="C92" s="126">
        <v>4</v>
      </c>
      <c r="D92" s="128">
        <v>0.002152308668200448</v>
      </c>
      <c r="E92" s="128">
        <v>2.7560652939486863</v>
      </c>
      <c r="F92" s="126" t="s">
        <v>982</v>
      </c>
      <c r="G92" s="126" t="b">
        <v>0</v>
      </c>
      <c r="H92" s="126" t="b">
        <v>0</v>
      </c>
      <c r="I92" s="126" t="b">
        <v>0</v>
      </c>
      <c r="J92" s="126" t="b">
        <v>0</v>
      </c>
      <c r="K92" s="126" t="b">
        <v>0</v>
      </c>
      <c r="L92" s="126" t="b">
        <v>0</v>
      </c>
    </row>
    <row r="93" spans="1:12" ht="15">
      <c r="A93" s="126" t="s">
        <v>807</v>
      </c>
      <c r="B93" s="126" t="s">
        <v>770</v>
      </c>
      <c r="C93" s="126">
        <v>4</v>
      </c>
      <c r="D93" s="128">
        <v>0.002152308668200448</v>
      </c>
      <c r="E93" s="128">
        <v>2.579974034893005</v>
      </c>
      <c r="F93" s="126" t="s">
        <v>982</v>
      </c>
      <c r="G93" s="126" t="b">
        <v>0</v>
      </c>
      <c r="H93" s="126" t="b">
        <v>0</v>
      </c>
      <c r="I93" s="126" t="b">
        <v>0</v>
      </c>
      <c r="J93" s="126" t="b">
        <v>0</v>
      </c>
      <c r="K93" s="126" t="b">
        <v>0</v>
      </c>
      <c r="L93" s="126" t="b">
        <v>0</v>
      </c>
    </row>
    <row r="94" spans="1:12" ht="15">
      <c r="A94" s="126" t="s">
        <v>770</v>
      </c>
      <c r="B94" s="126" t="s">
        <v>808</v>
      </c>
      <c r="C94" s="126">
        <v>4</v>
      </c>
      <c r="D94" s="128">
        <v>0.002152308668200448</v>
      </c>
      <c r="E94" s="128">
        <v>2.579974034893005</v>
      </c>
      <c r="F94" s="126" t="s">
        <v>982</v>
      </c>
      <c r="G94" s="126" t="b">
        <v>0</v>
      </c>
      <c r="H94" s="126" t="b">
        <v>0</v>
      </c>
      <c r="I94" s="126" t="b">
        <v>0</v>
      </c>
      <c r="J94" s="126" t="b">
        <v>0</v>
      </c>
      <c r="K94" s="126" t="b">
        <v>0</v>
      </c>
      <c r="L94" s="126" t="b">
        <v>0</v>
      </c>
    </row>
    <row r="95" spans="1:12" ht="15">
      <c r="A95" s="126" t="s">
        <v>808</v>
      </c>
      <c r="B95" s="126" t="s">
        <v>809</v>
      </c>
      <c r="C95" s="126">
        <v>4</v>
      </c>
      <c r="D95" s="128">
        <v>0.002152308668200448</v>
      </c>
      <c r="E95" s="128">
        <v>2.7560652939486863</v>
      </c>
      <c r="F95" s="126" t="s">
        <v>982</v>
      </c>
      <c r="G95" s="126" t="b">
        <v>0</v>
      </c>
      <c r="H95" s="126" t="b">
        <v>0</v>
      </c>
      <c r="I95" s="126" t="b">
        <v>0</v>
      </c>
      <c r="J95" s="126" t="b">
        <v>0</v>
      </c>
      <c r="K95" s="126" t="b">
        <v>0</v>
      </c>
      <c r="L95" s="126" t="b">
        <v>0</v>
      </c>
    </row>
    <row r="96" spans="1:12" ht="15">
      <c r="A96" s="126" t="s">
        <v>809</v>
      </c>
      <c r="B96" s="126" t="s">
        <v>810</v>
      </c>
      <c r="C96" s="126">
        <v>4</v>
      </c>
      <c r="D96" s="128">
        <v>0.002152308668200448</v>
      </c>
      <c r="E96" s="128">
        <v>2.7560652939486863</v>
      </c>
      <c r="F96" s="126" t="s">
        <v>982</v>
      </c>
      <c r="G96" s="126" t="b">
        <v>0</v>
      </c>
      <c r="H96" s="126" t="b">
        <v>0</v>
      </c>
      <c r="I96" s="126" t="b">
        <v>0</v>
      </c>
      <c r="J96" s="126" t="b">
        <v>0</v>
      </c>
      <c r="K96" s="126" t="b">
        <v>0</v>
      </c>
      <c r="L96" s="126" t="b">
        <v>0</v>
      </c>
    </row>
    <row r="97" spans="1:12" ht="15">
      <c r="A97" s="126" t="s">
        <v>810</v>
      </c>
      <c r="B97" s="126" t="s">
        <v>811</v>
      </c>
      <c r="C97" s="126">
        <v>4</v>
      </c>
      <c r="D97" s="128">
        <v>0.002152308668200448</v>
      </c>
      <c r="E97" s="128">
        <v>2.7560652939486863</v>
      </c>
      <c r="F97" s="126" t="s">
        <v>982</v>
      </c>
      <c r="G97" s="126" t="b">
        <v>0</v>
      </c>
      <c r="H97" s="126" t="b">
        <v>0</v>
      </c>
      <c r="I97" s="126" t="b">
        <v>0</v>
      </c>
      <c r="J97" s="126" t="b">
        <v>0</v>
      </c>
      <c r="K97" s="126" t="b">
        <v>0</v>
      </c>
      <c r="L97" s="126" t="b">
        <v>0</v>
      </c>
    </row>
    <row r="98" spans="1:12" ht="15">
      <c r="A98" s="126" t="s">
        <v>811</v>
      </c>
      <c r="B98" s="126" t="s">
        <v>812</v>
      </c>
      <c r="C98" s="126">
        <v>4</v>
      </c>
      <c r="D98" s="128">
        <v>0.002152308668200448</v>
      </c>
      <c r="E98" s="128">
        <v>2.7560652939486863</v>
      </c>
      <c r="F98" s="126" t="s">
        <v>982</v>
      </c>
      <c r="G98" s="126" t="b">
        <v>0</v>
      </c>
      <c r="H98" s="126" t="b">
        <v>0</v>
      </c>
      <c r="I98" s="126" t="b">
        <v>0</v>
      </c>
      <c r="J98" s="126" t="b">
        <v>0</v>
      </c>
      <c r="K98" s="126" t="b">
        <v>0</v>
      </c>
      <c r="L98" s="126" t="b">
        <v>0</v>
      </c>
    </row>
    <row r="99" spans="1:12" ht="15">
      <c r="A99" s="126" t="s">
        <v>812</v>
      </c>
      <c r="B99" s="126" t="s">
        <v>813</v>
      </c>
      <c r="C99" s="126">
        <v>4</v>
      </c>
      <c r="D99" s="128">
        <v>0.002152308668200448</v>
      </c>
      <c r="E99" s="128">
        <v>2.7560652939486863</v>
      </c>
      <c r="F99" s="126" t="s">
        <v>982</v>
      </c>
      <c r="G99" s="126" t="b">
        <v>0</v>
      </c>
      <c r="H99" s="126" t="b">
        <v>0</v>
      </c>
      <c r="I99" s="126" t="b">
        <v>0</v>
      </c>
      <c r="J99" s="126" t="b">
        <v>0</v>
      </c>
      <c r="K99" s="126" t="b">
        <v>0</v>
      </c>
      <c r="L99" s="126" t="b">
        <v>0</v>
      </c>
    </row>
    <row r="100" spans="1:12" ht="15">
      <c r="A100" s="126" t="s">
        <v>813</v>
      </c>
      <c r="B100" s="126" t="s">
        <v>814</v>
      </c>
      <c r="C100" s="126">
        <v>4</v>
      </c>
      <c r="D100" s="128">
        <v>0.002152308668200448</v>
      </c>
      <c r="E100" s="128">
        <v>2.7560652939486863</v>
      </c>
      <c r="F100" s="126" t="s">
        <v>982</v>
      </c>
      <c r="G100" s="126" t="b">
        <v>0</v>
      </c>
      <c r="H100" s="126" t="b">
        <v>0</v>
      </c>
      <c r="I100" s="126" t="b">
        <v>0</v>
      </c>
      <c r="J100" s="126" t="b">
        <v>0</v>
      </c>
      <c r="K100" s="126" t="b">
        <v>0</v>
      </c>
      <c r="L100" s="126" t="b">
        <v>0</v>
      </c>
    </row>
    <row r="101" spans="1:12" ht="15">
      <c r="A101" s="126" t="s">
        <v>814</v>
      </c>
      <c r="B101" s="126" t="s">
        <v>771</v>
      </c>
      <c r="C101" s="126">
        <v>4</v>
      </c>
      <c r="D101" s="128">
        <v>0.002152308668200448</v>
      </c>
      <c r="E101" s="128">
        <v>2.579974034893005</v>
      </c>
      <c r="F101" s="126" t="s">
        <v>982</v>
      </c>
      <c r="G101" s="126" t="b">
        <v>0</v>
      </c>
      <c r="H101" s="126" t="b">
        <v>0</v>
      </c>
      <c r="I101" s="126" t="b">
        <v>0</v>
      </c>
      <c r="J101" s="126" t="b">
        <v>0</v>
      </c>
      <c r="K101" s="126" t="b">
        <v>0</v>
      </c>
      <c r="L101" s="126" t="b">
        <v>0</v>
      </c>
    </row>
    <row r="102" spans="1:12" ht="15">
      <c r="A102" s="126" t="s">
        <v>771</v>
      </c>
      <c r="B102" s="126" t="s">
        <v>815</v>
      </c>
      <c r="C102" s="126">
        <v>4</v>
      </c>
      <c r="D102" s="128">
        <v>0.002152308668200448</v>
      </c>
      <c r="E102" s="128">
        <v>2.579974034893005</v>
      </c>
      <c r="F102" s="126" t="s">
        <v>982</v>
      </c>
      <c r="G102" s="126" t="b">
        <v>0</v>
      </c>
      <c r="H102" s="126" t="b">
        <v>0</v>
      </c>
      <c r="I102" s="126" t="b">
        <v>0</v>
      </c>
      <c r="J102" s="126" t="b">
        <v>0</v>
      </c>
      <c r="K102" s="126" t="b">
        <v>0</v>
      </c>
      <c r="L102" s="126" t="b">
        <v>0</v>
      </c>
    </row>
    <row r="103" spans="1:12" ht="15">
      <c r="A103" s="126" t="s">
        <v>815</v>
      </c>
      <c r="B103" s="126" t="s">
        <v>772</v>
      </c>
      <c r="C103" s="126">
        <v>4</v>
      </c>
      <c r="D103" s="128">
        <v>0.002152308668200448</v>
      </c>
      <c r="E103" s="128">
        <v>2.579974034893005</v>
      </c>
      <c r="F103" s="126" t="s">
        <v>982</v>
      </c>
      <c r="G103" s="126" t="b">
        <v>0</v>
      </c>
      <c r="H103" s="126" t="b">
        <v>0</v>
      </c>
      <c r="I103" s="126" t="b">
        <v>0</v>
      </c>
      <c r="J103" s="126" t="b">
        <v>0</v>
      </c>
      <c r="K103" s="126" t="b">
        <v>0</v>
      </c>
      <c r="L103" s="126" t="b">
        <v>0</v>
      </c>
    </row>
    <row r="104" spans="1:12" ht="15">
      <c r="A104" s="126" t="s">
        <v>772</v>
      </c>
      <c r="B104" s="126" t="s">
        <v>816</v>
      </c>
      <c r="C104" s="126">
        <v>4</v>
      </c>
      <c r="D104" s="128">
        <v>0.002152308668200448</v>
      </c>
      <c r="E104" s="128">
        <v>2.579974034893005</v>
      </c>
      <c r="F104" s="126" t="s">
        <v>982</v>
      </c>
      <c r="G104" s="126" t="b">
        <v>0</v>
      </c>
      <c r="H104" s="126" t="b">
        <v>0</v>
      </c>
      <c r="I104" s="126" t="b">
        <v>0</v>
      </c>
      <c r="J104" s="126" t="b">
        <v>0</v>
      </c>
      <c r="K104" s="126" t="b">
        <v>0</v>
      </c>
      <c r="L104" s="126" t="b">
        <v>0</v>
      </c>
    </row>
    <row r="105" spans="1:12" ht="15">
      <c r="A105" s="126" t="s">
        <v>816</v>
      </c>
      <c r="B105" s="126" t="s">
        <v>817</v>
      </c>
      <c r="C105" s="126">
        <v>4</v>
      </c>
      <c r="D105" s="128">
        <v>0.002152308668200448</v>
      </c>
      <c r="E105" s="128">
        <v>2.7560652939486863</v>
      </c>
      <c r="F105" s="126" t="s">
        <v>982</v>
      </c>
      <c r="G105" s="126" t="b">
        <v>0</v>
      </c>
      <c r="H105" s="126" t="b">
        <v>0</v>
      </c>
      <c r="I105" s="126" t="b">
        <v>0</v>
      </c>
      <c r="J105" s="126" t="b">
        <v>0</v>
      </c>
      <c r="K105" s="126" t="b">
        <v>0</v>
      </c>
      <c r="L105" s="126" t="b">
        <v>0</v>
      </c>
    </row>
    <row r="106" spans="1:12" ht="15">
      <c r="A106" s="126" t="s">
        <v>716</v>
      </c>
      <c r="B106" s="126" t="s">
        <v>720</v>
      </c>
      <c r="C106" s="126">
        <v>4</v>
      </c>
      <c r="D106" s="128">
        <v>0.002152308668200448</v>
      </c>
      <c r="E106" s="128">
        <v>0.11558385697826436</v>
      </c>
      <c r="F106" s="126" t="s">
        <v>982</v>
      </c>
      <c r="G106" s="126" t="b">
        <v>0</v>
      </c>
      <c r="H106" s="126" t="b">
        <v>0</v>
      </c>
      <c r="I106" s="126" t="b">
        <v>0</v>
      </c>
      <c r="J106" s="126" t="b">
        <v>0</v>
      </c>
      <c r="K106" s="126" t="b">
        <v>0</v>
      </c>
      <c r="L106" s="126" t="b">
        <v>0</v>
      </c>
    </row>
    <row r="107" spans="1:12" ht="15">
      <c r="A107" s="126" t="s">
        <v>773</v>
      </c>
      <c r="B107" s="126" t="s">
        <v>781</v>
      </c>
      <c r="C107" s="126">
        <v>4</v>
      </c>
      <c r="D107" s="128">
        <v>0.002152308668200448</v>
      </c>
      <c r="E107" s="128">
        <v>2.4830640218849487</v>
      </c>
      <c r="F107" s="126" t="s">
        <v>982</v>
      </c>
      <c r="G107" s="126" t="b">
        <v>0</v>
      </c>
      <c r="H107" s="126" t="b">
        <v>0</v>
      </c>
      <c r="I107" s="126" t="b">
        <v>0</v>
      </c>
      <c r="J107" s="126" t="b">
        <v>0</v>
      </c>
      <c r="K107" s="126" t="b">
        <v>0</v>
      </c>
      <c r="L107" s="126" t="b">
        <v>0</v>
      </c>
    </row>
    <row r="108" spans="1:12" ht="15">
      <c r="A108" s="126" t="s">
        <v>717</v>
      </c>
      <c r="B108" s="126" t="s">
        <v>818</v>
      </c>
      <c r="C108" s="126">
        <v>4</v>
      </c>
      <c r="D108" s="128">
        <v>0.0023645188365372634</v>
      </c>
      <c r="E108" s="128">
        <v>1.3410919459778683</v>
      </c>
      <c r="F108" s="126" t="s">
        <v>982</v>
      </c>
      <c r="G108" s="126" t="b">
        <v>0</v>
      </c>
      <c r="H108" s="126" t="b">
        <v>0</v>
      </c>
      <c r="I108" s="126" t="b">
        <v>0</v>
      </c>
      <c r="J108" s="126" t="b">
        <v>0</v>
      </c>
      <c r="K108" s="126" t="b">
        <v>1</v>
      </c>
      <c r="L108" s="126" t="b">
        <v>0</v>
      </c>
    </row>
    <row r="109" spans="1:12" ht="15">
      <c r="A109" s="126" t="s">
        <v>715</v>
      </c>
      <c r="B109" s="126" t="s">
        <v>819</v>
      </c>
      <c r="C109" s="126">
        <v>4</v>
      </c>
      <c r="D109" s="128">
        <v>0.0023645188365372634</v>
      </c>
      <c r="E109" s="128">
        <v>0.8516202528717765</v>
      </c>
      <c r="F109" s="126" t="s">
        <v>982</v>
      </c>
      <c r="G109" s="126" t="b">
        <v>0</v>
      </c>
      <c r="H109" s="126" t="b">
        <v>0</v>
      </c>
      <c r="I109" s="126" t="b">
        <v>0</v>
      </c>
      <c r="J109" s="126" t="b">
        <v>0</v>
      </c>
      <c r="K109" s="126" t="b">
        <v>0</v>
      </c>
      <c r="L109" s="126" t="b">
        <v>0</v>
      </c>
    </row>
    <row r="110" spans="1:12" ht="15">
      <c r="A110" s="126" t="s">
        <v>819</v>
      </c>
      <c r="B110" s="126" t="s">
        <v>820</v>
      </c>
      <c r="C110" s="126">
        <v>4</v>
      </c>
      <c r="D110" s="128">
        <v>0.0023645188365372634</v>
      </c>
      <c r="E110" s="128">
        <v>2.7560652939486863</v>
      </c>
      <c r="F110" s="126" t="s">
        <v>982</v>
      </c>
      <c r="G110" s="126" t="b">
        <v>0</v>
      </c>
      <c r="H110" s="126" t="b">
        <v>0</v>
      </c>
      <c r="I110" s="126" t="b">
        <v>0</v>
      </c>
      <c r="J110" s="126" t="b">
        <v>0</v>
      </c>
      <c r="K110" s="126" t="b">
        <v>0</v>
      </c>
      <c r="L110" s="126" t="b">
        <v>0</v>
      </c>
    </row>
    <row r="111" spans="1:12" ht="15">
      <c r="A111" s="126" t="s">
        <v>821</v>
      </c>
      <c r="B111" s="126" t="s">
        <v>822</v>
      </c>
      <c r="C111" s="126">
        <v>4</v>
      </c>
      <c r="D111" s="128">
        <v>0.0026636122701774864</v>
      </c>
      <c r="E111" s="128">
        <v>2.7560652939486863</v>
      </c>
      <c r="F111" s="126" t="s">
        <v>982</v>
      </c>
      <c r="G111" s="126" t="b">
        <v>0</v>
      </c>
      <c r="H111" s="126" t="b">
        <v>0</v>
      </c>
      <c r="I111" s="126" t="b">
        <v>0</v>
      </c>
      <c r="J111" s="126" t="b">
        <v>0</v>
      </c>
      <c r="K111" s="126" t="b">
        <v>0</v>
      </c>
      <c r="L111" s="126" t="b">
        <v>0</v>
      </c>
    </row>
    <row r="112" spans="1:12" ht="15">
      <c r="A112" s="126" t="s">
        <v>715</v>
      </c>
      <c r="B112" s="126" t="s">
        <v>752</v>
      </c>
      <c r="C112" s="126">
        <v>4</v>
      </c>
      <c r="D112" s="128">
        <v>0.0026636122701774864</v>
      </c>
      <c r="E112" s="128">
        <v>0.49943773476041403</v>
      </c>
      <c r="F112" s="126" t="s">
        <v>982</v>
      </c>
      <c r="G112" s="126" t="b">
        <v>0</v>
      </c>
      <c r="H112" s="126" t="b">
        <v>0</v>
      </c>
      <c r="I112" s="126" t="b">
        <v>0</v>
      </c>
      <c r="J112" s="126" t="b">
        <v>0</v>
      </c>
      <c r="K112" s="126" t="b">
        <v>0</v>
      </c>
      <c r="L112" s="126" t="b">
        <v>0</v>
      </c>
    </row>
    <row r="113" spans="1:12" ht="15">
      <c r="A113" s="126" t="s">
        <v>752</v>
      </c>
      <c r="B113" s="126" t="s">
        <v>716</v>
      </c>
      <c r="C113" s="126">
        <v>4</v>
      </c>
      <c r="D113" s="128">
        <v>0.0026636122701774864</v>
      </c>
      <c r="E113" s="128">
        <v>0.9164301496359315</v>
      </c>
      <c r="F113" s="126" t="s">
        <v>982</v>
      </c>
      <c r="G113" s="126" t="b">
        <v>0</v>
      </c>
      <c r="H113" s="126" t="b">
        <v>0</v>
      </c>
      <c r="I113" s="126" t="b">
        <v>0</v>
      </c>
      <c r="J113" s="126" t="b">
        <v>0</v>
      </c>
      <c r="K113" s="126" t="b">
        <v>0</v>
      </c>
      <c r="L113" s="126" t="b">
        <v>0</v>
      </c>
    </row>
    <row r="114" spans="1:12" ht="15">
      <c r="A114" s="126" t="s">
        <v>823</v>
      </c>
      <c r="B114" s="126" t="s">
        <v>776</v>
      </c>
      <c r="C114" s="126">
        <v>4</v>
      </c>
      <c r="D114" s="128">
        <v>0.0031749158721545243</v>
      </c>
      <c r="E114" s="128">
        <v>2.579974034893005</v>
      </c>
      <c r="F114" s="126" t="s">
        <v>982</v>
      </c>
      <c r="G114" s="126" t="b">
        <v>0</v>
      </c>
      <c r="H114" s="126" t="b">
        <v>0</v>
      </c>
      <c r="I114" s="126" t="b">
        <v>0</v>
      </c>
      <c r="J114" s="126" t="b">
        <v>0</v>
      </c>
      <c r="K114" s="126" t="b">
        <v>0</v>
      </c>
      <c r="L114" s="126" t="b">
        <v>0</v>
      </c>
    </row>
    <row r="115" spans="1:12" ht="15">
      <c r="A115" s="126" t="s">
        <v>746</v>
      </c>
      <c r="B115" s="126" t="s">
        <v>825</v>
      </c>
      <c r="C115" s="126">
        <v>4</v>
      </c>
      <c r="D115" s="128">
        <v>0.0023645188365372634</v>
      </c>
      <c r="E115" s="128">
        <v>2.3581252852766488</v>
      </c>
      <c r="F115" s="126" t="s">
        <v>982</v>
      </c>
      <c r="G115" s="126" t="b">
        <v>0</v>
      </c>
      <c r="H115" s="126" t="b">
        <v>0</v>
      </c>
      <c r="I115" s="126" t="b">
        <v>0</v>
      </c>
      <c r="J115" s="126" t="b">
        <v>0</v>
      </c>
      <c r="K115" s="126" t="b">
        <v>0</v>
      </c>
      <c r="L115" s="126" t="b">
        <v>0</v>
      </c>
    </row>
    <row r="116" spans="1:12" ht="15">
      <c r="A116" s="126" t="s">
        <v>760</v>
      </c>
      <c r="B116" s="126" t="s">
        <v>788</v>
      </c>
      <c r="C116" s="126">
        <v>4</v>
      </c>
      <c r="D116" s="128">
        <v>0.0026636122701774864</v>
      </c>
      <c r="E116" s="128">
        <v>2.4830640218849487</v>
      </c>
      <c r="F116" s="126" t="s">
        <v>982</v>
      </c>
      <c r="G116" s="126" t="b">
        <v>0</v>
      </c>
      <c r="H116" s="126" t="b">
        <v>0</v>
      </c>
      <c r="I116" s="126" t="b">
        <v>0</v>
      </c>
      <c r="J116" s="126" t="b">
        <v>0</v>
      </c>
      <c r="K116" s="126" t="b">
        <v>0</v>
      </c>
      <c r="L116" s="126" t="b">
        <v>0</v>
      </c>
    </row>
    <row r="117" spans="1:12" ht="15">
      <c r="A117" s="126" t="s">
        <v>746</v>
      </c>
      <c r="B117" s="126" t="s">
        <v>746</v>
      </c>
      <c r="C117" s="126">
        <v>4</v>
      </c>
      <c r="D117" s="128">
        <v>0.0026636122701774864</v>
      </c>
      <c r="E117" s="128">
        <v>2.0570952896126675</v>
      </c>
      <c r="F117" s="126" t="s">
        <v>982</v>
      </c>
      <c r="G117" s="126" t="b">
        <v>0</v>
      </c>
      <c r="H117" s="126" t="b">
        <v>0</v>
      </c>
      <c r="I117" s="126" t="b">
        <v>0</v>
      </c>
      <c r="J117" s="126" t="b">
        <v>0</v>
      </c>
      <c r="K117" s="126" t="b">
        <v>0</v>
      </c>
      <c r="L117" s="126" t="b">
        <v>0</v>
      </c>
    </row>
    <row r="118" spans="1:12" ht="15">
      <c r="A118" s="126" t="s">
        <v>715</v>
      </c>
      <c r="B118" s="126" t="s">
        <v>827</v>
      </c>
      <c r="C118" s="126">
        <v>4</v>
      </c>
      <c r="D118" s="128">
        <v>0.002152308668200448</v>
      </c>
      <c r="E118" s="128">
        <v>0.8516202528717765</v>
      </c>
      <c r="F118" s="126" t="s">
        <v>982</v>
      </c>
      <c r="G118" s="126" t="b">
        <v>0</v>
      </c>
      <c r="H118" s="126" t="b">
        <v>0</v>
      </c>
      <c r="I118" s="126" t="b">
        <v>0</v>
      </c>
      <c r="J118" s="126" t="b">
        <v>0</v>
      </c>
      <c r="K118" s="126" t="b">
        <v>0</v>
      </c>
      <c r="L118" s="126" t="b">
        <v>0</v>
      </c>
    </row>
    <row r="119" spans="1:12" ht="15">
      <c r="A119" s="126" t="s">
        <v>728</v>
      </c>
      <c r="B119" s="126" t="s">
        <v>715</v>
      </c>
      <c r="C119" s="126">
        <v>4</v>
      </c>
      <c r="D119" s="128">
        <v>0.002152308668200448</v>
      </c>
      <c r="E119" s="128">
        <v>0.18727708163333928</v>
      </c>
      <c r="F119" s="126" t="s">
        <v>982</v>
      </c>
      <c r="G119" s="126" t="b">
        <v>0</v>
      </c>
      <c r="H119" s="126" t="b">
        <v>0</v>
      </c>
      <c r="I119" s="126" t="b">
        <v>0</v>
      </c>
      <c r="J119" s="126" t="b">
        <v>0</v>
      </c>
      <c r="K119" s="126" t="b">
        <v>0</v>
      </c>
      <c r="L119" s="126" t="b">
        <v>0</v>
      </c>
    </row>
    <row r="120" spans="1:12" ht="15">
      <c r="A120" s="126" t="s">
        <v>762</v>
      </c>
      <c r="B120" s="126" t="s">
        <v>828</v>
      </c>
      <c r="C120" s="126">
        <v>4</v>
      </c>
      <c r="D120" s="128">
        <v>0.0031749158721545243</v>
      </c>
      <c r="E120" s="128">
        <v>2.513027245262392</v>
      </c>
      <c r="F120" s="126" t="s">
        <v>982</v>
      </c>
      <c r="G120" s="126" t="b">
        <v>0</v>
      </c>
      <c r="H120" s="126" t="b">
        <v>0</v>
      </c>
      <c r="I120" s="126" t="b">
        <v>0</v>
      </c>
      <c r="J120" s="126" t="b">
        <v>0</v>
      </c>
      <c r="K120" s="126" t="b">
        <v>0</v>
      </c>
      <c r="L120" s="126" t="b">
        <v>0</v>
      </c>
    </row>
    <row r="121" spans="1:12" ht="15">
      <c r="A121" s="126" t="s">
        <v>758</v>
      </c>
      <c r="B121" s="126" t="s">
        <v>830</v>
      </c>
      <c r="C121" s="126">
        <v>4</v>
      </c>
      <c r="D121" s="128">
        <v>0.0031749158721545243</v>
      </c>
      <c r="E121" s="128">
        <v>2.513027245262392</v>
      </c>
      <c r="F121" s="126" t="s">
        <v>982</v>
      </c>
      <c r="G121" s="126" t="b">
        <v>0</v>
      </c>
      <c r="H121" s="126" t="b">
        <v>0</v>
      </c>
      <c r="I121" s="126" t="b">
        <v>0</v>
      </c>
      <c r="J121" s="126" t="b">
        <v>0</v>
      </c>
      <c r="K121" s="126" t="b">
        <v>0</v>
      </c>
      <c r="L121" s="126" t="b">
        <v>0</v>
      </c>
    </row>
    <row r="122" spans="1:12" ht="15">
      <c r="A122" s="126" t="s">
        <v>716</v>
      </c>
      <c r="B122" s="126" t="s">
        <v>730</v>
      </c>
      <c r="C122" s="126">
        <v>4</v>
      </c>
      <c r="D122" s="128">
        <v>0.0023645188365372634</v>
      </c>
      <c r="E122" s="128">
        <v>0.6643983363530016</v>
      </c>
      <c r="F122" s="126" t="s">
        <v>982</v>
      </c>
      <c r="G122" s="126" t="b">
        <v>0</v>
      </c>
      <c r="H122" s="126" t="b">
        <v>0</v>
      </c>
      <c r="I122" s="126" t="b">
        <v>0</v>
      </c>
      <c r="J122" s="126" t="b">
        <v>0</v>
      </c>
      <c r="K122" s="126" t="b">
        <v>0</v>
      </c>
      <c r="L122" s="126" t="b">
        <v>0</v>
      </c>
    </row>
    <row r="123" spans="1:12" ht="15">
      <c r="A123" s="126" t="s">
        <v>718</v>
      </c>
      <c r="B123" s="126" t="s">
        <v>724</v>
      </c>
      <c r="C123" s="126">
        <v>4</v>
      </c>
      <c r="D123" s="128">
        <v>0.0026636122701774864</v>
      </c>
      <c r="E123" s="128">
        <v>0.5245001386629811</v>
      </c>
      <c r="F123" s="126" t="s">
        <v>982</v>
      </c>
      <c r="G123" s="126" t="b">
        <v>0</v>
      </c>
      <c r="H123" s="126" t="b">
        <v>0</v>
      </c>
      <c r="I123" s="126" t="b">
        <v>0</v>
      </c>
      <c r="J123" s="126" t="b">
        <v>0</v>
      </c>
      <c r="K123" s="126" t="b">
        <v>0</v>
      </c>
      <c r="L123" s="126" t="b">
        <v>0</v>
      </c>
    </row>
    <row r="124" spans="1:12" ht="15">
      <c r="A124" s="126" t="s">
        <v>735</v>
      </c>
      <c r="B124" s="126" t="s">
        <v>720</v>
      </c>
      <c r="C124" s="126">
        <v>4</v>
      </c>
      <c r="D124" s="128">
        <v>0.0031749158721545243</v>
      </c>
      <c r="E124" s="128">
        <v>1.1213361858673556</v>
      </c>
      <c r="F124" s="126" t="s">
        <v>982</v>
      </c>
      <c r="G124" s="126" t="b">
        <v>0</v>
      </c>
      <c r="H124" s="126" t="b">
        <v>0</v>
      </c>
      <c r="I124" s="126" t="b">
        <v>0</v>
      </c>
      <c r="J124" s="126" t="b">
        <v>0</v>
      </c>
      <c r="K124" s="126" t="b">
        <v>0</v>
      </c>
      <c r="L124" s="126" t="b">
        <v>0</v>
      </c>
    </row>
    <row r="125" spans="1:12" ht="15">
      <c r="A125" s="126" t="s">
        <v>755</v>
      </c>
      <c r="B125" s="126" t="s">
        <v>832</v>
      </c>
      <c r="C125" s="126">
        <v>4</v>
      </c>
      <c r="D125" s="128">
        <v>0.0031749158721545243</v>
      </c>
      <c r="E125" s="128">
        <v>2.4038827758373236</v>
      </c>
      <c r="F125" s="126" t="s">
        <v>982</v>
      </c>
      <c r="G125" s="126" t="b">
        <v>0</v>
      </c>
      <c r="H125" s="126" t="b">
        <v>0</v>
      </c>
      <c r="I125" s="126" t="b">
        <v>0</v>
      </c>
      <c r="J125" s="126" t="b">
        <v>0</v>
      </c>
      <c r="K125" s="126" t="b">
        <v>0</v>
      </c>
      <c r="L125" s="126" t="b">
        <v>0</v>
      </c>
    </row>
    <row r="126" spans="1:12" ht="15">
      <c r="A126" s="126" t="s">
        <v>724</v>
      </c>
      <c r="B126" s="126" t="s">
        <v>767</v>
      </c>
      <c r="C126" s="126">
        <v>4</v>
      </c>
      <c r="D126" s="128">
        <v>0.0031749158721545243</v>
      </c>
      <c r="E126" s="128">
        <v>1.652689238691398</v>
      </c>
      <c r="F126" s="126" t="s">
        <v>982</v>
      </c>
      <c r="G126" s="126" t="b">
        <v>0</v>
      </c>
      <c r="H126" s="126" t="b">
        <v>0</v>
      </c>
      <c r="I126" s="126" t="b">
        <v>0</v>
      </c>
      <c r="J126" s="126" t="b">
        <v>0</v>
      </c>
      <c r="K126" s="126" t="b">
        <v>0</v>
      </c>
      <c r="L126" s="126" t="b">
        <v>0</v>
      </c>
    </row>
    <row r="127" spans="1:12" ht="15">
      <c r="A127" s="126" t="s">
        <v>793</v>
      </c>
      <c r="B127" s="126" t="s">
        <v>834</v>
      </c>
      <c r="C127" s="126">
        <v>3</v>
      </c>
      <c r="D127" s="128">
        <v>0.0023811869041158932</v>
      </c>
      <c r="E127" s="128">
        <v>2.7560652939486863</v>
      </c>
      <c r="F127" s="126" t="s">
        <v>982</v>
      </c>
      <c r="G127" s="126" t="b">
        <v>1</v>
      </c>
      <c r="H127" s="126" t="b">
        <v>0</v>
      </c>
      <c r="I127" s="126" t="b">
        <v>0</v>
      </c>
      <c r="J127" s="126" t="b">
        <v>0</v>
      </c>
      <c r="K127" s="126" t="b">
        <v>0</v>
      </c>
      <c r="L127" s="126" t="b">
        <v>0</v>
      </c>
    </row>
    <row r="128" spans="1:12" ht="15">
      <c r="A128" s="126" t="s">
        <v>834</v>
      </c>
      <c r="B128" s="126" t="s">
        <v>835</v>
      </c>
      <c r="C128" s="126">
        <v>3</v>
      </c>
      <c r="D128" s="128">
        <v>0.0023811869041158932</v>
      </c>
      <c r="E128" s="128">
        <v>2.881004030556986</v>
      </c>
      <c r="F128" s="126" t="s">
        <v>982</v>
      </c>
      <c r="G128" s="126" t="b">
        <v>0</v>
      </c>
      <c r="H128" s="126" t="b">
        <v>0</v>
      </c>
      <c r="I128" s="126" t="b">
        <v>0</v>
      </c>
      <c r="J128" s="126" t="b">
        <v>0</v>
      </c>
      <c r="K128" s="126" t="b">
        <v>0</v>
      </c>
      <c r="L128" s="126" t="b">
        <v>0</v>
      </c>
    </row>
    <row r="129" spans="1:12" ht="15">
      <c r="A129" s="126" t="s">
        <v>841</v>
      </c>
      <c r="B129" s="126" t="s">
        <v>842</v>
      </c>
      <c r="C129" s="126">
        <v>3</v>
      </c>
      <c r="D129" s="128">
        <v>0.0019977092026331146</v>
      </c>
      <c r="E129" s="128">
        <v>2.881004030556986</v>
      </c>
      <c r="F129" s="126" t="s">
        <v>982</v>
      </c>
      <c r="G129" s="126" t="b">
        <v>0</v>
      </c>
      <c r="H129" s="126" t="b">
        <v>0</v>
      </c>
      <c r="I129" s="126" t="b">
        <v>0</v>
      </c>
      <c r="J129" s="126" t="b">
        <v>0</v>
      </c>
      <c r="K129" s="126" t="b">
        <v>0</v>
      </c>
      <c r="L129" s="126" t="b">
        <v>0</v>
      </c>
    </row>
    <row r="130" spans="1:12" ht="15">
      <c r="A130" s="126" t="s">
        <v>843</v>
      </c>
      <c r="B130" s="126" t="s">
        <v>844</v>
      </c>
      <c r="C130" s="126">
        <v>3</v>
      </c>
      <c r="D130" s="128">
        <v>0.0019977092026331146</v>
      </c>
      <c r="E130" s="128">
        <v>2.881004030556986</v>
      </c>
      <c r="F130" s="126" t="s">
        <v>982</v>
      </c>
      <c r="G130" s="126" t="b">
        <v>0</v>
      </c>
      <c r="H130" s="126" t="b">
        <v>0</v>
      </c>
      <c r="I130" s="126" t="b">
        <v>0</v>
      </c>
      <c r="J130" s="126" t="b">
        <v>0</v>
      </c>
      <c r="K130" s="126" t="b">
        <v>0</v>
      </c>
      <c r="L130" s="126" t="b">
        <v>0</v>
      </c>
    </row>
    <row r="131" spans="1:12" ht="15">
      <c r="A131" s="126" t="s">
        <v>761</v>
      </c>
      <c r="B131" s="126" t="s">
        <v>723</v>
      </c>
      <c r="C131" s="126">
        <v>3</v>
      </c>
      <c r="D131" s="128">
        <v>0.0017733891274029476</v>
      </c>
      <c r="E131" s="128">
        <v>1.5277505020830981</v>
      </c>
      <c r="F131" s="126" t="s">
        <v>982</v>
      </c>
      <c r="G131" s="126" t="b">
        <v>0</v>
      </c>
      <c r="H131" s="126" t="b">
        <v>0</v>
      </c>
      <c r="I131" s="126" t="b">
        <v>0</v>
      </c>
      <c r="J131" s="126" t="b">
        <v>0</v>
      </c>
      <c r="K131" s="126" t="b">
        <v>0</v>
      </c>
      <c r="L131" s="126" t="b">
        <v>0</v>
      </c>
    </row>
    <row r="132" spans="1:12" ht="15">
      <c r="A132" s="126" t="s">
        <v>845</v>
      </c>
      <c r="B132" s="126" t="s">
        <v>846</v>
      </c>
      <c r="C132" s="126">
        <v>3</v>
      </c>
      <c r="D132" s="128">
        <v>0.0017733891274029476</v>
      </c>
      <c r="E132" s="128">
        <v>2.881004030556986</v>
      </c>
      <c r="F132" s="126" t="s">
        <v>982</v>
      </c>
      <c r="G132" s="126" t="b">
        <v>0</v>
      </c>
      <c r="H132" s="126" t="b">
        <v>0</v>
      </c>
      <c r="I132" s="126" t="b">
        <v>0</v>
      </c>
      <c r="J132" s="126" t="b">
        <v>0</v>
      </c>
      <c r="K132" s="126" t="b">
        <v>0</v>
      </c>
      <c r="L132" s="126" t="b">
        <v>0</v>
      </c>
    </row>
    <row r="133" spans="1:12" ht="15">
      <c r="A133" s="126" t="s">
        <v>820</v>
      </c>
      <c r="B133" s="126" t="s">
        <v>715</v>
      </c>
      <c r="C133" s="126">
        <v>3</v>
      </c>
      <c r="D133" s="128">
        <v>0.0017733891274029476</v>
      </c>
      <c r="E133" s="128">
        <v>0.7390319546499059</v>
      </c>
      <c r="F133" s="126" t="s">
        <v>982</v>
      </c>
      <c r="G133" s="126" t="b">
        <v>0</v>
      </c>
      <c r="H133" s="126" t="b">
        <v>0</v>
      </c>
      <c r="I133" s="126" t="b">
        <v>0</v>
      </c>
      <c r="J133" s="126" t="b">
        <v>0</v>
      </c>
      <c r="K133" s="126" t="b">
        <v>0</v>
      </c>
      <c r="L133" s="126" t="b">
        <v>0</v>
      </c>
    </row>
    <row r="134" spans="1:12" ht="15">
      <c r="A134" s="126" t="s">
        <v>733</v>
      </c>
      <c r="B134" s="126" t="s">
        <v>715</v>
      </c>
      <c r="C134" s="126">
        <v>3</v>
      </c>
      <c r="D134" s="128">
        <v>0.0017733891274029476</v>
      </c>
      <c r="E134" s="128">
        <v>0.19496391029963026</v>
      </c>
      <c r="F134" s="126" t="s">
        <v>982</v>
      </c>
      <c r="G134" s="126" t="b">
        <v>0</v>
      </c>
      <c r="H134" s="126" t="b">
        <v>0</v>
      </c>
      <c r="I134" s="126" t="b">
        <v>0</v>
      </c>
      <c r="J134" s="126" t="b">
        <v>0</v>
      </c>
      <c r="K134" s="126" t="b">
        <v>0</v>
      </c>
      <c r="L134" s="126" t="b">
        <v>0</v>
      </c>
    </row>
    <row r="135" spans="1:12" ht="15">
      <c r="A135" s="126" t="s">
        <v>716</v>
      </c>
      <c r="B135" s="126" t="s">
        <v>728</v>
      </c>
      <c r="C135" s="126">
        <v>3</v>
      </c>
      <c r="D135" s="128">
        <v>0.0017733891274029476</v>
      </c>
      <c r="E135" s="128">
        <v>0.35237295638755733</v>
      </c>
      <c r="F135" s="126" t="s">
        <v>982</v>
      </c>
      <c r="G135" s="126" t="b">
        <v>0</v>
      </c>
      <c r="H135" s="126" t="b">
        <v>0</v>
      </c>
      <c r="I135" s="126" t="b">
        <v>0</v>
      </c>
      <c r="J135" s="126" t="b">
        <v>0</v>
      </c>
      <c r="K135" s="126" t="b">
        <v>0</v>
      </c>
      <c r="L135" s="126" t="b">
        <v>0</v>
      </c>
    </row>
    <row r="136" spans="1:12" ht="15">
      <c r="A136" s="126" t="s">
        <v>851</v>
      </c>
      <c r="B136" s="126" t="s">
        <v>824</v>
      </c>
      <c r="C136" s="126">
        <v>3</v>
      </c>
      <c r="D136" s="128">
        <v>0.0023811869041158932</v>
      </c>
      <c r="E136" s="128">
        <v>2.7560652939486863</v>
      </c>
      <c r="F136" s="126" t="s">
        <v>982</v>
      </c>
      <c r="G136" s="126" t="b">
        <v>0</v>
      </c>
      <c r="H136" s="126" t="b">
        <v>0</v>
      </c>
      <c r="I136" s="126" t="b">
        <v>0</v>
      </c>
      <c r="J136" s="126" t="b">
        <v>0</v>
      </c>
      <c r="K136" s="126" t="b">
        <v>0</v>
      </c>
      <c r="L136" s="126" t="b">
        <v>0</v>
      </c>
    </row>
    <row r="137" spans="1:12" ht="15">
      <c r="A137" s="126" t="s">
        <v>762</v>
      </c>
      <c r="B137" s="126" t="s">
        <v>789</v>
      </c>
      <c r="C137" s="126">
        <v>3</v>
      </c>
      <c r="D137" s="128">
        <v>0.0017733891274029476</v>
      </c>
      <c r="E137" s="128">
        <v>2.2911784956460353</v>
      </c>
      <c r="F137" s="126" t="s">
        <v>982</v>
      </c>
      <c r="G137" s="126" t="b">
        <v>0</v>
      </c>
      <c r="H137" s="126" t="b">
        <v>0</v>
      </c>
      <c r="I137" s="126" t="b">
        <v>0</v>
      </c>
      <c r="J137" s="126" t="b">
        <v>0</v>
      </c>
      <c r="K137" s="126" t="b">
        <v>0</v>
      </c>
      <c r="L137" s="126" t="b">
        <v>0</v>
      </c>
    </row>
    <row r="138" spans="1:12" ht="15">
      <c r="A138" s="126" t="s">
        <v>722</v>
      </c>
      <c r="B138" s="126" t="s">
        <v>717</v>
      </c>
      <c r="C138" s="126">
        <v>3</v>
      </c>
      <c r="D138" s="128">
        <v>0.0017733891274029476</v>
      </c>
      <c r="E138" s="128">
        <v>0.274145156347255</v>
      </c>
      <c r="F138" s="126" t="s">
        <v>982</v>
      </c>
      <c r="G138" s="126" t="b">
        <v>0</v>
      </c>
      <c r="H138" s="126" t="b">
        <v>0</v>
      </c>
      <c r="I138" s="126" t="b">
        <v>0</v>
      </c>
      <c r="J138" s="126" t="b">
        <v>0</v>
      </c>
      <c r="K138" s="126" t="b">
        <v>0</v>
      </c>
      <c r="L138" s="126" t="b">
        <v>0</v>
      </c>
    </row>
    <row r="139" spans="1:12" ht="15">
      <c r="A139" s="126" t="s">
        <v>750</v>
      </c>
      <c r="B139" s="126" t="s">
        <v>750</v>
      </c>
      <c r="C139" s="126">
        <v>3</v>
      </c>
      <c r="D139" s="128">
        <v>0.0019977092026331146</v>
      </c>
      <c r="E139" s="128">
        <v>1.9267615211176612</v>
      </c>
      <c r="F139" s="126" t="s">
        <v>982</v>
      </c>
      <c r="G139" s="126" t="b">
        <v>0</v>
      </c>
      <c r="H139" s="126" t="b">
        <v>1</v>
      </c>
      <c r="I139" s="126" t="b">
        <v>0</v>
      </c>
      <c r="J139" s="126" t="b">
        <v>0</v>
      </c>
      <c r="K139" s="126" t="b">
        <v>1</v>
      </c>
      <c r="L139" s="126" t="b">
        <v>0</v>
      </c>
    </row>
    <row r="140" spans="1:12" ht="15">
      <c r="A140" s="126" t="s">
        <v>722</v>
      </c>
      <c r="B140" s="126" t="s">
        <v>716</v>
      </c>
      <c r="C140" s="126">
        <v>3</v>
      </c>
      <c r="D140" s="128">
        <v>0.0017733891274029476</v>
      </c>
      <c r="E140" s="128">
        <v>0.0925214086916128</v>
      </c>
      <c r="F140" s="126" t="s">
        <v>982</v>
      </c>
      <c r="G140" s="126" t="b">
        <v>0</v>
      </c>
      <c r="H140" s="126" t="b">
        <v>0</v>
      </c>
      <c r="I140" s="126" t="b">
        <v>0</v>
      </c>
      <c r="J140" s="126" t="b">
        <v>0</v>
      </c>
      <c r="K140" s="126" t="b">
        <v>0</v>
      </c>
      <c r="L140" s="126" t="b">
        <v>0</v>
      </c>
    </row>
    <row r="141" spans="1:12" ht="15">
      <c r="A141" s="126" t="s">
        <v>716</v>
      </c>
      <c r="B141" s="126" t="s">
        <v>747</v>
      </c>
      <c r="C141" s="126">
        <v>3</v>
      </c>
      <c r="D141" s="128">
        <v>0.0019977092026331146</v>
      </c>
      <c r="E141" s="128">
        <v>0.6534029520515385</v>
      </c>
      <c r="F141" s="126" t="s">
        <v>982</v>
      </c>
      <c r="G141" s="126" t="b">
        <v>0</v>
      </c>
      <c r="H141" s="126" t="b">
        <v>0</v>
      </c>
      <c r="I141" s="126" t="b">
        <v>0</v>
      </c>
      <c r="J141" s="126" t="b">
        <v>0</v>
      </c>
      <c r="K141" s="126" t="b">
        <v>0</v>
      </c>
      <c r="L141" s="126" t="b">
        <v>0</v>
      </c>
    </row>
    <row r="142" spans="1:12" ht="15">
      <c r="A142" s="126" t="s">
        <v>733</v>
      </c>
      <c r="B142" s="126" t="s">
        <v>747</v>
      </c>
      <c r="C142" s="126">
        <v>3</v>
      </c>
      <c r="D142" s="128">
        <v>0.0019977092026331146</v>
      </c>
      <c r="E142" s="128">
        <v>1.689118504318073</v>
      </c>
      <c r="F142" s="126" t="s">
        <v>982</v>
      </c>
      <c r="G142" s="126" t="b">
        <v>0</v>
      </c>
      <c r="H142" s="126" t="b">
        <v>0</v>
      </c>
      <c r="I142" s="126" t="b">
        <v>0</v>
      </c>
      <c r="J142" s="126" t="b">
        <v>0</v>
      </c>
      <c r="K142" s="126" t="b">
        <v>0</v>
      </c>
      <c r="L142" s="126" t="b">
        <v>0</v>
      </c>
    </row>
    <row r="143" spans="1:12" ht="15">
      <c r="A143" s="126" t="s">
        <v>858</v>
      </c>
      <c r="B143" s="126" t="s">
        <v>859</v>
      </c>
      <c r="C143" s="126">
        <v>3</v>
      </c>
      <c r="D143" s="128">
        <v>0.0023811869041158932</v>
      </c>
      <c r="E143" s="128">
        <v>2.881004030556986</v>
      </c>
      <c r="F143" s="126" t="s">
        <v>982</v>
      </c>
      <c r="G143" s="126" t="b">
        <v>0</v>
      </c>
      <c r="H143" s="126" t="b">
        <v>1</v>
      </c>
      <c r="I143" s="126" t="b">
        <v>0</v>
      </c>
      <c r="J143" s="126" t="b">
        <v>0</v>
      </c>
      <c r="K143" s="126" t="b">
        <v>0</v>
      </c>
      <c r="L143" s="126" t="b">
        <v>0</v>
      </c>
    </row>
    <row r="144" spans="1:12" ht="15">
      <c r="A144" s="126" t="s">
        <v>723</v>
      </c>
      <c r="B144" s="126" t="s">
        <v>718</v>
      </c>
      <c r="C144" s="126">
        <v>3</v>
      </c>
      <c r="D144" s="128">
        <v>0.0019977092026331146</v>
      </c>
      <c r="E144" s="128">
        <v>0.377213347499805</v>
      </c>
      <c r="F144" s="126" t="s">
        <v>982</v>
      </c>
      <c r="G144" s="126" t="b">
        <v>0</v>
      </c>
      <c r="H144" s="126" t="b">
        <v>0</v>
      </c>
      <c r="I144" s="126" t="b">
        <v>0</v>
      </c>
      <c r="J144" s="126" t="b">
        <v>0</v>
      </c>
      <c r="K144" s="126" t="b">
        <v>0</v>
      </c>
      <c r="L144" s="126" t="b">
        <v>0</v>
      </c>
    </row>
    <row r="145" spans="1:12" ht="15">
      <c r="A145" s="126" t="s">
        <v>731</v>
      </c>
      <c r="B145" s="126" t="s">
        <v>792</v>
      </c>
      <c r="C145" s="126">
        <v>3</v>
      </c>
      <c r="D145" s="128">
        <v>0.0019977092026331146</v>
      </c>
      <c r="E145" s="128">
        <v>1.9058276142820183</v>
      </c>
      <c r="F145" s="126" t="s">
        <v>982</v>
      </c>
      <c r="G145" s="126" t="b">
        <v>0</v>
      </c>
      <c r="H145" s="126" t="b">
        <v>0</v>
      </c>
      <c r="I145" s="126" t="b">
        <v>0</v>
      </c>
      <c r="J145" s="126" t="b">
        <v>0</v>
      </c>
      <c r="K145" s="126" t="b">
        <v>0</v>
      </c>
      <c r="L145" s="126" t="b">
        <v>0</v>
      </c>
    </row>
    <row r="146" spans="1:12" ht="15">
      <c r="A146" s="126" t="s">
        <v>792</v>
      </c>
      <c r="B146" s="126" t="s">
        <v>739</v>
      </c>
      <c r="C146" s="126">
        <v>3</v>
      </c>
      <c r="D146" s="128">
        <v>0.0017733891274029476</v>
      </c>
      <c r="E146" s="128">
        <v>2.0223331833534552</v>
      </c>
      <c r="F146" s="126" t="s">
        <v>982</v>
      </c>
      <c r="G146" s="126" t="b">
        <v>0</v>
      </c>
      <c r="H146" s="126" t="b">
        <v>0</v>
      </c>
      <c r="I146" s="126" t="b">
        <v>0</v>
      </c>
      <c r="J146" s="126" t="b">
        <v>0</v>
      </c>
      <c r="K146" s="126" t="b">
        <v>0</v>
      </c>
      <c r="L146" s="126" t="b">
        <v>0</v>
      </c>
    </row>
    <row r="147" spans="1:12" ht="15">
      <c r="A147" s="126" t="s">
        <v>729</v>
      </c>
      <c r="B147" s="126" t="s">
        <v>730</v>
      </c>
      <c r="C147" s="126">
        <v>3</v>
      </c>
      <c r="D147" s="128">
        <v>0.0017733891274029476</v>
      </c>
      <c r="E147" s="128">
        <v>1.466030682586168</v>
      </c>
      <c r="F147" s="126" t="s">
        <v>982</v>
      </c>
      <c r="G147" s="126" t="b">
        <v>0</v>
      </c>
      <c r="H147" s="126" t="b">
        <v>0</v>
      </c>
      <c r="I147" s="126" t="b">
        <v>0</v>
      </c>
      <c r="J147" s="126" t="b">
        <v>0</v>
      </c>
      <c r="K147" s="126" t="b">
        <v>0</v>
      </c>
      <c r="L147" s="126" t="b">
        <v>0</v>
      </c>
    </row>
    <row r="148" spans="1:12" ht="15">
      <c r="A148" s="126" t="s">
        <v>787</v>
      </c>
      <c r="B148" s="126" t="s">
        <v>829</v>
      </c>
      <c r="C148" s="126">
        <v>3</v>
      </c>
      <c r="D148" s="128">
        <v>0.0023811869041158932</v>
      </c>
      <c r="E148" s="128">
        <v>2.5342165443323297</v>
      </c>
      <c r="F148" s="126" t="s">
        <v>982</v>
      </c>
      <c r="G148" s="126" t="b">
        <v>0</v>
      </c>
      <c r="H148" s="126" t="b">
        <v>0</v>
      </c>
      <c r="I148" s="126" t="b">
        <v>0</v>
      </c>
      <c r="J148" s="126" t="b">
        <v>0</v>
      </c>
      <c r="K148" s="126" t="b">
        <v>0</v>
      </c>
      <c r="L148" s="126" t="b">
        <v>0</v>
      </c>
    </row>
    <row r="149" spans="1:12" ht="15">
      <c r="A149" s="126" t="s">
        <v>766</v>
      </c>
      <c r="B149" s="126" t="s">
        <v>735</v>
      </c>
      <c r="C149" s="126">
        <v>3</v>
      </c>
      <c r="D149" s="128">
        <v>0.0019977092026331146</v>
      </c>
      <c r="E149" s="128">
        <v>1.8140572409263729</v>
      </c>
      <c r="F149" s="126" t="s">
        <v>982</v>
      </c>
      <c r="G149" s="126" t="b">
        <v>0</v>
      </c>
      <c r="H149" s="126" t="b">
        <v>0</v>
      </c>
      <c r="I149" s="126" t="b">
        <v>0</v>
      </c>
      <c r="J149" s="126" t="b">
        <v>0</v>
      </c>
      <c r="K149" s="126" t="b">
        <v>0</v>
      </c>
      <c r="L149" s="126" t="b">
        <v>0</v>
      </c>
    </row>
    <row r="150" spans="1:12" ht="15">
      <c r="A150" s="126" t="s">
        <v>716</v>
      </c>
      <c r="B150" s="126" t="s">
        <v>724</v>
      </c>
      <c r="C150" s="126">
        <v>3</v>
      </c>
      <c r="D150" s="128">
        <v>0.0019977092026331146</v>
      </c>
      <c r="E150" s="128">
        <v>0.22203918789255117</v>
      </c>
      <c r="F150" s="126" t="s">
        <v>982</v>
      </c>
      <c r="G150" s="126" t="b">
        <v>0</v>
      </c>
      <c r="H150" s="126" t="b">
        <v>0</v>
      </c>
      <c r="I150" s="126" t="b">
        <v>0</v>
      </c>
      <c r="J150" s="126" t="b">
        <v>0</v>
      </c>
      <c r="K150" s="126" t="b">
        <v>0</v>
      </c>
      <c r="L150" s="126" t="b">
        <v>0</v>
      </c>
    </row>
    <row r="151" spans="1:12" ht="15">
      <c r="A151" s="126" t="s">
        <v>734</v>
      </c>
      <c r="B151" s="126" t="s">
        <v>761</v>
      </c>
      <c r="C151" s="126">
        <v>3</v>
      </c>
      <c r="D151" s="128">
        <v>0.0017733891274029476</v>
      </c>
      <c r="E151" s="128">
        <v>1.844020464303816</v>
      </c>
      <c r="F151" s="126" t="s">
        <v>982</v>
      </c>
      <c r="G151" s="126" t="b">
        <v>0</v>
      </c>
      <c r="H151" s="126" t="b">
        <v>0</v>
      </c>
      <c r="I151" s="126" t="b">
        <v>0</v>
      </c>
      <c r="J151" s="126" t="b">
        <v>0</v>
      </c>
      <c r="K151" s="126" t="b">
        <v>0</v>
      </c>
      <c r="L151" s="126" t="b">
        <v>0</v>
      </c>
    </row>
    <row r="152" spans="1:12" ht="15">
      <c r="A152" s="126" t="s">
        <v>729</v>
      </c>
      <c r="B152" s="126" t="s">
        <v>716</v>
      </c>
      <c r="C152" s="126">
        <v>3</v>
      </c>
      <c r="D152" s="128">
        <v>0.0019977092026331146</v>
      </c>
      <c r="E152" s="128">
        <v>0.38131694793858234</v>
      </c>
      <c r="F152" s="126" t="s">
        <v>982</v>
      </c>
      <c r="G152" s="126" t="b">
        <v>0</v>
      </c>
      <c r="H152" s="126" t="b">
        <v>0</v>
      </c>
      <c r="I152" s="126" t="b">
        <v>0</v>
      </c>
      <c r="J152" s="126" t="b">
        <v>0</v>
      </c>
      <c r="K152" s="126" t="b">
        <v>0</v>
      </c>
      <c r="L152" s="126" t="b">
        <v>0</v>
      </c>
    </row>
    <row r="153" spans="1:12" ht="15">
      <c r="A153" s="126" t="s">
        <v>715</v>
      </c>
      <c r="B153" s="126" t="s">
        <v>870</v>
      </c>
      <c r="C153" s="126">
        <v>3</v>
      </c>
      <c r="D153" s="128">
        <v>0.0023811869041158932</v>
      </c>
      <c r="E153" s="128">
        <v>0.8516202528717765</v>
      </c>
      <c r="F153" s="126" t="s">
        <v>982</v>
      </c>
      <c r="G153" s="126" t="b">
        <v>0</v>
      </c>
      <c r="H153" s="126" t="b">
        <v>0</v>
      </c>
      <c r="I153" s="126" t="b">
        <v>0</v>
      </c>
      <c r="J153" s="126" t="b">
        <v>0</v>
      </c>
      <c r="K153" s="126" t="b">
        <v>0</v>
      </c>
      <c r="L153" s="126" t="b">
        <v>0</v>
      </c>
    </row>
    <row r="154" spans="1:12" ht="15">
      <c r="A154" s="126" t="s">
        <v>870</v>
      </c>
      <c r="B154" s="126" t="s">
        <v>778</v>
      </c>
      <c r="C154" s="126">
        <v>3</v>
      </c>
      <c r="D154" s="128">
        <v>0.0023811869041158932</v>
      </c>
      <c r="E154" s="128">
        <v>2.579974034893005</v>
      </c>
      <c r="F154" s="126" t="s">
        <v>982</v>
      </c>
      <c r="G154" s="126" t="b">
        <v>0</v>
      </c>
      <c r="H154" s="126" t="b">
        <v>0</v>
      </c>
      <c r="I154" s="126" t="b">
        <v>0</v>
      </c>
      <c r="J154" s="126" t="b">
        <v>0</v>
      </c>
      <c r="K154" s="126" t="b">
        <v>0</v>
      </c>
      <c r="L154" s="126" t="b">
        <v>0</v>
      </c>
    </row>
    <row r="155" spans="1:12" ht="15">
      <c r="A155" s="126" t="s">
        <v>871</v>
      </c>
      <c r="B155" s="126" t="s">
        <v>724</v>
      </c>
      <c r="C155" s="126">
        <v>3</v>
      </c>
      <c r="D155" s="128">
        <v>0.0017733891274029476</v>
      </c>
      <c r="E155" s="128">
        <v>1.9267615211176612</v>
      </c>
      <c r="F155" s="126" t="s">
        <v>982</v>
      </c>
      <c r="G155" s="126" t="b">
        <v>0</v>
      </c>
      <c r="H155" s="126" t="b">
        <v>0</v>
      </c>
      <c r="I155" s="126" t="b">
        <v>0</v>
      </c>
      <c r="J155" s="126" t="b">
        <v>0</v>
      </c>
      <c r="K155" s="126" t="b">
        <v>0</v>
      </c>
      <c r="L155" s="126" t="b">
        <v>0</v>
      </c>
    </row>
    <row r="156" spans="1:12" ht="15">
      <c r="A156" s="126" t="s">
        <v>718</v>
      </c>
      <c r="B156" s="126" t="s">
        <v>765</v>
      </c>
      <c r="C156" s="126">
        <v>3</v>
      </c>
      <c r="D156" s="128">
        <v>0.0017733891274029476</v>
      </c>
      <c r="E156" s="128">
        <v>0.9858271261994117</v>
      </c>
      <c r="F156" s="126" t="s">
        <v>982</v>
      </c>
      <c r="G156" s="126" t="b">
        <v>0</v>
      </c>
      <c r="H156" s="126" t="b">
        <v>0</v>
      </c>
      <c r="I156" s="126" t="b">
        <v>0</v>
      </c>
      <c r="J156" s="126" t="b">
        <v>0</v>
      </c>
      <c r="K156" s="126" t="b">
        <v>0</v>
      </c>
      <c r="L156" s="126" t="b">
        <v>0</v>
      </c>
    </row>
    <row r="157" spans="1:12" ht="15">
      <c r="A157" s="126" t="s">
        <v>718</v>
      </c>
      <c r="B157" s="126" t="s">
        <v>716</v>
      </c>
      <c r="C157" s="126">
        <v>3</v>
      </c>
      <c r="D157" s="128">
        <v>0.0017733891274029476</v>
      </c>
      <c r="E157" s="128">
        <v>-0.3677319207407541</v>
      </c>
      <c r="F157" s="126" t="s">
        <v>982</v>
      </c>
      <c r="G157" s="126" t="b">
        <v>0</v>
      </c>
      <c r="H157" s="126" t="b">
        <v>0</v>
      </c>
      <c r="I157" s="126" t="b">
        <v>0</v>
      </c>
      <c r="J157" s="126" t="b">
        <v>0</v>
      </c>
      <c r="K157" s="126" t="b">
        <v>0</v>
      </c>
      <c r="L157" s="126" t="b">
        <v>0</v>
      </c>
    </row>
    <row r="158" spans="1:12" ht="15">
      <c r="A158" s="126" t="s">
        <v>827</v>
      </c>
      <c r="B158" s="126" t="s">
        <v>764</v>
      </c>
      <c r="C158" s="126">
        <v>3</v>
      </c>
      <c r="D158" s="128">
        <v>0.0017733891274029476</v>
      </c>
      <c r="E158" s="128">
        <v>2.388088508654092</v>
      </c>
      <c r="F158" s="126" t="s">
        <v>982</v>
      </c>
      <c r="G158" s="126" t="b">
        <v>0</v>
      </c>
      <c r="H158" s="126" t="b">
        <v>0</v>
      </c>
      <c r="I158" s="126" t="b">
        <v>0</v>
      </c>
      <c r="J158" s="126" t="b">
        <v>0</v>
      </c>
      <c r="K158" s="126" t="b">
        <v>0</v>
      </c>
      <c r="L158" s="126" t="b">
        <v>0</v>
      </c>
    </row>
    <row r="159" spans="1:12" ht="15">
      <c r="A159" s="126" t="s">
        <v>748</v>
      </c>
      <c r="B159" s="126" t="s">
        <v>763</v>
      </c>
      <c r="C159" s="126">
        <v>3</v>
      </c>
      <c r="D159" s="128">
        <v>0.0019977092026331146</v>
      </c>
      <c r="E159" s="128">
        <v>1.9901484999820542</v>
      </c>
      <c r="F159" s="126" t="s">
        <v>982</v>
      </c>
      <c r="G159" s="126" t="b">
        <v>0</v>
      </c>
      <c r="H159" s="126" t="b">
        <v>0</v>
      </c>
      <c r="I159" s="126" t="b">
        <v>0</v>
      </c>
      <c r="J159" s="126" t="b">
        <v>0</v>
      </c>
      <c r="K159" s="126" t="b">
        <v>0</v>
      </c>
      <c r="L159" s="126" t="b">
        <v>0</v>
      </c>
    </row>
    <row r="160" spans="1:12" ht="15">
      <c r="A160" s="126" t="s">
        <v>759</v>
      </c>
      <c r="B160" s="126" t="s">
        <v>760</v>
      </c>
      <c r="C160" s="126">
        <v>3</v>
      </c>
      <c r="D160" s="128">
        <v>0.0023811869041158932</v>
      </c>
      <c r="E160" s="128">
        <v>2.1450504599677975</v>
      </c>
      <c r="F160" s="126" t="s">
        <v>982</v>
      </c>
      <c r="G160" s="126" t="b">
        <v>0</v>
      </c>
      <c r="H160" s="126" t="b">
        <v>0</v>
      </c>
      <c r="I160" s="126" t="b">
        <v>0</v>
      </c>
      <c r="J160" s="126" t="b">
        <v>0</v>
      </c>
      <c r="K160" s="126" t="b">
        <v>0</v>
      </c>
      <c r="L160" s="126" t="b">
        <v>0</v>
      </c>
    </row>
    <row r="161" spans="1:12" ht="15">
      <c r="A161" s="126" t="s">
        <v>768</v>
      </c>
      <c r="B161" s="126" t="s">
        <v>880</v>
      </c>
      <c r="C161" s="126">
        <v>2</v>
      </c>
      <c r="D161" s="128">
        <v>0.0013318061350887432</v>
      </c>
      <c r="E161" s="128">
        <v>2.579974034893005</v>
      </c>
      <c r="F161" s="126" t="s">
        <v>982</v>
      </c>
      <c r="G161" s="126" t="b">
        <v>0</v>
      </c>
      <c r="H161" s="126" t="b">
        <v>0</v>
      </c>
      <c r="I161" s="126" t="b">
        <v>0</v>
      </c>
      <c r="J161" s="126" t="b">
        <v>0</v>
      </c>
      <c r="K161" s="126" t="b">
        <v>0</v>
      </c>
      <c r="L161" s="126" t="b">
        <v>0</v>
      </c>
    </row>
    <row r="162" spans="1:12" ht="15">
      <c r="A162" s="126" t="s">
        <v>880</v>
      </c>
      <c r="B162" s="126" t="s">
        <v>768</v>
      </c>
      <c r="C162" s="126">
        <v>2</v>
      </c>
      <c r="D162" s="128">
        <v>0.0013318061350887432</v>
      </c>
      <c r="E162" s="128">
        <v>2.7560652939486863</v>
      </c>
      <c r="F162" s="126" t="s">
        <v>982</v>
      </c>
      <c r="G162" s="126" t="b">
        <v>0</v>
      </c>
      <c r="H162" s="126" t="b">
        <v>0</v>
      </c>
      <c r="I162" s="126" t="b">
        <v>0</v>
      </c>
      <c r="J162" s="126" t="b">
        <v>0</v>
      </c>
      <c r="K162" s="126" t="b">
        <v>0</v>
      </c>
      <c r="L162" s="126" t="b">
        <v>0</v>
      </c>
    </row>
    <row r="163" spans="1:12" ht="15">
      <c r="A163" s="126" t="s">
        <v>768</v>
      </c>
      <c r="B163" s="126" t="s">
        <v>881</v>
      </c>
      <c r="C163" s="126">
        <v>2</v>
      </c>
      <c r="D163" s="128">
        <v>0.0013318061350887432</v>
      </c>
      <c r="E163" s="128">
        <v>2.579974034893005</v>
      </c>
      <c r="F163" s="126" t="s">
        <v>982</v>
      </c>
      <c r="G163" s="126" t="b">
        <v>0</v>
      </c>
      <c r="H163" s="126" t="b">
        <v>0</v>
      </c>
      <c r="I163" s="126" t="b">
        <v>0</v>
      </c>
      <c r="J163" s="126" t="b">
        <v>0</v>
      </c>
      <c r="K163" s="126" t="b">
        <v>0</v>
      </c>
      <c r="L163" s="126" t="b">
        <v>0</v>
      </c>
    </row>
    <row r="164" spans="1:12" ht="15">
      <c r="A164" s="126" t="s">
        <v>881</v>
      </c>
      <c r="B164" s="126" t="s">
        <v>882</v>
      </c>
      <c r="C164" s="126">
        <v>2</v>
      </c>
      <c r="D164" s="128">
        <v>0.0013318061350887432</v>
      </c>
      <c r="E164" s="128">
        <v>3.0570952896126675</v>
      </c>
      <c r="F164" s="126" t="s">
        <v>982</v>
      </c>
      <c r="G164" s="126" t="b">
        <v>0</v>
      </c>
      <c r="H164" s="126" t="b">
        <v>0</v>
      </c>
      <c r="I164" s="126" t="b">
        <v>0</v>
      </c>
      <c r="J164" s="126" t="b">
        <v>0</v>
      </c>
      <c r="K164" s="126" t="b">
        <v>0</v>
      </c>
      <c r="L164" s="126" t="b">
        <v>0</v>
      </c>
    </row>
    <row r="165" spans="1:12" ht="15">
      <c r="A165" s="126" t="s">
        <v>882</v>
      </c>
      <c r="B165" s="126" t="s">
        <v>768</v>
      </c>
      <c r="C165" s="126">
        <v>2</v>
      </c>
      <c r="D165" s="128">
        <v>0.0013318061350887432</v>
      </c>
      <c r="E165" s="128">
        <v>2.7560652939486863</v>
      </c>
      <c r="F165" s="126" t="s">
        <v>982</v>
      </c>
      <c r="G165" s="126" t="b">
        <v>0</v>
      </c>
      <c r="H165" s="126" t="b">
        <v>0</v>
      </c>
      <c r="I165" s="126" t="b">
        <v>0</v>
      </c>
      <c r="J165" s="126" t="b">
        <v>0</v>
      </c>
      <c r="K165" s="126" t="b">
        <v>0</v>
      </c>
      <c r="L165" s="126" t="b">
        <v>0</v>
      </c>
    </row>
    <row r="166" spans="1:12" ht="15">
      <c r="A166" s="126" t="s">
        <v>768</v>
      </c>
      <c r="B166" s="126" t="s">
        <v>883</v>
      </c>
      <c r="C166" s="126">
        <v>2</v>
      </c>
      <c r="D166" s="128">
        <v>0.0013318061350887432</v>
      </c>
      <c r="E166" s="128">
        <v>2.579974034893005</v>
      </c>
      <c r="F166" s="126" t="s">
        <v>982</v>
      </c>
      <c r="G166" s="126" t="b">
        <v>0</v>
      </c>
      <c r="H166" s="126" t="b">
        <v>0</v>
      </c>
      <c r="I166" s="126" t="b">
        <v>0</v>
      </c>
      <c r="J166" s="126" t="b">
        <v>0</v>
      </c>
      <c r="K166" s="126" t="b">
        <v>0</v>
      </c>
      <c r="L166" s="126" t="b">
        <v>0</v>
      </c>
    </row>
    <row r="167" spans="1:12" ht="15">
      <c r="A167" s="126" t="s">
        <v>883</v>
      </c>
      <c r="B167" s="126" t="s">
        <v>759</v>
      </c>
      <c r="C167" s="126">
        <v>2</v>
      </c>
      <c r="D167" s="128">
        <v>0.0013318061350887432</v>
      </c>
      <c r="E167" s="128">
        <v>2.579974034893005</v>
      </c>
      <c r="F167" s="126" t="s">
        <v>982</v>
      </c>
      <c r="G167" s="126" t="b">
        <v>0</v>
      </c>
      <c r="H167" s="126" t="b">
        <v>0</v>
      </c>
      <c r="I167" s="126" t="b">
        <v>0</v>
      </c>
      <c r="J167" s="126" t="b">
        <v>0</v>
      </c>
      <c r="K167" s="126" t="b">
        <v>0</v>
      </c>
      <c r="L167" s="126" t="b">
        <v>0</v>
      </c>
    </row>
    <row r="168" spans="1:12" ht="15">
      <c r="A168" s="126" t="s">
        <v>759</v>
      </c>
      <c r="B168" s="126" t="s">
        <v>833</v>
      </c>
      <c r="C168" s="126">
        <v>2</v>
      </c>
      <c r="D168" s="128">
        <v>0.0013318061350887432</v>
      </c>
      <c r="E168" s="128">
        <v>2.513027245262392</v>
      </c>
      <c r="F168" s="126" t="s">
        <v>982</v>
      </c>
      <c r="G168" s="126" t="b">
        <v>0</v>
      </c>
      <c r="H168" s="126" t="b">
        <v>0</v>
      </c>
      <c r="I168" s="126" t="b">
        <v>0</v>
      </c>
      <c r="J168" s="126" t="b">
        <v>0</v>
      </c>
      <c r="K168" s="126" t="b">
        <v>0</v>
      </c>
      <c r="L168" s="126" t="b">
        <v>0</v>
      </c>
    </row>
    <row r="169" spans="1:12" ht="15">
      <c r="A169" s="126" t="s">
        <v>749</v>
      </c>
      <c r="B169" s="126" t="s">
        <v>793</v>
      </c>
      <c r="C169" s="126">
        <v>2</v>
      </c>
      <c r="D169" s="128">
        <v>0.0015874579360772622</v>
      </c>
      <c r="E169" s="128">
        <v>2.1028527801733423</v>
      </c>
      <c r="F169" s="126" t="s">
        <v>982</v>
      </c>
      <c r="G169" s="126" t="b">
        <v>0</v>
      </c>
      <c r="H169" s="126" t="b">
        <v>0</v>
      </c>
      <c r="I169" s="126" t="b">
        <v>0</v>
      </c>
      <c r="J169" s="126" t="b">
        <v>1</v>
      </c>
      <c r="K169" s="126" t="b">
        <v>0</v>
      </c>
      <c r="L169" s="126" t="b">
        <v>0</v>
      </c>
    </row>
    <row r="170" spans="1:12" ht="15">
      <c r="A170" s="126" t="s">
        <v>835</v>
      </c>
      <c r="B170" s="126" t="s">
        <v>749</v>
      </c>
      <c r="C170" s="126">
        <v>2</v>
      </c>
      <c r="D170" s="128">
        <v>0.0015874579360772622</v>
      </c>
      <c r="E170" s="128">
        <v>2.2789440392290237</v>
      </c>
      <c r="F170" s="126" t="s">
        <v>982</v>
      </c>
      <c r="G170" s="126" t="b">
        <v>0</v>
      </c>
      <c r="H170" s="126" t="b">
        <v>0</v>
      </c>
      <c r="I170" s="126" t="b">
        <v>0</v>
      </c>
      <c r="J170" s="126" t="b">
        <v>0</v>
      </c>
      <c r="K170" s="126" t="b">
        <v>0</v>
      </c>
      <c r="L170" s="126" t="b">
        <v>0</v>
      </c>
    </row>
    <row r="171" spans="1:12" ht="15">
      <c r="A171" s="126" t="s">
        <v>749</v>
      </c>
      <c r="B171" s="126" t="s">
        <v>836</v>
      </c>
      <c r="C171" s="126">
        <v>2</v>
      </c>
      <c r="D171" s="128">
        <v>0.0015874579360772622</v>
      </c>
      <c r="E171" s="128">
        <v>2.2277915167816422</v>
      </c>
      <c r="F171" s="126" t="s">
        <v>982</v>
      </c>
      <c r="G171" s="126" t="b">
        <v>0</v>
      </c>
      <c r="H171" s="126" t="b">
        <v>0</v>
      </c>
      <c r="I171" s="126" t="b">
        <v>0</v>
      </c>
      <c r="J171" s="126" t="b">
        <v>0</v>
      </c>
      <c r="K171" s="126" t="b">
        <v>0</v>
      </c>
      <c r="L171" s="126" t="b">
        <v>0</v>
      </c>
    </row>
    <row r="172" spans="1:12" ht="15">
      <c r="A172" s="126" t="s">
        <v>836</v>
      </c>
      <c r="B172" s="126" t="s">
        <v>749</v>
      </c>
      <c r="C172" s="126">
        <v>2</v>
      </c>
      <c r="D172" s="128">
        <v>0.0015874579360772622</v>
      </c>
      <c r="E172" s="128">
        <v>2.2789440392290237</v>
      </c>
      <c r="F172" s="126" t="s">
        <v>982</v>
      </c>
      <c r="G172" s="126" t="b">
        <v>0</v>
      </c>
      <c r="H172" s="126" t="b">
        <v>0</v>
      </c>
      <c r="I172" s="126" t="b">
        <v>0</v>
      </c>
      <c r="J172" s="126" t="b">
        <v>0</v>
      </c>
      <c r="K172" s="126" t="b">
        <v>0</v>
      </c>
      <c r="L172" s="126" t="b">
        <v>0</v>
      </c>
    </row>
    <row r="173" spans="1:12" ht="15">
      <c r="A173" s="126" t="s">
        <v>885</v>
      </c>
      <c r="B173" s="126" t="s">
        <v>886</v>
      </c>
      <c r="C173" s="126">
        <v>2</v>
      </c>
      <c r="D173" s="128">
        <v>0.0015874579360772622</v>
      </c>
      <c r="E173" s="128">
        <v>3.0570952896126675</v>
      </c>
      <c r="F173" s="126" t="s">
        <v>982</v>
      </c>
      <c r="G173" s="126" t="b">
        <v>0</v>
      </c>
      <c r="H173" s="126" t="b">
        <v>0</v>
      </c>
      <c r="I173" s="126" t="b">
        <v>0</v>
      </c>
      <c r="J173" s="126" t="b">
        <v>1</v>
      </c>
      <c r="K173" s="126" t="b">
        <v>0</v>
      </c>
      <c r="L173" s="126" t="b">
        <v>0</v>
      </c>
    </row>
    <row r="174" spans="1:12" ht="15">
      <c r="A174" s="126" t="s">
        <v>886</v>
      </c>
      <c r="B174" s="126" t="s">
        <v>838</v>
      </c>
      <c r="C174" s="126">
        <v>2</v>
      </c>
      <c r="D174" s="128">
        <v>0.0015874579360772622</v>
      </c>
      <c r="E174" s="128">
        <v>2.881004030556986</v>
      </c>
      <c r="F174" s="126" t="s">
        <v>982</v>
      </c>
      <c r="G174" s="126" t="b">
        <v>1</v>
      </c>
      <c r="H174" s="126" t="b">
        <v>0</v>
      </c>
      <c r="I174" s="126" t="b">
        <v>0</v>
      </c>
      <c r="J174" s="126" t="b">
        <v>0</v>
      </c>
      <c r="K174" s="126" t="b">
        <v>0</v>
      </c>
      <c r="L174" s="126" t="b">
        <v>0</v>
      </c>
    </row>
    <row r="175" spans="1:12" ht="15">
      <c r="A175" s="126" t="s">
        <v>887</v>
      </c>
      <c r="B175" s="126" t="s">
        <v>839</v>
      </c>
      <c r="C175" s="126">
        <v>2</v>
      </c>
      <c r="D175" s="128">
        <v>0.0015874579360772622</v>
      </c>
      <c r="E175" s="128">
        <v>2.881004030556986</v>
      </c>
      <c r="F175" s="126" t="s">
        <v>982</v>
      </c>
      <c r="G175" s="126" t="b">
        <v>0</v>
      </c>
      <c r="H175" s="126" t="b">
        <v>0</v>
      </c>
      <c r="I175" s="126" t="b">
        <v>0</v>
      </c>
      <c r="J175" s="126" t="b">
        <v>0</v>
      </c>
      <c r="K175" s="126" t="b">
        <v>0</v>
      </c>
      <c r="L175" s="126" t="b">
        <v>0</v>
      </c>
    </row>
    <row r="176" spans="1:12" ht="15">
      <c r="A176" s="126" t="s">
        <v>839</v>
      </c>
      <c r="B176" s="126" t="s">
        <v>888</v>
      </c>
      <c r="C176" s="126">
        <v>2</v>
      </c>
      <c r="D176" s="128">
        <v>0.0015874579360772622</v>
      </c>
      <c r="E176" s="128">
        <v>2.881004030556986</v>
      </c>
      <c r="F176" s="126" t="s">
        <v>982</v>
      </c>
      <c r="G176" s="126" t="b">
        <v>0</v>
      </c>
      <c r="H176" s="126" t="b">
        <v>0</v>
      </c>
      <c r="I176" s="126" t="b">
        <v>0</v>
      </c>
      <c r="J176" s="126" t="b">
        <v>0</v>
      </c>
      <c r="K176" s="126" t="b">
        <v>1</v>
      </c>
      <c r="L176" s="126" t="b">
        <v>0</v>
      </c>
    </row>
    <row r="177" spans="1:12" ht="15">
      <c r="A177" s="126" t="s">
        <v>795</v>
      </c>
      <c r="B177" s="126" t="s">
        <v>841</v>
      </c>
      <c r="C177" s="126">
        <v>2</v>
      </c>
      <c r="D177" s="128">
        <v>0.0013318061350887432</v>
      </c>
      <c r="E177" s="128">
        <v>2.579974034893005</v>
      </c>
      <c r="F177" s="126" t="s">
        <v>982</v>
      </c>
      <c r="G177" s="126" t="b">
        <v>0</v>
      </c>
      <c r="H177" s="126" t="b">
        <v>0</v>
      </c>
      <c r="I177" s="126" t="b">
        <v>0</v>
      </c>
      <c r="J177" s="126" t="b">
        <v>0</v>
      </c>
      <c r="K177" s="126" t="b">
        <v>0</v>
      </c>
      <c r="L177" s="126" t="b">
        <v>0</v>
      </c>
    </row>
    <row r="178" spans="1:12" ht="15">
      <c r="A178" s="126" t="s">
        <v>892</v>
      </c>
      <c r="B178" s="126" t="s">
        <v>893</v>
      </c>
      <c r="C178" s="126">
        <v>2</v>
      </c>
      <c r="D178" s="128">
        <v>0.0013318061350887432</v>
      </c>
      <c r="E178" s="128">
        <v>3.0570952896126675</v>
      </c>
      <c r="F178" s="126" t="s">
        <v>982</v>
      </c>
      <c r="G178" s="126" t="b">
        <v>0</v>
      </c>
      <c r="H178" s="126" t="b">
        <v>0</v>
      </c>
      <c r="I178" s="126" t="b">
        <v>0</v>
      </c>
      <c r="J178" s="126" t="b">
        <v>0</v>
      </c>
      <c r="K178" s="126" t="b">
        <v>0</v>
      </c>
      <c r="L178" s="126" t="b">
        <v>0</v>
      </c>
    </row>
    <row r="179" spans="1:12" ht="15">
      <c r="A179" s="126" t="s">
        <v>717</v>
      </c>
      <c r="B179" s="126" t="s">
        <v>796</v>
      </c>
      <c r="C179" s="126">
        <v>2</v>
      </c>
      <c r="D179" s="128">
        <v>0.0015874579360772622</v>
      </c>
      <c r="E179" s="128">
        <v>1.040061950313887</v>
      </c>
      <c r="F179" s="126" t="s">
        <v>982</v>
      </c>
      <c r="G179" s="126" t="b">
        <v>0</v>
      </c>
      <c r="H179" s="126" t="b">
        <v>0</v>
      </c>
      <c r="I179" s="126" t="b">
        <v>0</v>
      </c>
      <c r="J179" s="126" t="b">
        <v>0</v>
      </c>
      <c r="K179" s="126" t="b">
        <v>0</v>
      </c>
      <c r="L179" s="126" t="b">
        <v>0</v>
      </c>
    </row>
    <row r="180" spans="1:12" ht="15">
      <c r="A180" s="126" t="s">
        <v>796</v>
      </c>
      <c r="B180" s="126" t="s">
        <v>796</v>
      </c>
      <c r="C180" s="126">
        <v>2</v>
      </c>
      <c r="D180" s="128">
        <v>0.0015874579360772622</v>
      </c>
      <c r="E180" s="128">
        <v>2.455035298284705</v>
      </c>
      <c r="F180" s="126" t="s">
        <v>982</v>
      </c>
      <c r="G180" s="126" t="b">
        <v>0</v>
      </c>
      <c r="H180" s="126" t="b">
        <v>0</v>
      </c>
      <c r="I180" s="126" t="b">
        <v>0</v>
      </c>
      <c r="J180" s="126" t="b">
        <v>0</v>
      </c>
      <c r="K180" s="126" t="b">
        <v>0</v>
      </c>
      <c r="L180" s="126" t="b">
        <v>0</v>
      </c>
    </row>
    <row r="181" spans="1:12" ht="15">
      <c r="A181" s="126" t="s">
        <v>716</v>
      </c>
      <c r="B181" s="126" t="s">
        <v>731</v>
      </c>
      <c r="C181" s="126">
        <v>2</v>
      </c>
      <c r="D181" s="128">
        <v>0.0013318061350887432</v>
      </c>
      <c r="E181" s="128">
        <v>0.24686277161758333</v>
      </c>
      <c r="F181" s="126" t="s">
        <v>982</v>
      </c>
      <c r="G181" s="126" t="b">
        <v>0</v>
      </c>
      <c r="H181" s="126" t="b">
        <v>0</v>
      </c>
      <c r="I181" s="126" t="b">
        <v>0</v>
      </c>
      <c r="J181" s="126" t="b">
        <v>0</v>
      </c>
      <c r="K181" s="126" t="b">
        <v>0</v>
      </c>
      <c r="L181" s="126" t="b">
        <v>0</v>
      </c>
    </row>
    <row r="182" spans="1:12" ht="15">
      <c r="A182" s="126" t="s">
        <v>731</v>
      </c>
      <c r="B182" s="126" t="s">
        <v>715</v>
      </c>
      <c r="C182" s="126">
        <v>2</v>
      </c>
      <c r="D182" s="128">
        <v>0.0013318061350887432</v>
      </c>
      <c r="E182" s="128">
        <v>-0.06544823445608693</v>
      </c>
      <c r="F182" s="126" t="s">
        <v>982</v>
      </c>
      <c r="G182" s="126" t="b">
        <v>0</v>
      </c>
      <c r="H182" s="126" t="b">
        <v>0</v>
      </c>
      <c r="I182" s="126" t="b">
        <v>0</v>
      </c>
      <c r="J182" s="126" t="b">
        <v>0</v>
      </c>
      <c r="K182" s="126" t="b">
        <v>0</v>
      </c>
      <c r="L182" s="126" t="b">
        <v>0</v>
      </c>
    </row>
    <row r="183" spans="1:12" ht="15">
      <c r="A183" s="126" t="s">
        <v>715</v>
      </c>
      <c r="B183" s="126" t="s">
        <v>896</v>
      </c>
      <c r="C183" s="126">
        <v>2</v>
      </c>
      <c r="D183" s="128">
        <v>0.0013318061350887432</v>
      </c>
      <c r="E183" s="128">
        <v>0.8516202528717765</v>
      </c>
      <c r="F183" s="126" t="s">
        <v>982</v>
      </c>
      <c r="G183" s="126" t="b">
        <v>0</v>
      </c>
      <c r="H183" s="126" t="b">
        <v>0</v>
      </c>
      <c r="I183" s="126" t="b">
        <v>0</v>
      </c>
      <c r="J183" s="126" t="b">
        <v>0</v>
      </c>
      <c r="K183" s="126" t="b">
        <v>0</v>
      </c>
      <c r="L183" s="126" t="b">
        <v>0</v>
      </c>
    </row>
    <row r="184" spans="1:12" ht="15">
      <c r="A184" s="126" t="s">
        <v>723</v>
      </c>
      <c r="B184" s="126" t="s">
        <v>761</v>
      </c>
      <c r="C184" s="126">
        <v>2</v>
      </c>
      <c r="D184" s="128">
        <v>0.0013318061350887432</v>
      </c>
      <c r="E184" s="128">
        <v>1.3516592430274168</v>
      </c>
      <c r="F184" s="126" t="s">
        <v>982</v>
      </c>
      <c r="G184" s="126" t="b">
        <v>0</v>
      </c>
      <c r="H184" s="126" t="b">
        <v>0</v>
      </c>
      <c r="I184" s="126" t="b">
        <v>0</v>
      </c>
      <c r="J184" s="126" t="b">
        <v>0</v>
      </c>
      <c r="K184" s="126" t="b">
        <v>0</v>
      </c>
      <c r="L184" s="126" t="b">
        <v>0</v>
      </c>
    </row>
    <row r="185" spans="1:12" ht="15">
      <c r="A185" s="126" t="s">
        <v>723</v>
      </c>
      <c r="B185" s="126" t="s">
        <v>770</v>
      </c>
      <c r="C185" s="126">
        <v>2</v>
      </c>
      <c r="D185" s="128">
        <v>0.0013318061350887432</v>
      </c>
      <c r="E185" s="128">
        <v>1.41860603265803</v>
      </c>
      <c r="F185" s="126" t="s">
        <v>982</v>
      </c>
      <c r="G185" s="126" t="b">
        <v>0</v>
      </c>
      <c r="H185" s="126" t="b">
        <v>0</v>
      </c>
      <c r="I185" s="126" t="b">
        <v>0</v>
      </c>
      <c r="J185" s="126" t="b">
        <v>0</v>
      </c>
      <c r="K185" s="126" t="b">
        <v>0</v>
      </c>
      <c r="L185" s="126" t="b">
        <v>0</v>
      </c>
    </row>
    <row r="186" spans="1:12" ht="15">
      <c r="A186" s="126" t="s">
        <v>716</v>
      </c>
      <c r="B186" s="126" t="s">
        <v>773</v>
      </c>
      <c r="C186" s="126">
        <v>2</v>
      </c>
      <c r="D186" s="128">
        <v>0.0013318061350887432</v>
      </c>
      <c r="E186" s="128">
        <v>0.6991604426122136</v>
      </c>
      <c r="F186" s="126" t="s">
        <v>982</v>
      </c>
      <c r="G186" s="126" t="b">
        <v>0</v>
      </c>
      <c r="H186" s="126" t="b">
        <v>0</v>
      </c>
      <c r="I186" s="126" t="b">
        <v>0</v>
      </c>
      <c r="J186" s="126" t="b">
        <v>0</v>
      </c>
      <c r="K186" s="126" t="b">
        <v>0</v>
      </c>
      <c r="L186" s="126" t="b">
        <v>0</v>
      </c>
    </row>
    <row r="187" spans="1:12" ht="15">
      <c r="A187" s="126" t="s">
        <v>846</v>
      </c>
      <c r="B187" s="126" t="s">
        <v>898</v>
      </c>
      <c r="C187" s="126">
        <v>2</v>
      </c>
      <c r="D187" s="128">
        <v>0.0013318061350887432</v>
      </c>
      <c r="E187" s="128">
        <v>2.881004030556986</v>
      </c>
      <c r="F187" s="126" t="s">
        <v>982</v>
      </c>
      <c r="G187" s="126" t="b">
        <v>0</v>
      </c>
      <c r="H187" s="126" t="b">
        <v>0</v>
      </c>
      <c r="I187" s="126" t="b">
        <v>0</v>
      </c>
      <c r="J187" s="126" t="b">
        <v>0</v>
      </c>
      <c r="K187" s="126" t="b">
        <v>0</v>
      </c>
      <c r="L187" s="126" t="b">
        <v>0</v>
      </c>
    </row>
    <row r="188" spans="1:12" ht="15">
      <c r="A188" s="126" t="s">
        <v>715</v>
      </c>
      <c r="B188" s="126" t="s">
        <v>782</v>
      </c>
      <c r="C188" s="126">
        <v>2</v>
      </c>
      <c r="D188" s="128">
        <v>0.0013318061350887432</v>
      </c>
      <c r="E188" s="128">
        <v>0.4536802441997389</v>
      </c>
      <c r="F188" s="126" t="s">
        <v>982</v>
      </c>
      <c r="G188" s="126" t="b">
        <v>0</v>
      </c>
      <c r="H188" s="126" t="b">
        <v>0</v>
      </c>
      <c r="I188" s="126" t="b">
        <v>0</v>
      </c>
      <c r="J188" s="126" t="b">
        <v>0</v>
      </c>
      <c r="K188" s="126" t="b">
        <v>0</v>
      </c>
      <c r="L188" s="126" t="b">
        <v>0</v>
      </c>
    </row>
    <row r="189" spans="1:12" ht="15">
      <c r="A189" s="126" t="s">
        <v>782</v>
      </c>
      <c r="B189" s="126" t="s">
        <v>717</v>
      </c>
      <c r="C189" s="126">
        <v>2</v>
      </c>
      <c r="D189" s="128">
        <v>0.0013318061350887432</v>
      </c>
      <c r="E189" s="128">
        <v>0.9431519373058306</v>
      </c>
      <c r="F189" s="126" t="s">
        <v>982</v>
      </c>
      <c r="G189" s="126" t="b">
        <v>0</v>
      </c>
      <c r="H189" s="126" t="b">
        <v>0</v>
      </c>
      <c r="I189" s="126" t="b">
        <v>0</v>
      </c>
      <c r="J189" s="126" t="b">
        <v>0</v>
      </c>
      <c r="K189" s="126" t="b">
        <v>0</v>
      </c>
      <c r="L189" s="126" t="b">
        <v>0</v>
      </c>
    </row>
    <row r="190" spans="1:12" ht="15">
      <c r="A190" s="126" t="s">
        <v>842</v>
      </c>
      <c r="B190" s="126" t="s">
        <v>715</v>
      </c>
      <c r="C190" s="126">
        <v>2</v>
      </c>
      <c r="D190" s="128">
        <v>0.0015874579360772622</v>
      </c>
      <c r="E190" s="128">
        <v>0.8639706912582058</v>
      </c>
      <c r="F190" s="126" t="s">
        <v>982</v>
      </c>
      <c r="G190" s="126" t="b">
        <v>0</v>
      </c>
      <c r="H190" s="126" t="b">
        <v>0</v>
      </c>
      <c r="I190" s="126" t="b">
        <v>0</v>
      </c>
      <c r="J190" s="126" t="b">
        <v>0</v>
      </c>
      <c r="K190" s="126" t="b">
        <v>0</v>
      </c>
      <c r="L190" s="126" t="b">
        <v>0</v>
      </c>
    </row>
    <row r="191" spans="1:12" ht="15">
      <c r="A191" s="126" t="s">
        <v>715</v>
      </c>
      <c r="B191" s="126" t="s">
        <v>795</v>
      </c>
      <c r="C191" s="126">
        <v>2</v>
      </c>
      <c r="D191" s="128">
        <v>0.0015874579360772622</v>
      </c>
      <c r="E191" s="128">
        <v>0.5505902572077953</v>
      </c>
      <c r="F191" s="126" t="s">
        <v>982</v>
      </c>
      <c r="G191" s="126" t="b">
        <v>0</v>
      </c>
      <c r="H191" s="126" t="b">
        <v>0</v>
      </c>
      <c r="I191" s="126" t="b">
        <v>0</v>
      </c>
      <c r="J191" s="126" t="b">
        <v>0</v>
      </c>
      <c r="K191" s="126" t="b">
        <v>0</v>
      </c>
      <c r="L191" s="126" t="b">
        <v>0</v>
      </c>
    </row>
    <row r="192" spans="1:12" ht="15">
      <c r="A192" s="126" t="s">
        <v>847</v>
      </c>
      <c r="B192" s="126" t="s">
        <v>715</v>
      </c>
      <c r="C192" s="126">
        <v>2</v>
      </c>
      <c r="D192" s="128">
        <v>0.0015874579360772622</v>
      </c>
      <c r="E192" s="128">
        <v>0.8639706912582058</v>
      </c>
      <c r="F192" s="126" t="s">
        <v>982</v>
      </c>
      <c r="G192" s="126" t="b">
        <v>0</v>
      </c>
      <c r="H192" s="126" t="b">
        <v>0</v>
      </c>
      <c r="I192" s="126" t="b">
        <v>0</v>
      </c>
      <c r="J192" s="126" t="b">
        <v>0</v>
      </c>
      <c r="K192" s="126" t="b">
        <v>0</v>
      </c>
      <c r="L192" s="126" t="b">
        <v>0</v>
      </c>
    </row>
    <row r="193" spans="1:12" ht="15">
      <c r="A193" s="126" t="s">
        <v>715</v>
      </c>
      <c r="B193" s="126" t="s">
        <v>821</v>
      </c>
      <c r="C193" s="126">
        <v>2</v>
      </c>
      <c r="D193" s="128">
        <v>0.0013318061350887432</v>
      </c>
      <c r="E193" s="128">
        <v>0.5505902572077953</v>
      </c>
      <c r="F193" s="126" t="s">
        <v>982</v>
      </c>
      <c r="G193" s="126" t="b">
        <v>0</v>
      </c>
      <c r="H193" s="126" t="b">
        <v>0</v>
      </c>
      <c r="I193" s="126" t="b">
        <v>0</v>
      </c>
      <c r="J193" s="126" t="b">
        <v>0</v>
      </c>
      <c r="K193" s="126" t="b">
        <v>0</v>
      </c>
      <c r="L193" s="126" t="b">
        <v>0</v>
      </c>
    </row>
    <row r="194" spans="1:12" ht="15">
      <c r="A194" s="126" t="s">
        <v>822</v>
      </c>
      <c r="B194" s="126" t="s">
        <v>715</v>
      </c>
      <c r="C194" s="126">
        <v>2</v>
      </c>
      <c r="D194" s="128">
        <v>0.0013318061350887432</v>
      </c>
      <c r="E194" s="128">
        <v>0.5629406955942245</v>
      </c>
      <c r="F194" s="126" t="s">
        <v>982</v>
      </c>
      <c r="G194" s="126" t="b">
        <v>0</v>
      </c>
      <c r="H194" s="126" t="b">
        <v>0</v>
      </c>
      <c r="I194" s="126" t="b">
        <v>0</v>
      </c>
      <c r="J194" s="126" t="b">
        <v>0</v>
      </c>
      <c r="K194" s="126" t="b">
        <v>0</v>
      </c>
      <c r="L194" s="126" t="b">
        <v>0</v>
      </c>
    </row>
    <row r="195" spans="1:12" ht="15">
      <c r="A195" s="126" t="s">
        <v>752</v>
      </c>
      <c r="B195" s="126" t="s">
        <v>715</v>
      </c>
      <c r="C195" s="126">
        <v>2</v>
      </c>
      <c r="D195" s="128">
        <v>0.0013318061350887432</v>
      </c>
      <c r="E195" s="128">
        <v>0.3199026469079302</v>
      </c>
      <c r="F195" s="126" t="s">
        <v>982</v>
      </c>
      <c r="G195" s="126" t="b">
        <v>0</v>
      </c>
      <c r="H195" s="126" t="b">
        <v>0</v>
      </c>
      <c r="I195" s="126" t="b">
        <v>0</v>
      </c>
      <c r="J195" s="126" t="b">
        <v>0</v>
      </c>
      <c r="K195" s="126" t="b">
        <v>0</v>
      </c>
      <c r="L195" s="126" t="b">
        <v>0</v>
      </c>
    </row>
    <row r="196" spans="1:12" ht="15">
      <c r="A196" s="126" t="s">
        <v>716</v>
      </c>
      <c r="B196" s="126" t="s">
        <v>752</v>
      </c>
      <c r="C196" s="126">
        <v>2</v>
      </c>
      <c r="D196" s="128">
        <v>0.0013318061350887432</v>
      </c>
      <c r="E196" s="128">
        <v>0.5230691835565322</v>
      </c>
      <c r="F196" s="126" t="s">
        <v>982</v>
      </c>
      <c r="G196" s="126" t="b">
        <v>0</v>
      </c>
      <c r="H196" s="126" t="b">
        <v>0</v>
      </c>
      <c r="I196" s="126" t="b">
        <v>0</v>
      </c>
      <c r="J196" s="126" t="b">
        <v>0</v>
      </c>
      <c r="K196" s="126" t="b">
        <v>0</v>
      </c>
      <c r="L196" s="126" t="b">
        <v>0</v>
      </c>
    </row>
    <row r="197" spans="1:12" ht="15">
      <c r="A197" s="126" t="s">
        <v>716</v>
      </c>
      <c r="B197" s="126" t="s">
        <v>821</v>
      </c>
      <c r="C197" s="126">
        <v>2</v>
      </c>
      <c r="D197" s="128">
        <v>0.0013318061350887432</v>
      </c>
      <c r="E197" s="128">
        <v>0.8752517016678948</v>
      </c>
      <c r="F197" s="126" t="s">
        <v>982</v>
      </c>
      <c r="G197" s="126" t="b">
        <v>0</v>
      </c>
      <c r="H197" s="126" t="b">
        <v>0</v>
      </c>
      <c r="I197" s="126" t="b">
        <v>0</v>
      </c>
      <c r="J197" s="126" t="b">
        <v>0</v>
      </c>
      <c r="K197" s="126" t="b">
        <v>0</v>
      </c>
      <c r="L197" s="126" t="b">
        <v>0</v>
      </c>
    </row>
    <row r="198" spans="1:12" ht="15">
      <c r="A198" s="126" t="s">
        <v>822</v>
      </c>
      <c r="B198" s="126" t="s">
        <v>752</v>
      </c>
      <c r="C198" s="126">
        <v>2</v>
      </c>
      <c r="D198" s="128">
        <v>0.0013318061350887432</v>
      </c>
      <c r="E198" s="128">
        <v>2.1028527801733423</v>
      </c>
      <c r="F198" s="126" t="s">
        <v>982</v>
      </c>
      <c r="G198" s="126" t="b">
        <v>0</v>
      </c>
      <c r="H198" s="126" t="b">
        <v>0</v>
      </c>
      <c r="I198" s="126" t="b">
        <v>0</v>
      </c>
      <c r="J198" s="126" t="b">
        <v>0</v>
      </c>
      <c r="K198" s="126" t="b">
        <v>0</v>
      </c>
      <c r="L198" s="126" t="b">
        <v>0</v>
      </c>
    </row>
    <row r="199" spans="1:12" ht="15">
      <c r="A199" s="126" t="s">
        <v>785</v>
      </c>
      <c r="B199" s="126" t="s">
        <v>719</v>
      </c>
      <c r="C199" s="126">
        <v>2</v>
      </c>
      <c r="D199" s="128">
        <v>0.0015874579360772622</v>
      </c>
      <c r="E199" s="128">
        <v>1.1276763638983747</v>
      </c>
      <c r="F199" s="126" t="s">
        <v>982</v>
      </c>
      <c r="G199" s="126" t="b">
        <v>0</v>
      </c>
      <c r="H199" s="126" t="b">
        <v>0</v>
      </c>
      <c r="I199" s="126" t="b">
        <v>0</v>
      </c>
      <c r="J199" s="126" t="b">
        <v>0</v>
      </c>
      <c r="K199" s="126" t="b">
        <v>0</v>
      </c>
      <c r="L199" s="126" t="b">
        <v>0</v>
      </c>
    </row>
    <row r="200" spans="1:12" ht="15">
      <c r="A200" s="126" t="s">
        <v>737</v>
      </c>
      <c r="B200" s="126" t="s">
        <v>753</v>
      </c>
      <c r="C200" s="126">
        <v>2</v>
      </c>
      <c r="D200" s="128">
        <v>0.0015874579360772622</v>
      </c>
      <c r="E200" s="128">
        <v>1.609937258270448</v>
      </c>
      <c r="F200" s="126" t="s">
        <v>982</v>
      </c>
      <c r="G200" s="126" t="b">
        <v>0</v>
      </c>
      <c r="H200" s="126" t="b">
        <v>0</v>
      </c>
      <c r="I200" s="126" t="b">
        <v>0</v>
      </c>
      <c r="J200" s="126" t="b">
        <v>0</v>
      </c>
      <c r="K200" s="126" t="b">
        <v>0</v>
      </c>
      <c r="L200" s="126" t="b">
        <v>0</v>
      </c>
    </row>
    <row r="201" spans="1:12" ht="15">
      <c r="A201" s="126" t="s">
        <v>737</v>
      </c>
      <c r="B201" s="126" t="s">
        <v>774</v>
      </c>
      <c r="C201" s="126">
        <v>2</v>
      </c>
      <c r="D201" s="128">
        <v>0.0015874579360772622</v>
      </c>
      <c r="E201" s="128">
        <v>1.7348759948787482</v>
      </c>
      <c r="F201" s="126" t="s">
        <v>982</v>
      </c>
      <c r="G201" s="126" t="b">
        <v>0</v>
      </c>
      <c r="H201" s="126" t="b">
        <v>0</v>
      </c>
      <c r="I201" s="126" t="b">
        <v>0</v>
      </c>
      <c r="J201" s="126" t="b">
        <v>0</v>
      </c>
      <c r="K201" s="126" t="b">
        <v>0</v>
      </c>
      <c r="L201" s="126" t="b">
        <v>0</v>
      </c>
    </row>
    <row r="202" spans="1:12" ht="15">
      <c r="A202" s="126" t="s">
        <v>775</v>
      </c>
      <c r="B202" s="126" t="s">
        <v>753</v>
      </c>
      <c r="C202" s="126">
        <v>2</v>
      </c>
      <c r="D202" s="128">
        <v>0.0015874579360772622</v>
      </c>
      <c r="E202" s="128">
        <v>2.0570952896126675</v>
      </c>
      <c r="F202" s="126" t="s">
        <v>982</v>
      </c>
      <c r="G202" s="126" t="b">
        <v>0</v>
      </c>
      <c r="H202" s="126" t="b">
        <v>1</v>
      </c>
      <c r="I202" s="126" t="b">
        <v>0</v>
      </c>
      <c r="J202" s="126" t="b">
        <v>0</v>
      </c>
      <c r="K202" s="126" t="b">
        <v>0</v>
      </c>
      <c r="L202" s="126" t="b">
        <v>0</v>
      </c>
    </row>
    <row r="203" spans="1:12" ht="15">
      <c r="A203" s="126" t="s">
        <v>899</v>
      </c>
      <c r="B203" s="126" t="s">
        <v>900</v>
      </c>
      <c r="C203" s="126">
        <v>2</v>
      </c>
      <c r="D203" s="128">
        <v>0.0015874579360772622</v>
      </c>
      <c r="E203" s="128">
        <v>3.0570952896126675</v>
      </c>
      <c r="F203" s="126" t="s">
        <v>982</v>
      </c>
      <c r="G203" s="126" t="b">
        <v>0</v>
      </c>
      <c r="H203" s="126" t="b">
        <v>0</v>
      </c>
      <c r="I203" s="126" t="b">
        <v>0</v>
      </c>
      <c r="J203" s="126" t="b">
        <v>0</v>
      </c>
      <c r="K203" s="126" t="b">
        <v>0</v>
      </c>
      <c r="L203" s="126" t="b">
        <v>0</v>
      </c>
    </row>
    <row r="204" spans="1:12" ht="15">
      <c r="A204" s="126" t="s">
        <v>850</v>
      </c>
      <c r="B204" s="126" t="s">
        <v>715</v>
      </c>
      <c r="C204" s="126">
        <v>2</v>
      </c>
      <c r="D204" s="128">
        <v>0.0015874579360772622</v>
      </c>
      <c r="E204" s="128">
        <v>0.8639706912582058</v>
      </c>
      <c r="F204" s="126" t="s">
        <v>982</v>
      </c>
      <c r="G204" s="126" t="b">
        <v>0</v>
      </c>
      <c r="H204" s="126" t="b">
        <v>0</v>
      </c>
      <c r="I204" s="126" t="b">
        <v>0</v>
      </c>
      <c r="J204" s="126" t="b">
        <v>0</v>
      </c>
      <c r="K204" s="126" t="b">
        <v>0</v>
      </c>
      <c r="L204" s="126" t="b">
        <v>0</v>
      </c>
    </row>
    <row r="205" spans="1:12" ht="15">
      <c r="A205" s="126" t="s">
        <v>902</v>
      </c>
      <c r="B205" s="126" t="s">
        <v>903</v>
      </c>
      <c r="C205" s="126">
        <v>2</v>
      </c>
      <c r="D205" s="128">
        <v>0.0015874579360772622</v>
      </c>
      <c r="E205" s="128">
        <v>3.0570952896126675</v>
      </c>
      <c r="F205" s="126" t="s">
        <v>982</v>
      </c>
      <c r="G205" s="126" t="b">
        <v>0</v>
      </c>
      <c r="H205" s="126" t="b">
        <v>0</v>
      </c>
      <c r="I205" s="126" t="b">
        <v>0</v>
      </c>
      <c r="J205" s="126" t="b">
        <v>1</v>
      </c>
      <c r="K205" s="126" t="b">
        <v>0</v>
      </c>
      <c r="L205" s="126" t="b">
        <v>0</v>
      </c>
    </row>
    <row r="206" spans="1:12" ht="15">
      <c r="A206" s="126" t="s">
        <v>903</v>
      </c>
      <c r="B206" s="126" t="s">
        <v>904</v>
      </c>
      <c r="C206" s="126">
        <v>2</v>
      </c>
      <c r="D206" s="128">
        <v>0.0015874579360772622</v>
      </c>
      <c r="E206" s="128">
        <v>3.0570952896126675</v>
      </c>
      <c r="F206" s="126" t="s">
        <v>982</v>
      </c>
      <c r="G206" s="126" t="b">
        <v>1</v>
      </c>
      <c r="H206" s="126" t="b">
        <v>0</v>
      </c>
      <c r="I206" s="126" t="b">
        <v>0</v>
      </c>
      <c r="J206" s="126" t="b">
        <v>0</v>
      </c>
      <c r="K206" s="126" t="b">
        <v>0</v>
      </c>
      <c r="L206" s="126" t="b">
        <v>0</v>
      </c>
    </row>
    <row r="207" spans="1:12" ht="15">
      <c r="A207" s="126" t="s">
        <v>718</v>
      </c>
      <c r="B207" s="126" t="s">
        <v>723</v>
      </c>
      <c r="C207" s="126">
        <v>2</v>
      </c>
      <c r="D207" s="128">
        <v>0.0013318061350887432</v>
      </c>
      <c r="E207" s="128">
        <v>0.19243590925903112</v>
      </c>
      <c r="F207" s="126" t="s">
        <v>982</v>
      </c>
      <c r="G207" s="126" t="b">
        <v>0</v>
      </c>
      <c r="H207" s="126" t="b">
        <v>0</v>
      </c>
      <c r="I207" s="126" t="b">
        <v>0</v>
      </c>
      <c r="J207" s="126" t="b">
        <v>0</v>
      </c>
      <c r="K207" s="126" t="b">
        <v>0</v>
      </c>
      <c r="L207" s="126" t="b">
        <v>0</v>
      </c>
    </row>
    <row r="208" spans="1:12" ht="15">
      <c r="A208" s="126" t="s">
        <v>757</v>
      </c>
      <c r="B208" s="126" t="s">
        <v>719</v>
      </c>
      <c r="C208" s="126">
        <v>2</v>
      </c>
      <c r="D208" s="128">
        <v>0.0015874579360772622</v>
      </c>
      <c r="E208" s="128">
        <v>0.9235563812424499</v>
      </c>
      <c r="F208" s="126" t="s">
        <v>982</v>
      </c>
      <c r="G208" s="126" t="b">
        <v>0</v>
      </c>
      <c r="H208" s="126" t="b">
        <v>0</v>
      </c>
      <c r="I208" s="126" t="b">
        <v>0</v>
      </c>
      <c r="J208" s="126" t="b">
        <v>0</v>
      </c>
      <c r="K208" s="126" t="b">
        <v>0</v>
      </c>
      <c r="L208" s="126" t="b">
        <v>0</v>
      </c>
    </row>
    <row r="209" spans="1:12" ht="15">
      <c r="A209" s="126" t="s">
        <v>719</v>
      </c>
      <c r="B209" s="126" t="s">
        <v>745</v>
      </c>
      <c r="C209" s="126">
        <v>2</v>
      </c>
      <c r="D209" s="128">
        <v>0.0015874579360772622</v>
      </c>
      <c r="E209" s="128">
        <v>0.8078969322215545</v>
      </c>
      <c r="F209" s="126" t="s">
        <v>982</v>
      </c>
      <c r="G209" s="126" t="b">
        <v>0</v>
      </c>
      <c r="H209" s="126" t="b">
        <v>0</v>
      </c>
      <c r="I209" s="126" t="b">
        <v>0</v>
      </c>
      <c r="J209" s="126" t="b">
        <v>0</v>
      </c>
      <c r="K209" s="126" t="b">
        <v>0</v>
      </c>
      <c r="L209" s="126" t="b">
        <v>0</v>
      </c>
    </row>
    <row r="210" spans="1:12" ht="15">
      <c r="A210" s="126" t="s">
        <v>824</v>
      </c>
      <c r="B210" s="126" t="s">
        <v>777</v>
      </c>
      <c r="C210" s="126">
        <v>2</v>
      </c>
      <c r="D210" s="128">
        <v>0.0015874579360772622</v>
      </c>
      <c r="E210" s="128">
        <v>2.2789440392290237</v>
      </c>
      <c r="F210" s="126" t="s">
        <v>982</v>
      </c>
      <c r="G210" s="126" t="b">
        <v>0</v>
      </c>
      <c r="H210" s="126" t="b">
        <v>0</v>
      </c>
      <c r="I210" s="126" t="b">
        <v>0</v>
      </c>
      <c r="J210" s="126" t="b">
        <v>0</v>
      </c>
      <c r="K210" s="126" t="b">
        <v>0</v>
      </c>
      <c r="L210" s="126" t="b">
        <v>0</v>
      </c>
    </row>
    <row r="211" spans="1:12" ht="15">
      <c r="A211" s="126" t="s">
        <v>787</v>
      </c>
      <c r="B211" s="126" t="s">
        <v>907</v>
      </c>
      <c r="C211" s="126">
        <v>2</v>
      </c>
      <c r="D211" s="128">
        <v>0.0013318061350887432</v>
      </c>
      <c r="E211" s="128">
        <v>2.6591552809406296</v>
      </c>
      <c r="F211" s="126" t="s">
        <v>982</v>
      </c>
      <c r="G211" s="126" t="b">
        <v>0</v>
      </c>
      <c r="H211" s="126" t="b">
        <v>0</v>
      </c>
      <c r="I211" s="126" t="b">
        <v>0</v>
      </c>
      <c r="J211" s="126" t="b">
        <v>0</v>
      </c>
      <c r="K211" s="126" t="b">
        <v>0</v>
      </c>
      <c r="L211" s="126" t="b">
        <v>0</v>
      </c>
    </row>
    <row r="212" spans="1:12" ht="15">
      <c r="A212" s="126" t="s">
        <v>907</v>
      </c>
      <c r="B212" s="126" t="s">
        <v>908</v>
      </c>
      <c r="C212" s="126">
        <v>2</v>
      </c>
      <c r="D212" s="128">
        <v>0.0013318061350887432</v>
      </c>
      <c r="E212" s="128">
        <v>3.0570952896126675</v>
      </c>
      <c r="F212" s="126" t="s">
        <v>982</v>
      </c>
      <c r="G212" s="126" t="b">
        <v>0</v>
      </c>
      <c r="H212" s="126" t="b">
        <v>0</v>
      </c>
      <c r="I212" s="126" t="b">
        <v>0</v>
      </c>
      <c r="J212" s="126" t="b">
        <v>0</v>
      </c>
      <c r="K212" s="126" t="b">
        <v>0</v>
      </c>
      <c r="L212" s="126" t="b">
        <v>0</v>
      </c>
    </row>
    <row r="213" spans="1:12" ht="15">
      <c r="A213" s="126" t="s">
        <v>910</v>
      </c>
      <c r="B213" s="126" t="s">
        <v>853</v>
      </c>
      <c r="C213" s="126">
        <v>2</v>
      </c>
      <c r="D213" s="128">
        <v>0.0013318061350887432</v>
      </c>
      <c r="E213" s="128">
        <v>2.881004030556986</v>
      </c>
      <c r="F213" s="126" t="s">
        <v>982</v>
      </c>
      <c r="G213" s="126" t="b">
        <v>0</v>
      </c>
      <c r="H213" s="126" t="b">
        <v>0</v>
      </c>
      <c r="I213" s="126" t="b">
        <v>0</v>
      </c>
      <c r="J213" s="126" t="b">
        <v>0</v>
      </c>
      <c r="K213" s="126" t="b">
        <v>0</v>
      </c>
      <c r="L213" s="126" t="b">
        <v>0</v>
      </c>
    </row>
    <row r="214" spans="1:12" ht="15">
      <c r="A214" s="126" t="s">
        <v>722</v>
      </c>
      <c r="B214" s="126" t="s">
        <v>773</v>
      </c>
      <c r="C214" s="126">
        <v>2</v>
      </c>
      <c r="D214" s="128">
        <v>0.0013318061350887432</v>
      </c>
      <c r="E214" s="128">
        <v>1.3369359862067105</v>
      </c>
      <c r="F214" s="126" t="s">
        <v>982</v>
      </c>
      <c r="G214" s="126" t="b">
        <v>0</v>
      </c>
      <c r="H214" s="126" t="b">
        <v>0</v>
      </c>
      <c r="I214" s="126" t="b">
        <v>0</v>
      </c>
      <c r="J214" s="126" t="b">
        <v>0</v>
      </c>
      <c r="K214" s="126" t="b">
        <v>0</v>
      </c>
      <c r="L214" s="126" t="b">
        <v>0</v>
      </c>
    </row>
    <row r="215" spans="1:12" ht="15">
      <c r="A215" s="126" t="s">
        <v>912</v>
      </c>
      <c r="B215" s="126" t="s">
        <v>854</v>
      </c>
      <c r="C215" s="126">
        <v>2</v>
      </c>
      <c r="D215" s="128">
        <v>0.0013318061350887432</v>
      </c>
      <c r="E215" s="128">
        <v>2.881004030556986</v>
      </c>
      <c r="F215" s="126" t="s">
        <v>982</v>
      </c>
      <c r="G215" s="126" t="b">
        <v>0</v>
      </c>
      <c r="H215" s="126" t="b">
        <v>0</v>
      </c>
      <c r="I215" s="126" t="b">
        <v>0</v>
      </c>
      <c r="J215" s="126" t="b">
        <v>0</v>
      </c>
      <c r="K215" s="126" t="b">
        <v>0</v>
      </c>
      <c r="L215" s="126" t="b">
        <v>0</v>
      </c>
    </row>
    <row r="216" spans="1:12" ht="15">
      <c r="A216" s="126" t="s">
        <v>914</v>
      </c>
      <c r="B216" s="126" t="s">
        <v>915</v>
      </c>
      <c r="C216" s="126">
        <v>2</v>
      </c>
      <c r="D216" s="128">
        <v>0.0013318061350887432</v>
      </c>
      <c r="E216" s="128">
        <v>3.0570952896126675</v>
      </c>
      <c r="F216" s="126" t="s">
        <v>982</v>
      </c>
      <c r="G216" s="126" t="b">
        <v>0</v>
      </c>
      <c r="H216" s="126" t="b">
        <v>0</v>
      </c>
      <c r="I216" s="126" t="b">
        <v>0</v>
      </c>
      <c r="J216" s="126" t="b">
        <v>0</v>
      </c>
      <c r="K216" s="126" t="b">
        <v>0</v>
      </c>
      <c r="L216" s="126" t="b">
        <v>0</v>
      </c>
    </row>
    <row r="217" spans="1:12" ht="15">
      <c r="A217" s="126" t="s">
        <v>915</v>
      </c>
      <c r="B217" s="126" t="s">
        <v>916</v>
      </c>
      <c r="C217" s="126">
        <v>2</v>
      </c>
      <c r="D217" s="128">
        <v>0.0013318061350887432</v>
      </c>
      <c r="E217" s="128">
        <v>3.0570952896126675</v>
      </c>
      <c r="F217" s="126" t="s">
        <v>982</v>
      </c>
      <c r="G217" s="126" t="b">
        <v>0</v>
      </c>
      <c r="H217" s="126" t="b">
        <v>0</v>
      </c>
      <c r="I217" s="126" t="b">
        <v>0</v>
      </c>
      <c r="J217" s="126" t="b">
        <v>0</v>
      </c>
      <c r="K217" s="126" t="b">
        <v>0</v>
      </c>
      <c r="L217" s="126" t="b">
        <v>0</v>
      </c>
    </row>
    <row r="218" spans="1:12" ht="15">
      <c r="A218" s="126" t="s">
        <v>916</v>
      </c>
      <c r="B218" s="126" t="s">
        <v>917</v>
      </c>
      <c r="C218" s="126">
        <v>2</v>
      </c>
      <c r="D218" s="128">
        <v>0.0013318061350887432</v>
      </c>
      <c r="E218" s="128">
        <v>3.0570952896126675</v>
      </c>
      <c r="F218" s="126" t="s">
        <v>982</v>
      </c>
      <c r="G218" s="126" t="b">
        <v>0</v>
      </c>
      <c r="H218" s="126" t="b">
        <v>0</v>
      </c>
      <c r="I218" s="126" t="b">
        <v>0</v>
      </c>
      <c r="J218" s="126" t="b">
        <v>0</v>
      </c>
      <c r="K218" s="126" t="b">
        <v>0</v>
      </c>
      <c r="L218" s="126" t="b">
        <v>0</v>
      </c>
    </row>
    <row r="219" spans="1:12" ht="15">
      <c r="A219" s="126" t="s">
        <v>754</v>
      </c>
      <c r="B219" s="126" t="s">
        <v>919</v>
      </c>
      <c r="C219" s="126">
        <v>2</v>
      </c>
      <c r="D219" s="128">
        <v>0.0013318061350887432</v>
      </c>
      <c r="E219" s="128">
        <v>2.4038827758373236</v>
      </c>
      <c r="F219" s="126" t="s">
        <v>982</v>
      </c>
      <c r="G219" s="126" t="b">
        <v>0</v>
      </c>
      <c r="H219" s="126" t="b">
        <v>0</v>
      </c>
      <c r="I219" s="126" t="b">
        <v>0</v>
      </c>
      <c r="J219" s="126" t="b">
        <v>0</v>
      </c>
      <c r="K219" s="126" t="b">
        <v>0</v>
      </c>
      <c r="L219" s="126" t="b">
        <v>0</v>
      </c>
    </row>
    <row r="220" spans="1:12" ht="15">
      <c r="A220" s="126" t="s">
        <v>920</v>
      </c>
      <c r="B220" s="126" t="s">
        <v>921</v>
      </c>
      <c r="C220" s="126">
        <v>2</v>
      </c>
      <c r="D220" s="128">
        <v>0.0013318061350887432</v>
      </c>
      <c r="E220" s="128">
        <v>3.0570952896126675</v>
      </c>
      <c r="F220" s="126" t="s">
        <v>982</v>
      </c>
      <c r="G220" s="126" t="b">
        <v>0</v>
      </c>
      <c r="H220" s="126" t="b">
        <v>0</v>
      </c>
      <c r="I220" s="126" t="b">
        <v>0</v>
      </c>
      <c r="J220" s="126" t="b">
        <v>0</v>
      </c>
      <c r="K220" s="126" t="b">
        <v>0</v>
      </c>
      <c r="L220" s="126" t="b">
        <v>0</v>
      </c>
    </row>
    <row r="221" spans="1:12" ht="15">
      <c r="A221" s="126" t="s">
        <v>921</v>
      </c>
      <c r="B221" s="126" t="s">
        <v>922</v>
      </c>
      <c r="C221" s="126">
        <v>2</v>
      </c>
      <c r="D221" s="128">
        <v>0.0013318061350887432</v>
      </c>
      <c r="E221" s="128">
        <v>3.0570952896126675</v>
      </c>
      <c r="F221" s="126" t="s">
        <v>982</v>
      </c>
      <c r="G221" s="126" t="b">
        <v>0</v>
      </c>
      <c r="H221" s="126" t="b">
        <v>0</v>
      </c>
      <c r="I221" s="126" t="b">
        <v>0</v>
      </c>
      <c r="J221" s="126" t="b">
        <v>0</v>
      </c>
      <c r="K221" s="126" t="b">
        <v>0</v>
      </c>
      <c r="L221" s="126" t="b">
        <v>0</v>
      </c>
    </row>
    <row r="222" spans="1:12" ht="15">
      <c r="A222" s="126" t="s">
        <v>826</v>
      </c>
      <c r="B222" s="126" t="s">
        <v>923</v>
      </c>
      <c r="C222" s="126">
        <v>2</v>
      </c>
      <c r="D222" s="128">
        <v>0.0013318061350887432</v>
      </c>
      <c r="E222" s="128">
        <v>2.7560652939486863</v>
      </c>
      <c r="F222" s="126" t="s">
        <v>982</v>
      </c>
      <c r="G222" s="126" t="b">
        <v>0</v>
      </c>
      <c r="H222" s="126" t="b">
        <v>0</v>
      </c>
      <c r="I222" s="126" t="b">
        <v>0</v>
      </c>
      <c r="J222" s="126" t="b">
        <v>0</v>
      </c>
      <c r="K222" s="126" t="b">
        <v>1</v>
      </c>
      <c r="L222" s="126" t="b">
        <v>0</v>
      </c>
    </row>
    <row r="223" spans="1:12" ht="15">
      <c r="A223" s="126" t="s">
        <v>923</v>
      </c>
      <c r="B223" s="126" t="s">
        <v>924</v>
      </c>
      <c r="C223" s="126">
        <v>2</v>
      </c>
      <c r="D223" s="128">
        <v>0.0013318061350887432</v>
      </c>
      <c r="E223" s="128">
        <v>3.0570952896126675</v>
      </c>
      <c r="F223" s="126" t="s">
        <v>982</v>
      </c>
      <c r="G223" s="126" t="b">
        <v>0</v>
      </c>
      <c r="H223" s="126" t="b">
        <v>1</v>
      </c>
      <c r="I223" s="126" t="b">
        <v>0</v>
      </c>
      <c r="J223" s="126" t="b">
        <v>0</v>
      </c>
      <c r="K223" s="126" t="b">
        <v>0</v>
      </c>
      <c r="L223" s="126" t="b">
        <v>0</v>
      </c>
    </row>
    <row r="224" spans="1:12" ht="15">
      <c r="A224" s="126" t="s">
        <v>924</v>
      </c>
      <c r="B224" s="126" t="s">
        <v>750</v>
      </c>
      <c r="C224" s="126">
        <v>2</v>
      </c>
      <c r="D224" s="128">
        <v>0.0013318061350887432</v>
      </c>
      <c r="E224" s="128">
        <v>2.4038827758373236</v>
      </c>
      <c r="F224" s="126" t="s">
        <v>982</v>
      </c>
      <c r="G224" s="126" t="b">
        <v>0</v>
      </c>
      <c r="H224" s="126" t="b">
        <v>0</v>
      </c>
      <c r="I224" s="126" t="b">
        <v>0</v>
      </c>
      <c r="J224" s="126" t="b">
        <v>0</v>
      </c>
      <c r="K224" s="126" t="b">
        <v>1</v>
      </c>
      <c r="L224" s="126" t="b">
        <v>0</v>
      </c>
    </row>
    <row r="225" spans="1:12" ht="15">
      <c r="A225" s="126" t="s">
        <v>750</v>
      </c>
      <c r="B225" s="126" t="s">
        <v>856</v>
      </c>
      <c r="C225" s="126">
        <v>2</v>
      </c>
      <c r="D225" s="128">
        <v>0.0013318061350887432</v>
      </c>
      <c r="E225" s="128">
        <v>2.2277915167816422</v>
      </c>
      <c r="F225" s="126" t="s">
        <v>982</v>
      </c>
      <c r="G225" s="126" t="b">
        <v>0</v>
      </c>
      <c r="H225" s="126" t="b">
        <v>1</v>
      </c>
      <c r="I225" s="126" t="b">
        <v>0</v>
      </c>
      <c r="J225" s="126" t="b">
        <v>0</v>
      </c>
      <c r="K225" s="126" t="b">
        <v>0</v>
      </c>
      <c r="L225" s="126" t="b">
        <v>0</v>
      </c>
    </row>
    <row r="226" spans="1:12" ht="15">
      <c r="A226" s="126" t="s">
        <v>856</v>
      </c>
      <c r="B226" s="126" t="s">
        <v>750</v>
      </c>
      <c r="C226" s="126">
        <v>2</v>
      </c>
      <c r="D226" s="128">
        <v>0.0013318061350887432</v>
      </c>
      <c r="E226" s="128">
        <v>2.2277915167816422</v>
      </c>
      <c r="F226" s="126" t="s">
        <v>982</v>
      </c>
      <c r="G226" s="126" t="b">
        <v>0</v>
      </c>
      <c r="H226" s="126" t="b">
        <v>0</v>
      </c>
      <c r="I226" s="126" t="b">
        <v>0</v>
      </c>
      <c r="J226" s="126" t="b">
        <v>0</v>
      </c>
      <c r="K226" s="126" t="b">
        <v>1</v>
      </c>
      <c r="L226" s="126" t="b">
        <v>0</v>
      </c>
    </row>
    <row r="227" spans="1:12" ht="15">
      <c r="A227" s="126" t="s">
        <v>837</v>
      </c>
      <c r="B227" s="126" t="s">
        <v>925</v>
      </c>
      <c r="C227" s="126">
        <v>2</v>
      </c>
      <c r="D227" s="128">
        <v>0.0013318061350887432</v>
      </c>
      <c r="E227" s="128">
        <v>2.881004030556986</v>
      </c>
      <c r="F227" s="126" t="s">
        <v>982</v>
      </c>
      <c r="G227" s="126" t="b">
        <v>1</v>
      </c>
      <c r="H227" s="126" t="b">
        <v>0</v>
      </c>
      <c r="I227" s="126" t="b">
        <v>0</v>
      </c>
      <c r="J227" s="126" t="b">
        <v>0</v>
      </c>
      <c r="K227" s="126" t="b">
        <v>0</v>
      </c>
      <c r="L227" s="126" t="b">
        <v>0</v>
      </c>
    </row>
    <row r="228" spans="1:12" ht="15">
      <c r="A228" s="126" t="s">
        <v>925</v>
      </c>
      <c r="B228" s="126" t="s">
        <v>926</v>
      </c>
      <c r="C228" s="126">
        <v>2</v>
      </c>
      <c r="D228" s="128">
        <v>0.0013318061350887432</v>
      </c>
      <c r="E228" s="128">
        <v>3.0570952896126675</v>
      </c>
      <c r="F228" s="126" t="s">
        <v>982</v>
      </c>
      <c r="G228" s="126" t="b">
        <v>0</v>
      </c>
      <c r="H228" s="126" t="b">
        <v>0</v>
      </c>
      <c r="I228" s="126" t="b">
        <v>0</v>
      </c>
      <c r="J228" s="126" t="b">
        <v>1</v>
      </c>
      <c r="K228" s="126" t="b">
        <v>0</v>
      </c>
      <c r="L228" s="126" t="b">
        <v>0</v>
      </c>
    </row>
    <row r="229" spans="1:12" ht="15">
      <c r="A229" s="126" t="s">
        <v>715</v>
      </c>
      <c r="B229" s="126" t="s">
        <v>722</v>
      </c>
      <c r="C229" s="126">
        <v>2</v>
      </c>
      <c r="D229" s="128">
        <v>0.0013318061350887432</v>
      </c>
      <c r="E229" s="128">
        <v>-0.40365225223152956</v>
      </c>
      <c r="F229" s="126" t="s">
        <v>982</v>
      </c>
      <c r="G229" s="126" t="b">
        <v>0</v>
      </c>
      <c r="H229" s="126" t="b">
        <v>0</v>
      </c>
      <c r="I229" s="126" t="b">
        <v>0</v>
      </c>
      <c r="J229" s="126" t="b">
        <v>0</v>
      </c>
      <c r="K229" s="126" t="b">
        <v>0</v>
      </c>
      <c r="L229" s="126" t="b">
        <v>0</v>
      </c>
    </row>
    <row r="230" spans="1:12" ht="15">
      <c r="A230" s="126" t="s">
        <v>716</v>
      </c>
      <c r="B230" s="126" t="s">
        <v>722</v>
      </c>
      <c r="C230" s="126">
        <v>2</v>
      </c>
      <c r="D230" s="128">
        <v>0.0013318061350887432</v>
      </c>
      <c r="E230" s="128">
        <v>-0.07899080777143014</v>
      </c>
      <c r="F230" s="126" t="s">
        <v>982</v>
      </c>
      <c r="G230" s="126" t="b">
        <v>0</v>
      </c>
      <c r="H230" s="126" t="b">
        <v>0</v>
      </c>
      <c r="I230" s="126" t="b">
        <v>0</v>
      </c>
      <c r="J230" s="126" t="b">
        <v>0</v>
      </c>
      <c r="K230" s="126" t="b">
        <v>0</v>
      </c>
      <c r="L230" s="126" t="b">
        <v>0</v>
      </c>
    </row>
    <row r="231" spans="1:12" ht="15">
      <c r="A231" s="126" t="s">
        <v>716</v>
      </c>
      <c r="B231" s="126" t="s">
        <v>927</v>
      </c>
      <c r="C231" s="126">
        <v>2</v>
      </c>
      <c r="D231" s="128">
        <v>0.0015874579360772622</v>
      </c>
      <c r="E231" s="128">
        <v>1.176281697331876</v>
      </c>
      <c r="F231" s="126" t="s">
        <v>982</v>
      </c>
      <c r="G231" s="126" t="b">
        <v>0</v>
      </c>
      <c r="H231" s="126" t="b">
        <v>0</v>
      </c>
      <c r="I231" s="126" t="b">
        <v>0</v>
      </c>
      <c r="J231" s="126" t="b">
        <v>0</v>
      </c>
      <c r="K231" s="126" t="b">
        <v>0</v>
      </c>
      <c r="L231" s="126" t="b">
        <v>0</v>
      </c>
    </row>
    <row r="232" spans="1:12" ht="15">
      <c r="A232" s="126" t="s">
        <v>716</v>
      </c>
      <c r="B232" s="126" t="s">
        <v>857</v>
      </c>
      <c r="C232" s="126">
        <v>2</v>
      </c>
      <c r="D232" s="128">
        <v>0.0015874579360772622</v>
      </c>
      <c r="E232" s="128">
        <v>1.0001904382761948</v>
      </c>
      <c r="F232" s="126" t="s">
        <v>982</v>
      </c>
      <c r="G232" s="126" t="b">
        <v>0</v>
      </c>
      <c r="H232" s="126" t="b">
        <v>0</v>
      </c>
      <c r="I232" s="126" t="b">
        <v>0</v>
      </c>
      <c r="J232" s="126" t="b">
        <v>0</v>
      </c>
      <c r="K232" s="126" t="b">
        <v>0</v>
      </c>
      <c r="L232" s="126" t="b">
        <v>0</v>
      </c>
    </row>
    <row r="233" spans="1:12" ht="15">
      <c r="A233" s="126" t="s">
        <v>715</v>
      </c>
      <c r="B233" s="126" t="s">
        <v>725</v>
      </c>
      <c r="C233" s="126">
        <v>2</v>
      </c>
      <c r="D233" s="128">
        <v>0.0013318061350887432</v>
      </c>
      <c r="E233" s="128">
        <v>-0.2090775874818352</v>
      </c>
      <c r="F233" s="126" t="s">
        <v>982</v>
      </c>
      <c r="G233" s="126" t="b">
        <v>0</v>
      </c>
      <c r="H233" s="126" t="b">
        <v>0</v>
      </c>
      <c r="I233" s="126" t="b">
        <v>0</v>
      </c>
      <c r="J233" s="126" t="b">
        <v>0</v>
      </c>
      <c r="K233" s="126" t="b">
        <v>0</v>
      </c>
      <c r="L233" s="126" t="b">
        <v>0</v>
      </c>
    </row>
    <row r="234" spans="1:12" ht="15">
      <c r="A234" s="126" t="s">
        <v>929</v>
      </c>
      <c r="B234" s="126" t="s">
        <v>930</v>
      </c>
      <c r="C234" s="126">
        <v>2</v>
      </c>
      <c r="D234" s="128">
        <v>0.0013318061350887432</v>
      </c>
      <c r="E234" s="128">
        <v>3.0570952896126675</v>
      </c>
      <c r="F234" s="126" t="s">
        <v>982</v>
      </c>
      <c r="G234" s="126" t="b">
        <v>0</v>
      </c>
      <c r="H234" s="126" t="b">
        <v>0</v>
      </c>
      <c r="I234" s="126" t="b">
        <v>0</v>
      </c>
      <c r="J234" s="126" t="b">
        <v>0</v>
      </c>
      <c r="K234" s="126" t="b">
        <v>0</v>
      </c>
      <c r="L234" s="126" t="b">
        <v>0</v>
      </c>
    </row>
    <row r="235" spans="1:12" ht="15">
      <c r="A235" s="126" t="s">
        <v>930</v>
      </c>
      <c r="B235" s="126" t="s">
        <v>725</v>
      </c>
      <c r="C235" s="126">
        <v>2</v>
      </c>
      <c r="D235" s="128">
        <v>0.0013318061350887432</v>
      </c>
      <c r="E235" s="128">
        <v>1.9963974492590557</v>
      </c>
      <c r="F235" s="126" t="s">
        <v>982</v>
      </c>
      <c r="G235" s="126" t="b">
        <v>0</v>
      </c>
      <c r="H235" s="126" t="b">
        <v>0</v>
      </c>
      <c r="I235" s="126" t="b">
        <v>0</v>
      </c>
      <c r="J235" s="126" t="b">
        <v>0</v>
      </c>
      <c r="K235" s="126" t="b">
        <v>0</v>
      </c>
      <c r="L235" s="126" t="b">
        <v>0</v>
      </c>
    </row>
    <row r="236" spans="1:12" ht="15">
      <c r="A236" s="126" t="s">
        <v>715</v>
      </c>
      <c r="B236" s="126" t="s">
        <v>858</v>
      </c>
      <c r="C236" s="126">
        <v>2</v>
      </c>
      <c r="D236" s="128">
        <v>0.0015874579360772622</v>
      </c>
      <c r="E236" s="128">
        <v>0.6755289938160952</v>
      </c>
      <c r="F236" s="126" t="s">
        <v>982</v>
      </c>
      <c r="G236" s="126" t="b">
        <v>0</v>
      </c>
      <c r="H236" s="126" t="b">
        <v>0</v>
      </c>
      <c r="I236" s="126" t="b">
        <v>0</v>
      </c>
      <c r="J236" s="126" t="b">
        <v>0</v>
      </c>
      <c r="K236" s="126" t="b">
        <v>1</v>
      </c>
      <c r="L236" s="126" t="b">
        <v>0</v>
      </c>
    </row>
    <row r="237" spans="1:12" ht="15">
      <c r="A237" s="126" t="s">
        <v>859</v>
      </c>
      <c r="B237" s="126" t="s">
        <v>715</v>
      </c>
      <c r="C237" s="126">
        <v>2</v>
      </c>
      <c r="D237" s="128">
        <v>0.0015874579360772622</v>
      </c>
      <c r="E237" s="128">
        <v>0.6878794322025245</v>
      </c>
      <c r="F237" s="126" t="s">
        <v>982</v>
      </c>
      <c r="G237" s="126" t="b">
        <v>0</v>
      </c>
      <c r="H237" s="126" t="b">
        <v>0</v>
      </c>
      <c r="I237" s="126" t="b">
        <v>0</v>
      </c>
      <c r="J237" s="126" t="b">
        <v>0</v>
      </c>
      <c r="K237" s="126" t="b">
        <v>0</v>
      </c>
      <c r="L237" s="126" t="b">
        <v>0</v>
      </c>
    </row>
    <row r="238" spans="1:12" ht="15">
      <c r="A238" s="126" t="s">
        <v>818</v>
      </c>
      <c r="B238" s="126" t="s">
        <v>715</v>
      </c>
      <c r="C238" s="126">
        <v>2</v>
      </c>
      <c r="D238" s="128">
        <v>0.0013318061350887432</v>
      </c>
      <c r="E238" s="128">
        <v>0.5629406955942245</v>
      </c>
      <c r="F238" s="126" t="s">
        <v>982</v>
      </c>
      <c r="G238" s="126" t="b">
        <v>0</v>
      </c>
      <c r="H238" s="126" t="b">
        <v>1</v>
      </c>
      <c r="I238" s="126" t="b">
        <v>0</v>
      </c>
      <c r="J238" s="126" t="b">
        <v>0</v>
      </c>
      <c r="K238" s="126" t="b">
        <v>0</v>
      </c>
      <c r="L238" s="126" t="b">
        <v>0</v>
      </c>
    </row>
    <row r="239" spans="1:12" ht="15">
      <c r="A239" s="126" t="s">
        <v>716</v>
      </c>
      <c r="B239" s="126" t="s">
        <v>860</v>
      </c>
      <c r="C239" s="126">
        <v>2</v>
      </c>
      <c r="D239" s="128">
        <v>0.0013318061350887432</v>
      </c>
      <c r="E239" s="128">
        <v>1.0001904382761948</v>
      </c>
      <c r="F239" s="126" t="s">
        <v>982</v>
      </c>
      <c r="G239" s="126" t="b">
        <v>0</v>
      </c>
      <c r="H239" s="126" t="b">
        <v>0</v>
      </c>
      <c r="I239" s="126" t="b">
        <v>0</v>
      </c>
      <c r="J239" s="126" t="b">
        <v>0</v>
      </c>
      <c r="K239" s="126" t="b">
        <v>0</v>
      </c>
      <c r="L239" s="126" t="b">
        <v>0</v>
      </c>
    </row>
    <row r="240" spans="1:12" ht="15">
      <c r="A240" s="126" t="s">
        <v>860</v>
      </c>
      <c r="B240" s="126" t="s">
        <v>717</v>
      </c>
      <c r="C240" s="126">
        <v>2</v>
      </c>
      <c r="D240" s="128">
        <v>0.0013318061350887432</v>
      </c>
      <c r="E240" s="128">
        <v>1.165000686922187</v>
      </c>
      <c r="F240" s="126" t="s">
        <v>982</v>
      </c>
      <c r="G240" s="126" t="b">
        <v>0</v>
      </c>
      <c r="H240" s="126" t="b">
        <v>0</v>
      </c>
      <c r="I240" s="126" t="b">
        <v>0</v>
      </c>
      <c r="J240" s="126" t="b">
        <v>0</v>
      </c>
      <c r="K240" s="126" t="b">
        <v>0</v>
      </c>
      <c r="L240" s="126" t="b">
        <v>0</v>
      </c>
    </row>
    <row r="241" spans="1:12" ht="15">
      <c r="A241" s="126" t="s">
        <v>718</v>
      </c>
      <c r="B241" s="126" t="s">
        <v>717</v>
      </c>
      <c r="C241" s="126">
        <v>2</v>
      </c>
      <c r="D241" s="128">
        <v>0.0013318061350887432</v>
      </c>
      <c r="E241" s="128">
        <v>-0.3621994321407932</v>
      </c>
      <c r="F241" s="126" t="s">
        <v>982</v>
      </c>
      <c r="G241" s="126" t="b">
        <v>0</v>
      </c>
      <c r="H241" s="126" t="b">
        <v>0</v>
      </c>
      <c r="I241" s="126" t="b">
        <v>0</v>
      </c>
      <c r="J241" s="126" t="b">
        <v>0</v>
      </c>
      <c r="K241" s="126" t="b">
        <v>0</v>
      </c>
      <c r="L241" s="126" t="b">
        <v>0</v>
      </c>
    </row>
    <row r="242" spans="1:12" ht="15">
      <c r="A242" s="126" t="s">
        <v>861</v>
      </c>
      <c r="B242" s="126" t="s">
        <v>861</v>
      </c>
      <c r="C242" s="126">
        <v>2</v>
      </c>
      <c r="D242" s="128">
        <v>0.0015874579360772622</v>
      </c>
      <c r="E242" s="128">
        <v>2.704912771501305</v>
      </c>
      <c r="F242" s="126" t="s">
        <v>982</v>
      </c>
      <c r="G242" s="126" t="b">
        <v>0</v>
      </c>
      <c r="H242" s="126" t="b">
        <v>0</v>
      </c>
      <c r="I242" s="126" t="b">
        <v>0</v>
      </c>
      <c r="J242" s="126" t="b">
        <v>0</v>
      </c>
      <c r="K242" s="126" t="b">
        <v>0</v>
      </c>
      <c r="L242" s="126" t="b">
        <v>0</v>
      </c>
    </row>
    <row r="243" spans="1:12" ht="15">
      <c r="A243" s="126" t="s">
        <v>718</v>
      </c>
      <c r="B243" s="126" t="s">
        <v>727</v>
      </c>
      <c r="C243" s="126">
        <v>2</v>
      </c>
      <c r="D243" s="128">
        <v>0.0013318061350887432</v>
      </c>
      <c r="E243" s="128">
        <v>0.35380391149400603</v>
      </c>
      <c r="F243" s="126" t="s">
        <v>982</v>
      </c>
      <c r="G243" s="126" t="b">
        <v>0</v>
      </c>
      <c r="H243" s="126" t="b">
        <v>0</v>
      </c>
      <c r="I243" s="126" t="b">
        <v>0</v>
      </c>
      <c r="J243" s="126" t="b">
        <v>0</v>
      </c>
      <c r="K243" s="126" t="b">
        <v>0</v>
      </c>
      <c r="L243" s="126" t="b">
        <v>0</v>
      </c>
    </row>
    <row r="244" spans="1:12" ht="15">
      <c r="A244" s="126" t="s">
        <v>826</v>
      </c>
      <c r="B244" s="126" t="s">
        <v>718</v>
      </c>
      <c r="C244" s="126">
        <v>2</v>
      </c>
      <c r="D244" s="128">
        <v>0.0013318061350887432</v>
      </c>
      <c r="E244" s="128">
        <v>1.0614600950151174</v>
      </c>
      <c r="F244" s="126" t="s">
        <v>982</v>
      </c>
      <c r="G244" s="126" t="b">
        <v>0</v>
      </c>
      <c r="H244" s="126" t="b">
        <v>0</v>
      </c>
      <c r="I244" s="126" t="b">
        <v>0</v>
      </c>
      <c r="J244" s="126" t="b">
        <v>0</v>
      </c>
      <c r="K244" s="126" t="b">
        <v>0</v>
      </c>
      <c r="L244" s="126" t="b">
        <v>0</v>
      </c>
    </row>
    <row r="245" spans="1:12" ht="15">
      <c r="A245" s="126" t="s">
        <v>715</v>
      </c>
      <c r="B245" s="126" t="s">
        <v>731</v>
      </c>
      <c r="C245" s="126">
        <v>2</v>
      </c>
      <c r="D245" s="128">
        <v>0.0013318061350887432</v>
      </c>
      <c r="E245" s="128">
        <v>-0.07779867284251621</v>
      </c>
      <c r="F245" s="126" t="s">
        <v>982</v>
      </c>
      <c r="G245" s="126" t="b">
        <v>0</v>
      </c>
      <c r="H245" s="126" t="b">
        <v>0</v>
      </c>
      <c r="I245" s="126" t="b">
        <v>0</v>
      </c>
      <c r="J245" s="126" t="b">
        <v>0</v>
      </c>
      <c r="K245" s="126" t="b">
        <v>0</v>
      </c>
      <c r="L245" s="126" t="b">
        <v>0</v>
      </c>
    </row>
    <row r="246" spans="1:12" ht="15">
      <c r="A246" s="126" t="s">
        <v>723</v>
      </c>
      <c r="B246" s="126" t="s">
        <v>864</v>
      </c>
      <c r="C246" s="126">
        <v>2</v>
      </c>
      <c r="D246" s="128">
        <v>0.0013318061350887432</v>
      </c>
      <c r="E246" s="128">
        <v>1.7196360283220111</v>
      </c>
      <c r="F246" s="126" t="s">
        <v>982</v>
      </c>
      <c r="G246" s="126" t="b">
        <v>0</v>
      </c>
      <c r="H246" s="126" t="b">
        <v>0</v>
      </c>
      <c r="I246" s="126" t="b">
        <v>0</v>
      </c>
      <c r="J246" s="126" t="b">
        <v>0</v>
      </c>
      <c r="K246" s="126" t="b">
        <v>0</v>
      </c>
      <c r="L246" s="126" t="b">
        <v>0</v>
      </c>
    </row>
    <row r="247" spans="1:12" ht="15">
      <c r="A247" s="126" t="s">
        <v>739</v>
      </c>
      <c r="B247" s="126" t="s">
        <v>731</v>
      </c>
      <c r="C247" s="126">
        <v>2</v>
      </c>
      <c r="D247" s="128">
        <v>0.0013318061350887432</v>
      </c>
      <c r="E247" s="128">
        <v>1.3147630072555192</v>
      </c>
      <c r="F247" s="126" t="s">
        <v>982</v>
      </c>
      <c r="G247" s="126" t="b">
        <v>0</v>
      </c>
      <c r="H247" s="126" t="b">
        <v>0</v>
      </c>
      <c r="I247" s="126" t="b">
        <v>0</v>
      </c>
      <c r="J247" s="126" t="b">
        <v>0</v>
      </c>
      <c r="K247" s="126" t="b">
        <v>0</v>
      </c>
      <c r="L247" s="126" t="b">
        <v>0</v>
      </c>
    </row>
    <row r="248" spans="1:12" ht="15">
      <c r="A248" s="126" t="s">
        <v>718</v>
      </c>
      <c r="B248" s="126" t="s">
        <v>742</v>
      </c>
      <c r="C248" s="126">
        <v>2</v>
      </c>
      <c r="D248" s="128">
        <v>0.0013318061350887432</v>
      </c>
      <c r="E248" s="128">
        <v>0.6548339071579873</v>
      </c>
      <c r="F248" s="126" t="s">
        <v>982</v>
      </c>
      <c r="G248" s="126" t="b">
        <v>0</v>
      </c>
      <c r="H248" s="126" t="b">
        <v>0</v>
      </c>
      <c r="I248" s="126" t="b">
        <v>0</v>
      </c>
      <c r="J248" s="126" t="b">
        <v>0</v>
      </c>
      <c r="K248" s="126" t="b">
        <v>1</v>
      </c>
      <c r="L248" s="126" t="b">
        <v>0</v>
      </c>
    </row>
    <row r="249" spans="1:12" ht="15">
      <c r="A249" s="126" t="s">
        <v>828</v>
      </c>
      <c r="B249" s="126" t="s">
        <v>787</v>
      </c>
      <c r="C249" s="126">
        <v>2</v>
      </c>
      <c r="D249" s="128">
        <v>0.0015874579360772622</v>
      </c>
      <c r="E249" s="128">
        <v>2.3581252852766488</v>
      </c>
      <c r="F249" s="126" t="s">
        <v>982</v>
      </c>
      <c r="G249" s="126" t="b">
        <v>0</v>
      </c>
      <c r="H249" s="126" t="b">
        <v>0</v>
      </c>
      <c r="I249" s="126" t="b">
        <v>0</v>
      </c>
      <c r="J249" s="126" t="b">
        <v>0</v>
      </c>
      <c r="K249" s="126" t="b">
        <v>0</v>
      </c>
      <c r="L249" s="126" t="b">
        <v>0</v>
      </c>
    </row>
    <row r="250" spans="1:12" ht="15">
      <c r="A250" s="126" t="s">
        <v>736</v>
      </c>
      <c r="B250" s="126" t="s">
        <v>866</v>
      </c>
      <c r="C250" s="126">
        <v>2</v>
      </c>
      <c r="D250" s="128">
        <v>0.0013318061350887432</v>
      </c>
      <c r="E250" s="128">
        <v>2.0359059905427292</v>
      </c>
      <c r="F250" s="126" t="s">
        <v>982</v>
      </c>
      <c r="G250" s="126" t="b">
        <v>0</v>
      </c>
      <c r="H250" s="126" t="b">
        <v>0</v>
      </c>
      <c r="I250" s="126" t="b">
        <v>0</v>
      </c>
      <c r="J250" s="126" t="b">
        <v>0</v>
      </c>
      <c r="K250" s="126" t="b">
        <v>0</v>
      </c>
      <c r="L250" s="126" t="b">
        <v>0</v>
      </c>
    </row>
    <row r="251" spans="1:12" ht="15">
      <c r="A251" s="126" t="s">
        <v>829</v>
      </c>
      <c r="B251" s="126" t="s">
        <v>762</v>
      </c>
      <c r="C251" s="126">
        <v>2</v>
      </c>
      <c r="D251" s="128">
        <v>0.0015874579360772622</v>
      </c>
      <c r="E251" s="128">
        <v>2.2119972495984106</v>
      </c>
      <c r="F251" s="126" t="s">
        <v>982</v>
      </c>
      <c r="G251" s="126" t="b">
        <v>0</v>
      </c>
      <c r="H251" s="126" t="b">
        <v>0</v>
      </c>
      <c r="I251" s="126" t="b">
        <v>0</v>
      </c>
      <c r="J251" s="126" t="b">
        <v>0</v>
      </c>
      <c r="K251" s="126" t="b">
        <v>0</v>
      </c>
      <c r="L251" s="126" t="b">
        <v>0</v>
      </c>
    </row>
    <row r="252" spans="1:12" ht="15">
      <c r="A252" s="126" t="s">
        <v>731</v>
      </c>
      <c r="B252" s="126" t="s">
        <v>717</v>
      </c>
      <c r="C252" s="126">
        <v>2</v>
      </c>
      <c r="D252" s="128">
        <v>0.0013318061350887432</v>
      </c>
      <c r="E252" s="128">
        <v>0.4116730202635755</v>
      </c>
      <c r="F252" s="126" t="s">
        <v>982</v>
      </c>
      <c r="G252" s="126" t="b">
        <v>0</v>
      </c>
      <c r="H252" s="126" t="b">
        <v>0</v>
      </c>
      <c r="I252" s="126" t="b">
        <v>0</v>
      </c>
      <c r="J252" s="126" t="b">
        <v>0</v>
      </c>
      <c r="K252" s="126" t="b">
        <v>0</v>
      </c>
      <c r="L252" s="126" t="b">
        <v>0</v>
      </c>
    </row>
    <row r="253" spans="1:12" ht="15">
      <c r="A253" s="126" t="s">
        <v>943</v>
      </c>
      <c r="B253" s="126" t="s">
        <v>735</v>
      </c>
      <c r="C253" s="126">
        <v>2</v>
      </c>
      <c r="D253" s="128">
        <v>0.0013318061350887432</v>
      </c>
      <c r="E253" s="128">
        <v>2.1820340262209674</v>
      </c>
      <c r="F253" s="126" t="s">
        <v>982</v>
      </c>
      <c r="G253" s="126" t="b">
        <v>0</v>
      </c>
      <c r="H253" s="126" t="b">
        <v>0</v>
      </c>
      <c r="I253" s="126" t="b">
        <v>0</v>
      </c>
      <c r="J253" s="126" t="b">
        <v>0</v>
      </c>
      <c r="K253" s="126" t="b">
        <v>0</v>
      </c>
      <c r="L253" s="126" t="b">
        <v>0</v>
      </c>
    </row>
    <row r="254" spans="1:12" ht="15">
      <c r="A254" s="126" t="s">
        <v>735</v>
      </c>
      <c r="B254" s="126" t="s">
        <v>944</v>
      </c>
      <c r="C254" s="126">
        <v>2</v>
      </c>
      <c r="D254" s="128">
        <v>0.0013318061350887432</v>
      </c>
      <c r="E254" s="128">
        <v>2.1820340262209674</v>
      </c>
      <c r="F254" s="126" t="s">
        <v>982</v>
      </c>
      <c r="G254" s="126" t="b">
        <v>0</v>
      </c>
      <c r="H254" s="126" t="b">
        <v>0</v>
      </c>
      <c r="I254" s="126" t="b">
        <v>0</v>
      </c>
      <c r="J254" s="126" t="b">
        <v>0</v>
      </c>
      <c r="K254" s="126" t="b">
        <v>0</v>
      </c>
      <c r="L254" s="126" t="b">
        <v>0</v>
      </c>
    </row>
    <row r="255" spans="1:12" ht="15">
      <c r="A255" s="126" t="s">
        <v>944</v>
      </c>
      <c r="B255" s="126" t="s">
        <v>945</v>
      </c>
      <c r="C255" s="126">
        <v>2</v>
      </c>
      <c r="D255" s="128">
        <v>0.0013318061350887432</v>
      </c>
      <c r="E255" s="128">
        <v>3.0570952896126675</v>
      </c>
      <c r="F255" s="126" t="s">
        <v>982</v>
      </c>
      <c r="G255" s="126" t="b">
        <v>0</v>
      </c>
      <c r="H255" s="126" t="b">
        <v>0</v>
      </c>
      <c r="I255" s="126" t="b">
        <v>0</v>
      </c>
      <c r="J255" s="126" t="b">
        <v>0</v>
      </c>
      <c r="K255" s="126" t="b">
        <v>0</v>
      </c>
      <c r="L255" s="126" t="b">
        <v>0</v>
      </c>
    </row>
    <row r="256" spans="1:12" ht="15">
      <c r="A256" s="126" t="s">
        <v>945</v>
      </c>
      <c r="B256" s="126" t="s">
        <v>946</v>
      </c>
      <c r="C256" s="126">
        <v>2</v>
      </c>
      <c r="D256" s="128">
        <v>0.0013318061350887432</v>
      </c>
      <c r="E256" s="128">
        <v>3.0570952896126675</v>
      </c>
      <c r="F256" s="126" t="s">
        <v>982</v>
      </c>
      <c r="G256" s="126" t="b">
        <v>0</v>
      </c>
      <c r="H256" s="126" t="b">
        <v>0</v>
      </c>
      <c r="I256" s="126" t="b">
        <v>0</v>
      </c>
      <c r="J256" s="126" t="b">
        <v>0</v>
      </c>
      <c r="K256" s="126" t="b">
        <v>0</v>
      </c>
      <c r="L256" s="126" t="b">
        <v>0</v>
      </c>
    </row>
    <row r="257" spans="1:12" ht="15">
      <c r="A257" s="126" t="s">
        <v>946</v>
      </c>
      <c r="B257" s="126" t="s">
        <v>755</v>
      </c>
      <c r="C257" s="126">
        <v>2</v>
      </c>
      <c r="D257" s="128">
        <v>0.0013318061350887432</v>
      </c>
      <c r="E257" s="128">
        <v>2.4038827758373236</v>
      </c>
      <c r="F257" s="126" t="s">
        <v>982</v>
      </c>
      <c r="G257" s="126" t="b">
        <v>0</v>
      </c>
      <c r="H257" s="126" t="b">
        <v>0</v>
      </c>
      <c r="I257" s="126" t="b">
        <v>0</v>
      </c>
      <c r="J257" s="126" t="b">
        <v>0</v>
      </c>
      <c r="K257" s="126" t="b">
        <v>0</v>
      </c>
      <c r="L257" s="126" t="b">
        <v>0</v>
      </c>
    </row>
    <row r="258" spans="1:12" ht="15">
      <c r="A258" s="126" t="s">
        <v>755</v>
      </c>
      <c r="B258" s="126" t="s">
        <v>735</v>
      </c>
      <c r="C258" s="126">
        <v>2</v>
      </c>
      <c r="D258" s="128">
        <v>0.0013318061350887432</v>
      </c>
      <c r="E258" s="128">
        <v>1.5288215124456237</v>
      </c>
      <c r="F258" s="126" t="s">
        <v>982</v>
      </c>
      <c r="G258" s="126" t="b">
        <v>0</v>
      </c>
      <c r="H258" s="126" t="b">
        <v>0</v>
      </c>
      <c r="I258" s="126" t="b">
        <v>0</v>
      </c>
      <c r="J258" s="126" t="b">
        <v>0</v>
      </c>
      <c r="K258" s="126" t="b">
        <v>0</v>
      </c>
      <c r="L258" s="126" t="b">
        <v>0</v>
      </c>
    </row>
    <row r="259" spans="1:12" ht="15">
      <c r="A259" s="126" t="s">
        <v>735</v>
      </c>
      <c r="B259" s="126" t="s">
        <v>735</v>
      </c>
      <c r="C259" s="126">
        <v>2</v>
      </c>
      <c r="D259" s="128">
        <v>0.0013318061350887432</v>
      </c>
      <c r="E259" s="128">
        <v>1.3069727628292673</v>
      </c>
      <c r="F259" s="126" t="s">
        <v>982</v>
      </c>
      <c r="G259" s="126" t="b">
        <v>0</v>
      </c>
      <c r="H259" s="126" t="b">
        <v>0</v>
      </c>
      <c r="I259" s="126" t="b">
        <v>0</v>
      </c>
      <c r="J259" s="126" t="b">
        <v>0</v>
      </c>
      <c r="K259" s="126" t="b">
        <v>0</v>
      </c>
      <c r="L259" s="126" t="b">
        <v>0</v>
      </c>
    </row>
    <row r="260" spans="1:12" ht="15">
      <c r="A260" s="126" t="s">
        <v>735</v>
      </c>
      <c r="B260" s="126" t="s">
        <v>755</v>
      </c>
      <c r="C260" s="126">
        <v>2</v>
      </c>
      <c r="D260" s="128">
        <v>0.0013318061350887432</v>
      </c>
      <c r="E260" s="128">
        <v>1.5288215124456237</v>
      </c>
      <c r="F260" s="126" t="s">
        <v>982</v>
      </c>
      <c r="G260" s="126" t="b">
        <v>0</v>
      </c>
      <c r="H260" s="126" t="b">
        <v>0</v>
      </c>
      <c r="I260" s="126" t="b">
        <v>0</v>
      </c>
      <c r="J260" s="126" t="b">
        <v>0</v>
      </c>
      <c r="K260" s="126" t="b">
        <v>0</v>
      </c>
      <c r="L260" s="126" t="b">
        <v>0</v>
      </c>
    </row>
    <row r="261" spans="1:12" ht="15">
      <c r="A261" s="126" t="s">
        <v>755</v>
      </c>
      <c r="B261" s="126" t="s">
        <v>947</v>
      </c>
      <c r="C261" s="126">
        <v>2</v>
      </c>
      <c r="D261" s="128">
        <v>0.0013318061350887432</v>
      </c>
      <c r="E261" s="128">
        <v>2.4038827758373236</v>
      </c>
      <c r="F261" s="126" t="s">
        <v>982</v>
      </c>
      <c r="G261" s="126" t="b">
        <v>0</v>
      </c>
      <c r="H261" s="126" t="b">
        <v>0</v>
      </c>
      <c r="I261" s="126" t="b">
        <v>0</v>
      </c>
      <c r="J261" s="126" t="b">
        <v>0</v>
      </c>
      <c r="K261" s="126" t="b">
        <v>0</v>
      </c>
      <c r="L261" s="126" t="b">
        <v>0</v>
      </c>
    </row>
    <row r="262" spans="1:12" ht="15">
      <c r="A262" s="126" t="s">
        <v>949</v>
      </c>
      <c r="B262" s="126" t="s">
        <v>950</v>
      </c>
      <c r="C262" s="126">
        <v>2</v>
      </c>
      <c r="D262" s="128">
        <v>0.0015874579360772622</v>
      </c>
      <c r="E262" s="128">
        <v>3.0570952896126675</v>
      </c>
      <c r="F262" s="126" t="s">
        <v>982</v>
      </c>
      <c r="G262" s="126" t="b">
        <v>0</v>
      </c>
      <c r="H262" s="126" t="b">
        <v>0</v>
      </c>
      <c r="I262" s="126" t="b">
        <v>0</v>
      </c>
      <c r="J262" s="126" t="b">
        <v>0</v>
      </c>
      <c r="K262" s="126" t="b">
        <v>0</v>
      </c>
      <c r="L262" s="126" t="b">
        <v>0</v>
      </c>
    </row>
    <row r="263" spans="1:12" ht="15">
      <c r="A263" s="126" t="s">
        <v>830</v>
      </c>
      <c r="B263" s="126" t="s">
        <v>715</v>
      </c>
      <c r="C263" s="126">
        <v>2</v>
      </c>
      <c r="D263" s="128">
        <v>0.0015874579360772622</v>
      </c>
      <c r="E263" s="128">
        <v>0.5629406955942245</v>
      </c>
      <c r="F263" s="126" t="s">
        <v>982</v>
      </c>
      <c r="G263" s="126" t="b">
        <v>0</v>
      </c>
      <c r="H263" s="126" t="b">
        <v>0</v>
      </c>
      <c r="I263" s="126" t="b">
        <v>0</v>
      </c>
      <c r="J263" s="126" t="b">
        <v>0</v>
      </c>
      <c r="K263" s="126" t="b">
        <v>0</v>
      </c>
      <c r="L263" s="126" t="b">
        <v>0</v>
      </c>
    </row>
    <row r="264" spans="1:12" ht="15">
      <c r="A264" s="126" t="s">
        <v>716</v>
      </c>
      <c r="B264" s="126" t="s">
        <v>868</v>
      </c>
      <c r="C264" s="126">
        <v>2</v>
      </c>
      <c r="D264" s="128">
        <v>0.0013318061350887432</v>
      </c>
      <c r="E264" s="128">
        <v>1.0001904382761948</v>
      </c>
      <c r="F264" s="126" t="s">
        <v>982</v>
      </c>
      <c r="G264" s="126" t="b">
        <v>0</v>
      </c>
      <c r="H264" s="126" t="b">
        <v>0</v>
      </c>
      <c r="I264" s="126" t="b">
        <v>0</v>
      </c>
      <c r="J264" s="126" t="b">
        <v>0</v>
      </c>
      <c r="K264" s="126" t="b">
        <v>0</v>
      </c>
      <c r="L264" s="126" t="b">
        <v>0</v>
      </c>
    </row>
    <row r="265" spans="1:12" ht="15">
      <c r="A265" s="126" t="s">
        <v>723</v>
      </c>
      <c r="B265" s="126" t="s">
        <v>723</v>
      </c>
      <c r="C265" s="126">
        <v>2</v>
      </c>
      <c r="D265" s="128">
        <v>0.0013318061350887432</v>
      </c>
      <c r="E265" s="128">
        <v>0.7343592851427175</v>
      </c>
      <c r="F265" s="126" t="s">
        <v>982</v>
      </c>
      <c r="G265" s="126" t="b">
        <v>0</v>
      </c>
      <c r="H265" s="126" t="b">
        <v>0</v>
      </c>
      <c r="I265" s="126" t="b">
        <v>0</v>
      </c>
      <c r="J265" s="126" t="b">
        <v>0</v>
      </c>
      <c r="K265" s="126" t="b">
        <v>0</v>
      </c>
      <c r="L265" s="126" t="b">
        <v>0</v>
      </c>
    </row>
    <row r="266" spans="1:12" ht="15">
      <c r="A266" s="126" t="s">
        <v>722</v>
      </c>
      <c r="B266" s="126" t="s">
        <v>727</v>
      </c>
      <c r="C266" s="126">
        <v>2</v>
      </c>
      <c r="D266" s="128">
        <v>0.0015874579360772622</v>
      </c>
      <c r="E266" s="128">
        <v>0.814057240926373</v>
      </c>
      <c r="F266" s="126" t="s">
        <v>982</v>
      </c>
      <c r="G266" s="126" t="b">
        <v>0</v>
      </c>
      <c r="H266" s="126" t="b">
        <v>0</v>
      </c>
      <c r="I266" s="126" t="b">
        <v>0</v>
      </c>
      <c r="J266" s="126" t="b">
        <v>0</v>
      </c>
      <c r="K266" s="126" t="b">
        <v>0</v>
      </c>
      <c r="L266" s="126" t="b">
        <v>0</v>
      </c>
    </row>
    <row r="267" spans="1:12" ht="15">
      <c r="A267" s="126" t="s">
        <v>767</v>
      </c>
      <c r="B267" s="126" t="s">
        <v>718</v>
      </c>
      <c r="C267" s="126">
        <v>2</v>
      </c>
      <c r="D267" s="128">
        <v>0.0013318061350887432</v>
      </c>
      <c r="E267" s="128">
        <v>0.8853688359594362</v>
      </c>
      <c r="F267" s="126" t="s">
        <v>982</v>
      </c>
      <c r="G267" s="126" t="b">
        <v>0</v>
      </c>
      <c r="H267" s="126" t="b">
        <v>0</v>
      </c>
      <c r="I267" s="126" t="b">
        <v>0</v>
      </c>
      <c r="J267" s="126" t="b">
        <v>0</v>
      </c>
      <c r="K267" s="126" t="b">
        <v>0</v>
      </c>
      <c r="L267" s="126" t="b">
        <v>0</v>
      </c>
    </row>
    <row r="268" spans="1:12" ht="15">
      <c r="A268" s="126" t="s">
        <v>718</v>
      </c>
      <c r="B268" s="126" t="s">
        <v>954</v>
      </c>
      <c r="C268" s="126">
        <v>2</v>
      </c>
      <c r="D268" s="128">
        <v>0.0015874579360772622</v>
      </c>
      <c r="E268" s="128">
        <v>1.353803911494006</v>
      </c>
      <c r="F268" s="126" t="s">
        <v>982</v>
      </c>
      <c r="G268" s="126" t="b">
        <v>0</v>
      </c>
      <c r="H268" s="126" t="b">
        <v>0</v>
      </c>
      <c r="I268" s="126" t="b">
        <v>0</v>
      </c>
      <c r="J268" s="126" t="b">
        <v>0</v>
      </c>
      <c r="K268" s="126" t="b">
        <v>0</v>
      </c>
      <c r="L268" s="126" t="b">
        <v>0</v>
      </c>
    </row>
    <row r="269" spans="1:12" ht="15">
      <c r="A269" s="126" t="s">
        <v>792</v>
      </c>
      <c r="B269" s="126" t="s">
        <v>728</v>
      </c>
      <c r="C269" s="126">
        <v>2</v>
      </c>
      <c r="D269" s="128">
        <v>0.0013318061350887432</v>
      </c>
      <c r="E269" s="128">
        <v>1.6591552809406298</v>
      </c>
      <c r="F269" s="126" t="s">
        <v>982</v>
      </c>
      <c r="G269" s="126" t="b">
        <v>0</v>
      </c>
      <c r="H269" s="126" t="b">
        <v>0</v>
      </c>
      <c r="I269" s="126" t="b">
        <v>0</v>
      </c>
      <c r="J269" s="126" t="b">
        <v>0</v>
      </c>
      <c r="K269" s="126" t="b">
        <v>0</v>
      </c>
      <c r="L269" s="126" t="b">
        <v>0</v>
      </c>
    </row>
    <row r="270" spans="1:12" ht="15">
      <c r="A270" s="126" t="s">
        <v>748</v>
      </c>
      <c r="B270" s="126" t="s">
        <v>717</v>
      </c>
      <c r="C270" s="126">
        <v>2</v>
      </c>
      <c r="D270" s="128">
        <v>0.0013318061350887432</v>
      </c>
      <c r="E270" s="128">
        <v>0.6421219416418494</v>
      </c>
      <c r="F270" s="126" t="s">
        <v>982</v>
      </c>
      <c r="G270" s="126" t="b">
        <v>0</v>
      </c>
      <c r="H270" s="126" t="b">
        <v>0</v>
      </c>
      <c r="I270" s="126" t="b">
        <v>0</v>
      </c>
      <c r="J270" s="126" t="b">
        <v>0</v>
      </c>
      <c r="K270" s="126" t="b">
        <v>0</v>
      </c>
      <c r="L270" s="126" t="b">
        <v>0</v>
      </c>
    </row>
    <row r="271" spans="1:12" ht="15">
      <c r="A271" s="126" t="s">
        <v>741</v>
      </c>
      <c r="B271" s="126" t="s">
        <v>718</v>
      </c>
      <c r="C271" s="126">
        <v>2</v>
      </c>
      <c r="D271" s="128">
        <v>0.0013318061350887432</v>
      </c>
      <c r="E271" s="128">
        <v>0.6635200863430799</v>
      </c>
      <c r="F271" s="126" t="s">
        <v>982</v>
      </c>
      <c r="G271" s="126" t="b">
        <v>0</v>
      </c>
      <c r="H271" s="126" t="b">
        <v>0</v>
      </c>
      <c r="I271" s="126" t="b">
        <v>0</v>
      </c>
      <c r="J271" s="126" t="b">
        <v>0</v>
      </c>
      <c r="K271" s="126" t="b">
        <v>0</v>
      </c>
      <c r="L271" s="126" t="b">
        <v>0</v>
      </c>
    </row>
    <row r="272" spans="1:12" ht="15">
      <c r="A272" s="126" t="s">
        <v>718</v>
      </c>
      <c r="B272" s="126" t="s">
        <v>959</v>
      </c>
      <c r="C272" s="126">
        <v>2</v>
      </c>
      <c r="D272" s="128">
        <v>0.0013318061350887432</v>
      </c>
      <c r="E272" s="128">
        <v>1.353803911494006</v>
      </c>
      <c r="F272" s="126" t="s">
        <v>982</v>
      </c>
      <c r="G272" s="126" t="b">
        <v>0</v>
      </c>
      <c r="H272" s="126" t="b">
        <v>0</v>
      </c>
      <c r="I272" s="126" t="b">
        <v>0</v>
      </c>
      <c r="J272" s="126" t="b">
        <v>0</v>
      </c>
      <c r="K272" s="126" t="b">
        <v>0</v>
      </c>
      <c r="L272" s="126" t="b">
        <v>0</v>
      </c>
    </row>
    <row r="273" spans="1:12" ht="15">
      <c r="A273" s="126" t="s">
        <v>959</v>
      </c>
      <c r="B273" s="126" t="s">
        <v>741</v>
      </c>
      <c r="C273" s="126">
        <v>2</v>
      </c>
      <c r="D273" s="128">
        <v>0.0013318061350887432</v>
      </c>
      <c r="E273" s="128">
        <v>2.3167326001184234</v>
      </c>
      <c r="F273" s="126" t="s">
        <v>982</v>
      </c>
      <c r="G273" s="126" t="b">
        <v>0</v>
      </c>
      <c r="H273" s="126" t="b">
        <v>0</v>
      </c>
      <c r="I273" s="126" t="b">
        <v>0</v>
      </c>
      <c r="J273" s="126" t="b">
        <v>0</v>
      </c>
      <c r="K273" s="126" t="b">
        <v>0</v>
      </c>
      <c r="L273" s="126" t="b">
        <v>0</v>
      </c>
    </row>
    <row r="274" spans="1:12" ht="15">
      <c r="A274" s="126" t="s">
        <v>741</v>
      </c>
      <c r="B274" s="126" t="s">
        <v>741</v>
      </c>
      <c r="C274" s="126">
        <v>2</v>
      </c>
      <c r="D274" s="128">
        <v>0.0013318061350887432</v>
      </c>
      <c r="E274" s="128">
        <v>1.6177625957824047</v>
      </c>
      <c r="F274" s="126" t="s">
        <v>982</v>
      </c>
      <c r="G274" s="126" t="b">
        <v>0</v>
      </c>
      <c r="H274" s="126" t="b">
        <v>0</v>
      </c>
      <c r="I274" s="126" t="b">
        <v>0</v>
      </c>
      <c r="J274" s="126" t="b">
        <v>0</v>
      </c>
      <c r="K274" s="126" t="b">
        <v>0</v>
      </c>
      <c r="L274" s="126" t="b">
        <v>0</v>
      </c>
    </row>
    <row r="275" spans="1:12" ht="15">
      <c r="A275" s="126" t="s">
        <v>741</v>
      </c>
      <c r="B275" s="126" t="s">
        <v>960</v>
      </c>
      <c r="C275" s="126">
        <v>2</v>
      </c>
      <c r="D275" s="128">
        <v>0.0013318061350887432</v>
      </c>
      <c r="E275" s="128">
        <v>2.3581252852766488</v>
      </c>
      <c r="F275" s="126" t="s">
        <v>982</v>
      </c>
      <c r="G275" s="126" t="b">
        <v>0</v>
      </c>
      <c r="H275" s="126" t="b">
        <v>0</v>
      </c>
      <c r="I275" s="126" t="b">
        <v>0</v>
      </c>
      <c r="J275" s="126" t="b">
        <v>0</v>
      </c>
      <c r="K275" s="126" t="b">
        <v>0</v>
      </c>
      <c r="L275" s="126" t="b">
        <v>0</v>
      </c>
    </row>
    <row r="276" spans="1:12" ht="15">
      <c r="A276" s="126" t="s">
        <v>960</v>
      </c>
      <c r="B276" s="126" t="s">
        <v>961</v>
      </c>
      <c r="C276" s="126">
        <v>2</v>
      </c>
      <c r="D276" s="128">
        <v>0.0013318061350887432</v>
      </c>
      <c r="E276" s="128">
        <v>3.0570952896126675</v>
      </c>
      <c r="F276" s="126" t="s">
        <v>982</v>
      </c>
      <c r="G276" s="126" t="b">
        <v>0</v>
      </c>
      <c r="H276" s="126" t="b">
        <v>0</v>
      </c>
      <c r="I276" s="126" t="b">
        <v>0</v>
      </c>
      <c r="J276" s="126" t="b">
        <v>0</v>
      </c>
      <c r="K276" s="126" t="b">
        <v>0</v>
      </c>
      <c r="L276" s="126" t="b">
        <v>0</v>
      </c>
    </row>
    <row r="277" spans="1:12" ht="15">
      <c r="A277" s="126" t="s">
        <v>961</v>
      </c>
      <c r="B277" s="126" t="s">
        <v>725</v>
      </c>
      <c r="C277" s="126">
        <v>2</v>
      </c>
      <c r="D277" s="128">
        <v>0.0013318061350887432</v>
      </c>
      <c r="E277" s="128">
        <v>1.9963974492590557</v>
      </c>
      <c r="F277" s="126" t="s">
        <v>982</v>
      </c>
      <c r="G277" s="126" t="b">
        <v>0</v>
      </c>
      <c r="H277" s="126" t="b">
        <v>0</v>
      </c>
      <c r="I277" s="126" t="b">
        <v>0</v>
      </c>
      <c r="J277" s="126" t="b">
        <v>0</v>
      </c>
      <c r="K277" s="126" t="b">
        <v>0</v>
      </c>
      <c r="L277" s="126" t="b">
        <v>0</v>
      </c>
    </row>
    <row r="278" spans="1:12" ht="15">
      <c r="A278" s="126" t="s">
        <v>717</v>
      </c>
      <c r="B278" s="126" t="s">
        <v>728</v>
      </c>
      <c r="C278" s="126">
        <v>2</v>
      </c>
      <c r="D278" s="128">
        <v>0.0015874579360772622</v>
      </c>
      <c r="E278" s="128">
        <v>0.3410919459778682</v>
      </c>
      <c r="F278" s="126" t="s">
        <v>982</v>
      </c>
      <c r="G278" s="126" t="b">
        <v>0</v>
      </c>
      <c r="H278" s="126" t="b">
        <v>0</v>
      </c>
      <c r="I278" s="126" t="b">
        <v>0</v>
      </c>
      <c r="J278" s="126" t="b">
        <v>0</v>
      </c>
      <c r="K278" s="126" t="b">
        <v>0</v>
      </c>
      <c r="L278" s="126" t="b">
        <v>0</v>
      </c>
    </row>
    <row r="279" spans="1:12" ht="15">
      <c r="A279" s="126" t="s">
        <v>715</v>
      </c>
      <c r="B279" s="126" t="s">
        <v>729</v>
      </c>
      <c r="C279" s="126">
        <v>2</v>
      </c>
      <c r="D279" s="128">
        <v>0.0013318061350887432</v>
      </c>
      <c r="E279" s="128">
        <v>-0.07779867284251621</v>
      </c>
      <c r="F279" s="126" t="s">
        <v>982</v>
      </c>
      <c r="G279" s="126" t="b">
        <v>0</v>
      </c>
      <c r="H279" s="126" t="b">
        <v>0</v>
      </c>
      <c r="I279" s="126" t="b">
        <v>0</v>
      </c>
      <c r="J279" s="126" t="b">
        <v>0</v>
      </c>
      <c r="K279" s="126" t="b">
        <v>0</v>
      </c>
      <c r="L279" s="126" t="b">
        <v>0</v>
      </c>
    </row>
    <row r="280" spans="1:12" ht="15">
      <c r="A280" s="126" t="s">
        <v>778</v>
      </c>
      <c r="B280" s="126" t="s">
        <v>715</v>
      </c>
      <c r="C280" s="126">
        <v>2</v>
      </c>
      <c r="D280" s="128">
        <v>0.0013318061350887432</v>
      </c>
      <c r="E280" s="128">
        <v>0.4660306825861682</v>
      </c>
      <c r="F280" s="126" t="s">
        <v>982</v>
      </c>
      <c r="G280" s="126" t="b">
        <v>0</v>
      </c>
      <c r="H280" s="126" t="b">
        <v>0</v>
      </c>
      <c r="I280" s="126" t="b">
        <v>0</v>
      </c>
      <c r="J280" s="126" t="b">
        <v>0</v>
      </c>
      <c r="K280" s="126" t="b">
        <v>0</v>
      </c>
      <c r="L280" s="126" t="b">
        <v>0</v>
      </c>
    </row>
    <row r="281" spans="1:12" ht="15">
      <c r="A281" s="126" t="s">
        <v>778</v>
      </c>
      <c r="B281" s="126" t="s">
        <v>724</v>
      </c>
      <c r="C281" s="126">
        <v>2</v>
      </c>
      <c r="D281" s="128">
        <v>0.0015874579360772622</v>
      </c>
      <c r="E281" s="128">
        <v>1.5288215124456237</v>
      </c>
      <c r="F281" s="126" t="s">
        <v>982</v>
      </c>
      <c r="G281" s="126" t="b">
        <v>0</v>
      </c>
      <c r="H281" s="126" t="b">
        <v>0</v>
      </c>
      <c r="I281" s="126" t="b">
        <v>0</v>
      </c>
      <c r="J281" s="126" t="b">
        <v>0</v>
      </c>
      <c r="K281" s="126" t="b">
        <v>0</v>
      </c>
      <c r="L281" s="126" t="b">
        <v>0</v>
      </c>
    </row>
    <row r="282" spans="1:12" ht="15">
      <c r="A282" s="126" t="s">
        <v>715</v>
      </c>
      <c r="B282" s="126" t="s">
        <v>724</v>
      </c>
      <c r="C282" s="126">
        <v>2</v>
      </c>
      <c r="D282" s="128">
        <v>0.0013318061350887432</v>
      </c>
      <c r="E282" s="128">
        <v>-0.2787135156232296</v>
      </c>
      <c r="F282" s="126" t="s">
        <v>982</v>
      </c>
      <c r="G282" s="126" t="b">
        <v>0</v>
      </c>
      <c r="H282" s="126" t="b">
        <v>0</v>
      </c>
      <c r="I282" s="126" t="b">
        <v>0</v>
      </c>
      <c r="J282" s="126" t="b">
        <v>0</v>
      </c>
      <c r="K282" s="126" t="b">
        <v>0</v>
      </c>
      <c r="L282" s="126" t="b">
        <v>0</v>
      </c>
    </row>
    <row r="283" spans="1:12" ht="15">
      <c r="A283" s="126" t="s">
        <v>715</v>
      </c>
      <c r="B283" s="126" t="s">
        <v>730</v>
      </c>
      <c r="C283" s="126">
        <v>2</v>
      </c>
      <c r="D283" s="128">
        <v>0.0013318061350887432</v>
      </c>
      <c r="E283" s="128">
        <v>0.0387068962289209</v>
      </c>
      <c r="F283" s="126" t="s">
        <v>982</v>
      </c>
      <c r="G283" s="126" t="b">
        <v>0</v>
      </c>
      <c r="H283" s="126" t="b">
        <v>0</v>
      </c>
      <c r="I283" s="126" t="b">
        <v>0</v>
      </c>
      <c r="J283" s="126" t="b">
        <v>0</v>
      </c>
      <c r="K283" s="126" t="b">
        <v>0</v>
      </c>
      <c r="L283" s="126" t="b">
        <v>0</v>
      </c>
    </row>
    <row r="284" spans="1:12" ht="15">
      <c r="A284" s="126" t="s">
        <v>765</v>
      </c>
      <c r="B284" s="126" t="s">
        <v>724</v>
      </c>
      <c r="C284" s="126">
        <v>2</v>
      </c>
      <c r="D284" s="128">
        <v>0.0013318061350887432</v>
      </c>
      <c r="E284" s="128">
        <v>1.3826934767673855</v>
      </c>
      <c r="F284" s="126" t="s">
        <v>982</v>
      </c>
      <c r="G284" s="126" t="b">
        <v>0</v>
      </c>
      <c r="H284" s="126" t="b">
        <v>0</v>
      </c>
      <c r="I284" s="126" t="b">
        <v>0</v>
      </c>
      <c r="J284" s="126" t="b">
        <v>0</v>
      </c>
      <c r="K284" s="126" t="b">
        <v>0</v>
      </c>
      <c r="L284" s="126" t="b">
        <v>0</v>
      </c>
    </row>
    <row r="285" spans="1:12" ht="15">
      <c r="A285" s="126" t="s">
        <v>718</v>
      </c>
      <c r="B285" s="126" t="s">
        <v>797</v>
      </c>
      <c r="C285" s="126">
        <v>2</v>
      </c>
      <c r="D285" s="128">
        <v>0.0013318061350887432</v>
      </c>
      <c r="E285" s="128">
        <v>1.0527739158300247</v>
      </c>
      <c r="F285" s="126" t="s">
        <v>982</v>
      </c>
      <c r="G285" s="126" t="b">
        <v>0</v>
      </c>
      <c r="H285" s="126" t="b">
        <v>0</v>
      </c>
      <c r="I285" s="126" t="b">
        <v>0</v>
      </c>
      <c r="J285" s="126" t="b">
        <v>0</v>
      </c>
      <c r="K285" s="126" t="b">
        <v>0</v>
      </c>
      <c r="L285" s="126" t="b">
        <v>0</v>
      </c>
    </row>
    <row r="286" spans="1:12" ht="15">
      <c r="A286" s="126" t="s">
        <v>748</v>
      </c>
      <c r="B286" s="126" t="s">
        <v>744</v>
      </c>
      <c r="C286" s="126">
        <v>2</v>
      </c>
      <c r="D286" s="128">
        <v>0.0015874579360772622</v>
      </c>
      <c r="E286" s="128">
        <v>1.6591552809406298</v>
      </c>
      <c r="F286" s="126" t="s">
        <v>982</v>
      </c>
      <c r="G286" s="126" t="b">
        <v>0</v>
      </c>
      <c r="H286" s="126" t="b">
        <v>0</v>
      </c>
      <c r="I286" s="126" t="b">
        <v>0</v>
      </c>
      <c r="J286" s="126" t="b">
        <v>0</v>
      </c>
      <c r="K286" s="126" t="b">
        <v>0</v>
      </c>
      <c r="L286" s="126" t="b">
        <v>0</v>
      </c>
    </row>
    <row r="287" spans="1:12" ht="15">
      <c r="A287" s="126" t="s">
        <v>715</v>
      </c>
      <c r="B287" s="126" t="s">
        <v>763</v>
      </c>
      <c r="C287" s="126">
        <v>2</v>
      </c>
      <c r="D287" s="128">
        <v>0.0013318061350887432</v>
      </c>
      <c r="E287" s="128">
        <v>0.3075522085215009</v>
      </c>
      <c r="F287" s="126" t="s">
        <v>982</v>
      </c>
      <c r="G287" s="126" t="b">
        <v>0</v>
      </c>
      <c r="H287" s="126" t="b">
        <v>0</v>
      </c>
      <c r="I287" s="126" t="b">
        <v>0</v>
      </c>
      <c r="J287" s="126" t="b">
        <v>0</v>
      </c>
      <c r="K287" s="126" t="b">
        <v>0</v>
      </c>
      <c r="L287" s="126" t="b">
        <v>0</v>
      </c>
    </row>
    <row r="288" spans="1:12" ht="15">
      <c r="A288" s="126" t="s">
        <v>763</v>
      </c>
      <c r="B288" s="126" t="s">
        <v>715</v>
      </c>
      <c r="C288" s="126">
        <v>2</v>
      </c>
      <c r="D288" s="128">
        <v>0.0015874579360772622</v>
      </c>
      <c r="E288" s="128">
        <v>0.3199026469079302</v>
      </c>
      <c r="F288" s="126" t="s">
        <v>982</v>
      </c>
      <c r="G288" s="126" t="b">
        <v>0</v>
      </c>
      <c r="H288" s="126" t="b">
        <v>0</v>
      </c>
      <c r="I288" s="126" t="b">
        <v>0</v>
      </c>
      <c r="J288" s="126" t="b">
        <v>0</v>
      </c>
      <c r="K288" s="126" t="b">
        <v>0</v>
      </c>
      <c r="L288" s="126" t="b">
        <v>0</v>
      </c>
    </row>
    <row r="289" spans="1:12" ht="15">
      <c r="A289" s="126" t="s">
        <v>872</v>
      </c>
      <c r="B289" s="126" t="s">
        <v>715</v>
      </c>
      <c r="C289" s="126">
        <v>2</v>
      </c>
      <c r="D289" s="128">
        <v>0.0013318061350887432</v>
      </c>
      <c r="E289" s="128">
        <v>0.6878794322025245</v>
      </c>
      <c r="F289" s="126" t="s">
        <v>982</v>
      </c>
      <c r="G289" s="126" t="b">
        <v>0</v>
      </c>
      <c r="H289" s="126" t="b">
        <v>1</v>
      </c>
      <c r="I289" s="126" t="b">
        <v>0</v>
      </c>
      <c r="J289" s="126" t="b">
        <v>0</v>
      </c>
      <c r="K289" s="126" t="b">
        <v>0</v>
      </c>
      <c r="L289" s="126" t="b">
        <v>0</v>
      </c>
    </row>
    <row r="290" spans="1:12" ht="15">
      <c r="A290" s="126" t="s">
        <v>725</v>
      </c>
      <c r="B290" s="126" t="s">
        <v>767</v>
      </c>
      <c r="C290" s="126">
        <v>2</v>
      </c>
      <c r="D290" s="128">
        <v>0.0013318061350887432</v>
      </c>
      <c r="E290" s="128">
        <v>1.4716345601041667</v>
      </c>
      <c r="F290" s="126" t="s">
        <v>982</v>
      </c>
      <c r="G290" s="126" t="b">
        <v>0</v>
      </c>
      <c r="H290" s="126" t="b">
        <v>0</v>
      </c>
      <c r="I290" s="126" t="b">
        <v>0</v>
      </c>
      <c r="J290" s="126" t="b">
        <v>0</v>
      </c>
      <c r="K290" s="126" t="b">
        <v>0</v>
      </c>
      <c r="L290" s="126" t="b">
        <v>0</v>
      </c>
    </row>
    <row r="291" spans="1:12" ht="15">
      <c r="A291" s="126" t="s">
        <v>873</v>
      </c>
      <c r="B291" s="126" t="s">
        <v>718</v>
      </c>
      <c r="C291" s="126">
        <v>2</v>
      </c>
      <c r="D291" s="128">
        <v>0.0015874579360772622</v>
      </c>
      <c r="E291" s="128">
        <v>1.1863988316234173</v>
      </c>
      <c r="F291" s="126" t="s">
        <v>982</v>
      </c>
      <c r="G291" s="126" t="b">
        <v>0</v>
      </c>
      <c r="H291" s="126" t="b">
        <v>0</v>
      </c>
      <c r="I291" s="126" t="b">
        <v>0</v>
      </c>
      <c r="J291" s="126" t="b">
        <v>0</v>
      </c>
      <c r="K291" s="126" t="b">
        <v>0</v>
      </c>
      <c r="L291" s="126" t="b">
        <v>0</v>
      </c>
    </row>
    <row r="292" spans="1:12" ht="15">
      <c r="A292" s="126" t="s">
        <v>962</v>
      </c>
      <c r="B292" s="126" t="s">
        <v>963</v>
      </c>
      <c r="C292" s="126">
        <v>2</v>
      </c>
      <c r="D292" s="128">
        <v>0.0015874579360772622</v>
      </c>
      <c r="E292" s="128">
        <v>3.0570952896126675</v>
      </c>
      <c r="F292" s="126" t="s">
        <v>982</v>
      </c>
      <c r="G292" s="126" t="b">
        <v>0</v>
      </c>
      <c r="H292" s="126" t="b">
        <v>0</v>
      </c>
      <c r="I292" s="126" t="b">
        <v>0</v>
      </c>
      <c r="J292" s="126" t="b">
        <v>0</v>
      </c>
      <c r="K292" s="126" t="b">
        <v>0</v>
      </c>
      <c r="L292" s="126" t="b">
        <v>0</v>
      </c>
    </row>
    <row r="293" spans="1:12" ht="15">
      <c r="A293" s="126" t="s">
        <v>831</v>
      </c>
      <c r="B293" s="126" t="s">
        <v>740</v>
      </c>
      <c r="C293" s="126">
        <v>2</v>
      </c>
      <c r="D293" s="128">
        <v>0.0015874579360772622</v>
      </c>
      <c r="E293" s="128">
        <v>1.9779140435650424</v>
      </c>
      <c r="F293" s="126" t="s">
        <v>982</v>
      </c>
      <c r="G293" s="126" t="b">
        <v>0</v>
      </c>
      <c r="H293" s="126" t="b">
        <v>0</v>
      </c>
      <c r="I293" s="126" t="b">
        <v>0</v>
      </c>
      <c r="J293" s="126" t="b">
        <v>0</v>
      </c>
      <c r="K293" s="126" t="b">
        <v>0</v>
      </c>
      <c r="L293" s="126" t="b">
        <v>0</v>
      </c>
    </row>
    <row r="294" spans="1:12" ht="15">
      <c r="A294" s="126" t="s">
        <v>738</v>
      </c>
      <c r="B294" s="126" t="s">
        <v>874</v>
      </c>
      <c r="C294" s="126">
        <v>2</v>
      </c>
      <c r="D294" s="128">
        <v>0.0015874579360772622</v>
      </c>
      <c r="E294" s="128">
        <v>2.1028527801733423</v>
      </c>
      <c r="F294" s="126" t="s">
        <v>982</v>
      </c>
      <c r="G294" s="126" t="b">
        <v>0</v>
      </c>
      <c r="H294" s="126" t="b">
        <v>0</v>
      </c>
      <c r="I294" s="126" t="b">
        <v>0</v>
      </c>
      <c r="J294" s="126" t="b">
        <v>0</v>
      </c>
      <c r="K294" s="126" t="b">
        <v>0</v>
      </c>
      <c r="L294" s="126" t="b">
        <v>0</v>
      </c>
    </row>
    <row r="295" spans="1:12" ht="15">
      <c r="A295" s="126" t="s">
        <v>965</v>
      </c>
      <c r="B295" s="126" t="s">
        <v>726</v>
      </c>
      <c r="C295" s="126">
        <v>2</v>
      </c>
      <c r="D295" s="128">
        <v>0.0015874579360772622</v>
      </c>
      <c r="E295" s="128">
        <v>2.0359059905427292</v>
      </c>
      <c r="F295" s="126" t="s">
        <v>982</v>
      </c>
      <c r="G295" s="126" t="b">
        <v>0</v>
      </c>
      <c r="H295" s="126" t="b">
        <v>0</v>
      </c>
      <c r="I295" s="126" t="b">
        <v>0</v>
      </c>
      <c r="J295" s="126" t="b">
        <v>0</v>
      </c>
      <c r="K295" s="126" t="b">
        <v>0</v>
      </c>
      <c r="L295" s="126" t="b">
        <v>0</v>
      </c>
    </row>
    <row r="296" spans="1:12" ht="15">
      <c r="A296" s="126" t="s">
        <v>726</v>
      </c>
      <c r="B296" s="126" t="s">
        <v>875</v>
      </c>
      <c r="C296" s="126">
        <v>2</v>
      </c>
      <c r="D296" s="128">
        <v>0.0015874579360772622</v>
      </c>
      <c r="E296" s="128">
        <v>1.859814731487048</v>
      </c>
      <c r="F296" s="126" t="s">
        <v>982</v>
      </c>
      <c r="G296" s="126" t="b">
        <v>0</v>
      </c>
      <c r="H296" s="126" t="b">
        <v>0</v>
      </c>
      <c r="I296" s="126" t="b">
        <v>0</v>
      </c>
      <c r="J296" s="126" t="b">
        <v>0</v>
      </c>
      <c r="K296" s="126" t="b">
        <v>0</v>
      </c>
      <c r="L296" s="126" t="b">
        <v>0</v>
      </c>
    </row>
    <row r="297" spans="1:12" ht="15">
      <c r="A297" s="126" t="s">
        <v>832</v>
      </c>
      <c r="B297" s="126" t="s">
        <v>720</v>
      </c>
      <c r="C297" s="126">
        <v>2</v>
      </c>
      <c r="D297" s="128">
        <v>0.0015874579360772622</v>
      </c>
      <c r="E297" s="128">
        <v>1.3943374579310934</v>
      </c>
      <c r="F297" s="126" t="s">
        <v>982</v>
      </c>
      <c r="G297" s="126" t="b">
        <v>0</v>
      </c>
      <c r="H297" s="126" t="b">
        <v>0</v>
      </c>
      <c r="I297" s="126" t="b">
        <v>0</v>
      </c>
      <c r="J297" s="126" t="b">
        <v>0</v>
      </c>
      <c r="K297" s="126" t="b">
        <v>0</v>
      </c>
      <c r="L297" s="126" t="b">
        <v>0</v>
      </c>
    </row>
    <row r="298" spans="1:12" ht="15">
      <c r="A298" s="126" t="s">
        <v>967</v>
      </c>
      <c r="B298" s="126" t="s">
        <v>778</v>
      </c>
      <c r="C298" s="126">
        <v>2</v>
      </c>
      <c r="D298" s="128">
        <v>0.0015874579360772622</v>
      </c>
      <c r="E298" s="128">
        <v>2.579974034893005</v>
      </c>
      <c r="F298" s="126" t="s">
        <v>982</v>
      </c>
      <c r="G298" s="126" t="b">
        <v>0</v>
      </c>
      <c r="H298" s="126" t="b">
        <v>0</v>
      </c>
      <c r="I298" s="126" t="b">
        <v>0</v>
      </c>
      <c r="J298" s="126" t="b">
        <v>0</v>
      </c>
      <c r="K298" s="126" t="b">
        <v>0</v>
      </c>
      <c r="L298" s="126" t="b">
        <v>0</v>
      </c>
    </row>
    <row r="299" spans="1:12" ht="15">
      <c r="A299" s="126" t="s">
        <v>738</v>
      </c>
      <c r="B299" s="126" t="s">
        <v>727</v>
      </c>
      <c r="C299" s="126">
        <v>2</v>
      </c>
      <c r="D299" s="128">
        <v>0.0015874579360772622</v>
      </c>
      <c r="E299" s="128">
        <v>1.2789440392290239</v>
      </c>
      <c r="F299" s="126" t="s">
        <v>982</v>
      </c>
      <c r="G299" s="126" t="b">
        <v>0</v>
      </c>
      <c r="H299" s="126" t="b">
        <v>0</v>
      </c>
      <c r="I299" s="126" t="b">
        <v>0</v>
      </c>
      <c r="J299" s="126" t="b">
        <v>0</v>
      </c>
      <c r="K299" s="126" t="b">
        <v>0</v>
      </c>
      <c r="L299" s="126" t="b">
        <v>0</v>
      </c>
    </row>
    <row r="300" spans="1:12" ht="15">
      <c r="A300" s="126" t="s">
        <v>718</v>
      </c>
      <c r="B300" s="126" t="s">
        <v>721</v>
      </c>
      <c r="C300" s="126">
        <v>2</v>
      </c>
      <c r="D300" s="128">
        <v>0.0013318061350887432</v>
      </c>
      <c r="E300" s="128">
        <v>0.11076586280771154</v>
      </c>
      <c r="F300" s="126" t="s">
        <v>982</v>
      </c>
      <c r="G300" s="126" t="b">
        <v>0</v>
      </c>
      <c r="H300" s="126" t="b">
        <v>0</v>
      </c>
      <c r="I300" s="126" t="b">
        <v>0</v>
      </c>
      <c r="J300" s="126" t="b">
        <v>0</v>
      </c>
      <c r="K300" s="126" t="b">
        <v>0</v>
      </c>
      <c r="L300" s="126" t="b">
        <v>0</v>
      </c>
    </row>
    <row r="301" spans="1:12" ht="15">
      <c r="A301" s="126" t="s">
        <v>734</v>
      </c>
      <c r="B301" s="126" t="s">
        <v>876</v>
      </c>
      <c r="C301" s="126">
        <v>2</v>
      </c>
      <c r="D301" s="128">
        <v>0.0015874579360772622</v>
      </c>
      <c r="E301" s="128">
        <v>2.0359059905427292</v>
      </c>
      <c r="F301" s="126" t="s">
        <v>982</v>
      </c>
      <c r="G301" s="126" t="b">
        <v>0</v>
      </c>
      <c r="H301" s="126" t="b">
        <v>0</v>
      </c>
      <c r="I301" s="126" t="b">
        <v>0</v>
      </c>
      <c r="J301" s="126" t="b">
        <v>0</v>
      </c>
      <c r="K301" s="126" t="b">
        <v>1</v>
      </c>
      <c r="L301" s="126" t="b">
        <v>0</v>
      </c>
    </row>
    <row r="302" spans="1:12" ht="15">
      <c r="A302" s="126" t="s">
        <v>876</v>
      </c>
      <c r="B302" s="126" t="s">
        <v>723</v>
      </c>
      <c r="C302" s="126">
        <v>2</v>
      </c>
      <c r="D302" s="128">
        <v>0.0015874579360772622</v>
      </c>
      <c r="E302" s="128">
        <v>1.7196360283220111</v>
      </c>
      <c r="F302" s="126" t="s">
        <v>982</v>
      </c>
      <c r="G302" s="126" t="b">
        <v>0</v>
      </c>
      <c r="H302" s="126" t="b">
        <v>1</v>
      </c>
      <c r="I302" s="126" t="b">
        <v>0</v>
      </c>
      <c r="J302" s="126" t="b">
        <v>0</v>
      </c>
      <c r="K302" s="126" t="b">
        <v>0</v>
      </c>
      <c r="L302" s="126" t="b">
        <v>0</v>
      </c>
    </row>
    <row r="303" spans="1:12" ht="15">
      <c r="A303" s="126" t="s">
        <v>971</v>
      </c>
      <c r="B303" s="126" t="s">
        <v>972</v>
      </c>
      <c r="C303" s="126">
        <v>2</v>
      </c>
      <c r="D303" s="128">
        <v>0.0015874579360772622</v>
      </c>
      <c r="E303" s="128">
        <v>3.0570952896126675</v>
      </c>
      <c r="F303" s="126" t="s">
        <v>982</v>
      </c>
      <c r="G303" s="126" t="b">
        <v>0</v>
      </c>
      <c r="H303" s="126" t="b">
        <v>0</v>
      </c>
      <c r="I303" s="126" t="b">
        <v>0</v>
      </c>
      <c r="J303" s="126" t="b">
        <v>0</v>
      </c>
      <c r="K303" s="126" t="b">
        <v>0</v>
      </c>
      <c r="L303" s="126" t="b">
        <v>0</v>
      </c>
    </row>
    <row r="304" spans="1:12" ht="15">
      <c r="A304" s="126" t="s">
        <v>716</v>
      </c>
      <c r="B304" s="126" t="s">
        <v>878</v>
      </c>
      <c r="C304" s="126">
        <v>2</v>
      </c>
      <c r="D304" s="128">
        <v>0.0015874579360772622</v>
      </c>
      <c r="E304" s="128">
        <v>1.0001904382761948</v>
      </c>
      <c r="F304" s="126" t="s">
        <v>982</v>
      </c>
      <c r="G304" s="126" t="b">
        <v>0</v>
      </c>
      <c r="H304" s="126" t="b">
        <v>0</v>
      </c>
      <c r="I304" s="126" t="b">
        <v>0</v>
      </c>
      <c r="J304" s="126" t="b">
        <v>0</v>
      </c>
      <c r="K304" s="126" t="b">
        <v>0</v>
      </c>
      <c r="L304" s="126" t="b">
        <v>0</v>
      </c>
    </row>
    <row r="305" spans="1:12" ht="15">
      <c r="A305" s="126" t="s">
        <v>878</v>
      </c>
      <c r="B305" s="126" t="s">
        <v>973</v>
      </c>
      <c r="C305" s="126">
        <v>2</v>
      </c>
      <c r="D305" s="128">
        <v>0.0015874579360772622</v>
      </c>
      <c r="E305" s="128">
        <v>2.881004030556986</v>
      </c>
      <c r="F305" s="126" t="s">
        <v>982</v>
      </c>
      <c r="G305" s="126" t="b">
        <v>0</v>
      </c>
      <c r="H305" s="126" t="b">
        <v>0</v>
      </c>
      <c r="I305" s="126" t="b">
        <v>0</v>
      </c>
      <c r="J305" s="126" t="b">
        <v>0</v>
      </c>
      <c r="K305" s="126" t="b">
        <v>0</v>
      </c>
      <c r="L305" s="126" t="b">
        <v>0</v>
      </c>
    </row>
    <row r="306" spans="1:12" ht="15">
      <c r="A306" s="126" t="s">
        <v>974</v>
      </c>
      <c r="B306" s="126" t="s">
        <v>715</v>
      </c>
      <c r="C306" s="126">
        <v>2</v>
      </c>
      <c r="D306" s="128">
        <v>0.0015874579360772622</v>
      </c>
      <c r="E306" s="128">
        <v>0.8639706912582058</v>
      </c>
      <c r="F306" s="126" t="s">
        <v>982</v>
      </c>
      <c r="G306" s="126" t="b">
        <v>0</v>
      </c>
      <c r="H306" s="126" t="b">
        <v>0</v>
      </c>
      <c r="I306" s="126" t="b">
        <v>0</v>
      </c>
      <c r="J306" s="126" t="b">
        <v>0</v>
      </c>
      <c r="K306" s="126" t="b">
        <v>0</v>
      </c>
      <c r="L306" s="126" t="b">
        <v>0</v>
      </c>
    </row>
    <row r="307" spans="1:12" ht="15">
      <c r="A307" s="126" t="s">
        <v>757</v>
      </c>
      <c r="B307" s="126" t="s">
        <v>715</v>
      </c>
      <c r="C307" s="126">
        <v>2</v>
      </c>
      <c r="D307" s="128">
        <v>0.0015874579360772622</v>
      </c>
      <c r="E307" s="128">
        <v>0.2619106999302434</v>
      </c>
      <c r="F307" s="126" t="s">
        <v>982</v>
      </c>
      <c r="G307" s="126" t="b">
        <v>0</v>
      </c>
      <c r="H307" s="126" t="b">
        <v>0</v>
      </c>
      <c r="I307" s="126" t="b">
        <v>0</v>
      </c>
      <c r="J307" s="126" t="b">
        <v>0</v>
      </c>
      <c r="K307" s="126" t="b">
        <v>0</v>
      </c>
      <c r="L307" s="126" t="b">
        <v>0</v>
      </c>
    </row>
    <row r="308" spans="1:12" ht="15">
      <c r="A308" s="126" t="s">
        <v>715</v>
      </c>
      <c r="B308" s="126" t="s">
        <v>976</v>
      </c>
      <c r="C308" s="126">
        <v>2</v>
      </c>
      <c r="D308" s="128">
        <v>0.0015874579360772622</v>
      </c>
      <c r="E308" s="128">
        <v>0.8516202528717765</v>
      </c>
      <c r="F308" s="126" t="s">
        <v>982</v>
      </c>
      <c r="G308" s="126" t="b">
        <v>0</v>
      </c>
      <c r="H308" s="126" t="b">
        <v>0</v>
      </c>
      <c r="I308" s="126" t="b">
        <v>0</v>
      </c>
      <c r="J308" s="126" t="b">
        <v>0</v>
      </c>
      <c r="K308" s="126" t="b">
        <v>0</v>
      </c>
      <c r="L308" s="126" t="b">
        <v>0</v>
      </c>
    </row>
    <row r="309" spans="1:12" ht="15">
      <c r="A309" s="126" t="s">
        <v>788</v>
      </c>
      <c r="B309" s="126" t="s">
        <v>759</v>
      </c>
      <c r="C309" s="126">
        <v>2</v>
      </c>
      <c r="D309" s="128">
        <v>0.0015874579360772622</v>
      </c>
      <c r="E309" s="128">
        <v>2.1820340262209674</v>
      </c>
      <c r="F309" s="126" t="s">
        <v>982</v>
      </c>
      <c r="G309" s="126" t="b">
        <v>0</v>
      </c>
      <c r="H309" s="126" t="b">
        <v>0</v>
      </c>
      <c r="I309" s="126" t="b">
        <v>0</v>
      </c>
      <c r="J309" s="126" t="b">
        <v>0</v>
      </c>
      <c r="K309" s="126" t="b">
        <v>0</v>
      </c>
      <c r="L309" s="126" t="b">
        <v>0</v>
      </c>
    </row>
    <row r="310" spans="1:12" ht="15">
      <c r="A310" s="126" t="s">
        <v>715</v>
      </c>
      <c r="B310" s="126" t="s">
        <v>716</v>
      </c>
      <c r="C310" s="126">
        <v>91</v>
      </c>
      <c r="D310" s="128">
        <v>0.015151614571562444</v>
      </c>
      <c r="E310" s="128">
        <v>0.6120045582384475</v>
      </c>
      <c r="F310" s="126" t="s">
        <v>701</v>
      </c>
      <c r="G310" s="126" t="b">
        <v>0</v>
      </c>
      <c r="H310" s="126" t="b">
        <v>0</v>
      </c>
      <c r="I310" s="126" t="b">
        <v>0</v>
      </c>
      <c r="J310" s="126" t="b">
        <v>0</v>
      </c>
      <c r="K310" s="126" t="b">
        <v>0</v>
      </c>
      <c r="L310" s="126" t="b">
        <v>0</v>
      </c>
    </row>
    <row r="311" spans="1:12" ht="15">
      <c r="A311" s="126" t="s">
        <v>720</v>
      </c>
      <c r="B311" s="126" t="s">
        <v>715</v>
      </c>
      <c r="C311" s="126">
        <v>49</v>
      </c>
      <c r="D311" s="128">
        <v>0.008158561692379777</v>
      </c>
      <c r="E311" s="128">
        <v>0.8551967669507007</v>
      </c>
      <c r="F311" s="126" t="s">
        <v>701</v>
      </c>
      <c r="G311" s="126" t="b">
        <v>0</v>
      </c>
      <c r="H311" s="126" t="b">
        <v>0</v>
      </c>
      <c r="I311" s="126" t="b">
        <v>0</v>
      </c>
      <c r="J311" s="126" t="b">
        <v>0</v>
      </c>
      <c r="K311" s="126" t="b">
        <v>0</v>
      </c>
      <c r="L311" s="126" t="b">
        <v>0</v>
      </c>
    </row>
    <row r="312" spans="1:12" ht="15">
      <c r="A312" s="126" t="s">
        <v>717</v>
      </c>
      <c r="B312" s="126" t="s">
        <v>716</v>
      </c>
      <c r="C312" s="126">
        <v>35</v>
      </c>
      <c r="D312" s="128">
        <v>0.008444611610337506</v>
      </c>
      <c r="E312" s="128">
        <v>0.6865029033737212</v>
      </c>
      <c r="F312" s="126" t="s">
        <v>701</v>
      </c>
      <c r="G312" s="126" t="b">
        <v>0</v>
      </c>
      <c r="H312" s="126" t="b">
        <v>0</v>
      </c>
      <c r="I312" s="126" t="b">
        <v>0</v>
      </c>
      <c r="J312" s="126" t="b">
        <v>0</v>
      </c>
      <c r="K312" s="126" t="b">
        <v>0</v>
      </c>
      <c r="L312" s="126" t="b">
        <v>0</v>
      </c>
    </row>
    <row r="313" spans="1:12" ht="15">
      <c r="A313" s="126" t="s">
        <v>716</v>
      </c>
      <c r="B313" s="126" t="s">
        <v>715</v>
      </c>
      <c r="C313" s="126">
        <v>35</v>
      </c>
      <c r="D313" s="128">
        <v>0.008775683293942741</v>
      </c>
      <c r="E313" s="128">
        <v>0.2261951476637089</v>
      </c>
      <c r="F313" s="126" t="s">
        <v>701</v>
      </c>
      <c r="G313" s="126" t="b">
        <v>0</v>
      </c>
      <c r="H313" s="126" t="b">
        <v>0</v>
      </c>
      <c r="I313" s="126" t="b">
        <v>0</v>
      </c>
      <c r="J313" s="126" t="b">
        <v>0</v>
      </c>
      <c r="K313" s="126" t="b">
        <v>0</v>
      </c>
      <c r="L313" s="126" t="b">
        <v>0</v>
      </c>
    </row>
    <row r="314" spans="1:12" ht="15">
      <c r="A314" s="126" t="s">
        <v>716</v>
      </c>
      <c r="B314" s="126" t="s">
        <v>717</v>
      </c>
      <c r="C314" s="126">
        <v>33</v>
      </c>
      <c r="D314" s="128">
        <v>0.008274215677146013</v>
      </c>
      <c r="E314" s="128">
        <v>0.6777622979109831</v>
      </c>
      <c r="F314" s="126" t="s">
        <v>701</v>
      </c>
      <c r="G314" s="126" t="b">
        <v>0</v>
      </c>
      <c r="H314" s="126" t="b">
        <v>0</v>
      </c>
      <c r="I314" s="126" t="b">
        <v>0</v>
      </c>
      <c r="J314" s="126" t="b">
        <v>0</v>
      </c>
      <c r="K314" s="126" t="b">
        <v>0</v>
      </c>
      <c r="L314" s="126" t="b">
        <v>0</v>
      </c>
    </row>
    <row r="315" spans="1:12" ht="15">
      <c r="A315" s="126" t="s">
        <v>715</v>
      </c>
      <c r="B315" s="126" t="s">
        <v>717</v>
      </c>
      <c r="C315" s="126">
        <v>30</v>
      </c>
      <c r="D315" s="128">
        <v>0.007821136492072231</v>
      </c>
      <c r="E315" s="128">
        <v>0.31170816829265857</v>
      </c>
      <c r="F315" s="126" t="s">
        <v>701</v>
      </c>
      <c r="G315" s="126" t="b">
        <v>0</v>
      </c>
      <c r="H315" s="126" t="b">
        <v>0</v>
      </c>
      <c r="I315" s="126" t="b">
        <v>0</v>
      </c>
      <c r="J315" s="126" t="b">
        <v>0</v>
      </c>
      <c r="K315" s="126" t="b">
        <v>0</v>
      </c>
      <c r="L315" s="126" t="b">
        <v>0</v>
      </c>
    </row>
    <row r="316" spans="1:12" ht="15">
      <c r="A316" s="126" t="s">
        <v>715</v>
      </c>
      <c r="B316" s="126" t="s">
        <v>719</v>
      </c>
      <c r="C316" s="126">
        <v>27</v>
      </c>
      <c r="D316" s="128">
        <v>0.009965713984176797</v>
      </c>
      <c r="E316" s="128">
        <v>0.45047510432452753</v>
      </c>
      <c r="F316" s="126" t="s">
        <v>701</v>
      </c>
      <c r="G316" s="126" t="b">
        <v>0</v>
      </c>
      <c r="H316" s="126" t="b">
        <v>0</v>
      </c>
      <c r="I316" s="126" t="b">
        <v>0</v>
      </c>
      <c r="J316" s="126" t="b">
        <v>0</v>
      </c>
      <c r="K316" s="126" t="b">
        <v>0</v>
      </c>
      <c r="L316" s="126" t="b">
        <v>0</v>
      </c>
    </row>
    <row r="317" spans="1:12" ht="15">
      <c r="A317" s="126" t="s">
        <v>724</v>
      </c>
      <c r="B317" s="126" t="s">
        <v>718</v>
      </c>
      <c r="C317" s="126">
        <v>24</v>
      </c>
      <c r="D317" s="128">
        <v>0.012913852009202687</v>
      </c>
      <c r="E317" s="128">
        <v>1.2803033344917485</v>
      </c>
      <c r="F317" s="126" t="s">
        <v>701</v>
      </c>
      <c r="G317" s="126" t="b">
        <v>0</v>
      </c>
      <c r="H317" s="126" t="b">
        <v>0</v>
      </c>
      <c r="I317" s="126" t="b">
        <v>0</v>
      </c>
      <c r="J317" s="126" t="b">
        <v>0</v>
      </c>
      <c r="K317" s="126" t="b">
        <v>0</v>
      </c>
      <c r="L317" s="126" t="b">
        <v>0</v>
      </c>
    </row>
    <row r="318" spans="1:12" ht="15">
      <c r="A318" s="126" t="s">
        <v>715</v>
      </c>
      <c r="B318" s="126" t="s">
        <v>715</v>
      </c>
      <c r="C318" s="126">
        <v>20</v>
      </c>
      <c r="D318" s="128">
        <v>0.0061410079325073304</v>
      </c>
      <c r="E318" s="128">
        <v>-0.3415043454826851</v>
      </c>
      <c r="F318" s="126" t="s">
        <v>701</v>
      </c>
      <c r="G318" s="126" t="b">
        <v>0</v>
      </c>
      <c r="H318" s="126" t="b">
        <v>0</v>
      </c>
      <c r="I318" s="126" t="b">
        <v>0</v>
      </c>
      <c r="J318" s="126" t="b">
        <v>0</v>
      </c>
      <c r="K318" s="126" t="b">
        <v>0</v>
      </c>
      <c r="L318" s="126" t="b">
        <v>0</v>
      </c>
    </row>
    <row r="319" spans="1:12" ht="15">
      <c r="A319" s="126" t="s">
        <v>721</v>
      </c>
      <c r="B319" s="126" t="s">
        <v>715</v>
      </c>
      <c r="C319" s="126">
        <v>20</v>
      </c>
      <c r="D319" s="128">
        <v>0.0061410079325073304</v>
      </c>
      <c r="E319" s="128">
        <v>0.6086981861548997</v>
      </c>
      <c r="F319" s="126" t="s">
        <v>701</v>
      </c>
      <c r="G319" s="126" t="b">
        <v>0</v>
      </c>
      <c r="H319" s="126" t="b">
        <v>0</v>
      </c>
      <c r="I319" s="126" t="b">
        <v>0</v>
      </c>
      <c r="J319" s="126" t="b">
        <v>0</v>
      </c>
      <c r="K319" s="126" t="b">
        <v>0</v>
      </c>
      <c r="L319" s="126" t="b">
        <v>0</v>
      </c>
    </row>
    <row r="320" spans="1:12" ht="15">
      <c r="A320" s="126" t="s">
        <v>719</v>
      </c>
      <c r="B320" s="126" t="s">
        <v>715</v>
      </c>
      <c r="C320" s="126">
        <v>20</v>
      </c>
      <c r="D320" s="128">
        <v>0.006709558162915935</v>
      </c>
      <c r="E320" s="128">
        <v>0.31374233820311165</v>
      </c>
      <c r="F320" s="126" t="s">
        <v>701</v>
      </c>
      <c r="G320" s="126" t="b">
        <v>0</v>
      </c>
      <c r="H320" s="126" t="b">
        <v>0</v>
      </c>
      <c r="I320" s="126" t="b">
        <v>0</v>
      </c>
      <c r="J320" s="126" t="b">
        <v>0</v>
      </c>
      <c r="K320" s="126" t="b">
        <v>0</v>
      </c>
      <c r="L320" s="126" t="b">
        <v>0</v>
      </c>
    </row>
    <row r="321" spans="1:12" ht="15">
      <c r="A321" s="126" t="s">
        <v>717</v>
      </c>
      <c r="B321" s="126" t="s">
        <v>722</v>
      </c>
      <c r="C321" s="126">
        <v>17</v>
      </c>
      <c r="D321" s="128">
        <v>0.005003561711881111</v>
      </c>
      <c r="E321" s="128">
        <v>1.0152383665888547</v>
      </c>
      <c r="F321" s="126" t="s">
        <v>701</v>
      </c>
      <c r="G321" s="126" t="b">
        <v>0</v>
      </c>
      <c r="H321" s="126" t="b">
        <v>0</v>
      </c>
      <c r="I321" s="126" t="b">
        <v>0</v>
      </c>
      <c r="J321" s="126" t="b">
        <v>0</v>
      </c>
      <c r="K321" s="126" t="b">
        <v>0</v>
      </c>
      <c r="L321" s="126" t="b">
        <v>0</v>
      </c>
    </row>
    <row r="322" spans="1:12" ht="15">
      <c r="A322" s="126" t="s">
        <v>717</v>
      </c>
      <c r="B322" s="126" t="s">
        <v>715</v>
      </c>
      <c r="C322" s="126">
        <v>16</v>
      </c>
      <c r="D322" s="128">
        <v>0.005131470861480353</v>
      </c>
      <c r="E322" s="128">
        <v>0.05105733461535017</v>
      </c>
      <c r="F322" s="126" t="s">
        <v>701</v>
      </c>
      <c r="G322" s="126" t="b">
        <v>0</v>
      </c>
      <c r="H322" s="126" t="b">
        <v>0</v>
      </c>
      <c r="I322" s="126" t="b">
        <v>0</v>
      </c>
      <c r="J322" s="126" t="b">
        <v>0</v>
      </c>
      <c r="K322" s="126" t="b">
        <v>0</v>
      </c>
      <c r="L322" s="126" t="b">
        <v>0</v>
      </c>
    </row>
    <row r="323" spans="1:12" ht="15">
      <c r="A323" s="126" t="s">
        <v>727</v>
      </c>
      <c r="B323" s="126" t="s">
        <v>734</v>
      </c>
      <c r="C323" s="126">
        <v>15</v>
      </c>
      <c r="D323" s="128">
        <v>0.005272860092820072</v>
      </c>
      <c r="E323" s="128">
        <v>2.0359059905427292</v>
      </c>
      <c r="F323" s="126" t="s">
        <v>701</v>
      </c>
      <c r="G323" s="126" t="b">
        <v>0</v>
      </c>
      <c r="H323" s="126" t="b">
        <v>0</v>
      </c>
      <c r="I323" s="126" t="b">
        <v>0</v>
      </c>
      <c r="J323" s="126" t="b">
        <v>0</v>
      </c>
      <c r="K323" s="126" t="b">
        <v>0</v>
      </c>
      <c r="L323" s="126" t="b">
        <v>0</v>
      </c>
    </row>
    <row r="324" spans="1:12" ht="15">
      <c r="A324" s="126" t="s">
        <v>715</v>
      </c>
      <c r="B324" s="126" t="s">
        <v>720</v>
      </c>
      <c r="C324" s="126">
        <v>15</v>
      </c>
      <c r="D324" s="128">
        <v>0.005827956753450009</v>
      </c>
      <c r="E324" s="128">
        <v>0.36495368024588365</v>
      </c>
      <c r="F324" s="126" t="s">
        <v>701</v>
      </c>
      <c r="G324" s="126" t="b">
        <v>0</v>
      </c>
      <c r="H324" s="126" t="b">
        <v>0</v>
      </c>
      <c r="I324" s="126" t="b">
        <v>0</v>
      </c>
      <c r="J324" s="126" t="b">
        <v>0</v>
      </c>
      <c r="K324" s="126" t="b">
        <v>0</v>
      </c>
      <c r="L324" s="126" t="b">
        <v>0</v>
      </c>
    </row>
    <row r="325" spans="1:12" ht="15">
      <c r="A325" s="126" t="s">
        <v>718</v>
      </c>
      <c r="B325" s="126" t="s">
        <v>715</v>
      </c>
      <c r="C325" s="126">
        <v>14</v>
      </c>
      <c r="D325" s="128">
        <v>0.006088268159674765</v>
      </c>
      <c r="E325" s="128">
        <v>0.005777353153801243</v>
      </c>
      <c r="F325" s="126" t="s">
        <v>701</v>
      </c>
      <c r="G325" s="126" t="b">
        <v>0</v>
      </c>
      <c r="H325" s="126" t="b">
        <v>0</v>
      </c>
      <c r="I325" s="126" t="b">
        <v>0</v>
      </c>
      <c r="J325" s="126" t="b">
        <v>0</v>
      </c>
      <c r="K325" s="126" t="b">
        <v>0</v>
      </c>
      <c r="L325" s="126" t="b">
        <v>0</v>
      </c>
    </row>
    <row r="326" spans="1:12" ht="15">
      <c r="A326" s="126" t="s">
        <v>715</v>
      </c>
      <c r="B326" s="126" t="s">
        <v>721</v>
      </c>
      <c r="C326" s="126">
        <v>13</v>
      </c>
      <c r="D326" s="128">
        <v>0.0047983067331221615</v>
      </c>
      <c r="E326" s="128">
        <v>0.42149556082833767</v>
      </c>
      <c r="F326" s="126" t="s">
        <v>701</v>
      </c>
      <c r="G326" s="126" t="b">
        <v>0</v>
      </c>
      <c r="H326" s="126" t="b">
        <v>0</v>
      </c>
      <c r="I326" s="126" t="b">
        <v>0</v>
      </c>
      <c r="J326" s="126" t="b">
        <v>0</v>
      </c>
      <c r="K326" s="126" t="b">
        <v>0</v>
      </c>
      <c r="L326" s="126" t="b">
        <v>0</v>
      </c>
    </row>
    <row r="327" spans="1:12" ht="15">
      <c r="A327" s="126" t="s">
        <v>740</v>
      </c>
      <c r="B327" s="126" t="s">
        <v>738</v>
      </c>
      <c r="C327" s="126">
        <v>12</v>
      </c>
      <c r="D327" s="128">
        <v>0.005218515565435512</v>
      </c>
      <c r="E327" s="128">
        <v>2.244181932969812</v>
      </c>
      <c r="F327" s="126" t="s">
        <v>701</v>
      </c>
      <c r="G327" s="126" t="b">
        <v>0</v>
      </c>
      <c r="H327" s="126" t="b">
        <v>0</v>
      </c>
      <c r="I327" s="126" t="b">
        <v>0</v>
      </c>
      <c r="J327" s="126" t="b">
        <v>0</v>
      </c>
      <c r="K327" s="126" t="b">
        <v>0</v>
      </c>
      <c r="L327" s="126" t="b">
        <v>0</v>
      </c>
    </row>
    <row r="328" spans="1:12" ht="15">
      <c r="A328" s="126" t="s">
        <v>718</v>
      </c>
      <c r="B328" s="126" t="s">
        <v>718</v>
      </c>
      <c r="C328" s="126">
        <v>11</v>
      </c>
      <c r="D328" s="128">
        <v>0.005096341895040619</v>
      </c>
      <c r="E328" s="128">
        <v>0.3995614020546811</v>
      </c>
      <c r="F328" s="126" t="s">
        <v>701</v>
      </c>
      <c r="G328" s="126" t="b">
        <v>0</v>
      </c>
      <c r="H328" s="126" t="b">
        <v>0</v>
      </c>
      <c r="I328" s="126" t="b">
        <v>0</v>
      </c>
      <c r="J328" s="126" t="b">
        <v>0</v>
      </c>
      <c r="K328" s="126" t="b">
        <v>0</v>
      </c>
      <c r="L328" s="126" t="b">
        <v>0</v>
      </c>
    </row>
    <row r="329" spans="1:12" ht="15">
      <c r="A329" s="126" t="s">
        <v>722</v>
      </c>
      <c r="B329" s="126" t="s">
        <v>715</v>
      </c>
      <c r="C329" s="126">
        <v>11</v>
      </c>
      <c r="D329" s="128">
        <v>0.004783639268315886</v>
      </c>
      <c r="E329" s="128">
        <v>0.3612953320661552</v>
      </c>
      <c r="F329" s="126" t="s">
        <v>701</v>
      </c>
      <c r="G329" s="126" t="b">
        <v>0</v>
      </c>
      <c r="H329" s="126" t="b">
        <v>0</v>
      </c>
      <c r="I329" s="126" t="b">
        <v>0</v>
      </c>
      <c r="J329" s="126" t="b">
        <v>0</v>
      </c>
      <c r="K329" s="126" t="b">
        <v>0</v>
      </c>
      <c r="L329" s="126" t="b">
        <v>0</v>
      </c>
    </row>
    <row r="330" spans="1:12" ht="15">
      <c r="A330" s="126" t="s">
        <v>742</v>
      </c>
      <c r="B330" s="126" t="s">
        <v>718</v>
      </c>
      <c r="C330" s="126">
        <v>10</v>
      </c>
      <c r="D330" s="128">
        <v>0.0036910051793247398</v>
      </c>
      <c r="E330" s="128">
        <v>1.3624900906790987</v>
      </c>
      <c r="F330" s="126" t="s">
        <v>701</v>
      </c>
      <c r="G330" s="126" t="b">
        <v>0</v>
      </c>
      <c r="H330" s="126" t="b">
        <v>1</v>
      </c>
      <c r="I330" s="126" t="b">
        <v>0</v>
      </c>
      <c r="J330" s="126" t="b">
        <v>0</v>
      </c>
      <c r="K330" s="126" t="b">
        <v>0</v>
      </c>
      <c r="L330" s="126" t="b">
        <v>0</v>
      </c>
    </row>
    <row r="331" spans="1:12" ht="15">
      <c r="A331" s="126" t="s">
        <v>728</v>
      </c>
      <c r="B331" s="126" t="s">
        <v>716</v>
      </c>
      <c r="C331" s="126">
        <v>9</v>
      </c>
      <c r="D331" s="128">
        <v>0.003692261399002672</v>
      </c>
      <c r="E331" s="128">
        <v>0.8349571068087219</v>
      </c>
      <c r="F331" s="126" t="s">
        <v>701</v>
      </c>
      <c r="G331" s="126" t="b">
        <v>0</v>
      </c>
      <c r="H331" s="126" t="b">
        <v>0</v>
      </c>
      <c r="I331" s="126" t="b">
        <v>0</v>
      </c>
      <c r="J331" s="126" t="b">
        <v>0</v>
      </c>
      <c r="K331" s="126" t="b">
        <v>0</v>
      </c>
      <c r="L331" s="126" t="b">
        <v>0</v>
      </c>
    </row>
    <row r="332" spans="1:12" ht="15">
      <c r="A332" s="126" t="s">
        <v>716</v>
      </c>
      <c r="B332" s="126" t="s">
        <v>719</v>
      </c>
      <c r="C332" s="126">
        <v>9</v>
      </c>
      <c r="D332" s="128">
        <v>0.004472337765840602</v>
      </c>
      <c r="E332" s="128">
        <v>0.29801529406496463</v>
      </c>
      <c r="F332" s="126" t="s">
        <v>701</v>
      </c>
      <c r="G332" s="126" t="b">
        <v>0</v>
      </c>
      <c r="H332" s="126" t="b">
        <v>0</v>
      </c>
      <c r="I332" s="126" t="b">
        <v>0</v>
      </c>
      <c r="J332" s="126" t="b">
        <v>0</v>
      </c>
      <c r="K332" s="126" t="b">
        <v>0</v>
      </c>
      <c r="L332" s="126" t="b">
        <v>0</v>
      </c>
    </row>
    <row r="333" spans="1:12" ht="15">
      <c r="A333" s="126" t="s">
        <v>745</v>
      </c>
      <c r="B333" s="126" t="s">
        <v>718</v>
      </c>
      <c r="C333" s="126">
        <v>9</v>
      </c>
      <c r="D333" s="128">
        <v>0.0053201673822088425</v>
      </c>
      <c r="E333" s="128">
        <v>1.3167326001184236</v>
      </c>
      <c r="F333" s="126" t="s">
        <v>701</v>
      </c>
      <c r="G333" s="126" t="b">
        <v>0</v>
      </c>
      <c r="H333" s="126" t="b">
        <v>0</v>
      </c>
      <c r="I333" s="126" t="b">
        <v>0</v>
      </c>
      <c r="J333" s="126" t="b">
        <v>0</v>
      </c>
      <c r="K333" s="126" t="b">
        <v>0</v>
      </c>
      <c r="L333" s="126" t="b">
        <v>0</v>
      </c>
    </row>
    <row r="334" spans="1:12" ht="15">
      <c r="A334" s="126" t="s">
        <v>719</v>
      </c>
      <c r="B334" s="126" t="s">
        <v>719</v>
      </c>
      <c r="C334" s="126">
        <v>9</v>
      </c>
      <c r="D334" s="128">
        <v>0.003496774052070005</v>
      </c>
      <c r="E334" s="128">
        <v>0.6286005332906619</v>
      </c>
      <c r="F334" s="126" t="s">
        <v>701</v>
      </c>
      <c r="G334" s="126" t="b">
        <v>0</v>
      </c>
      <c r="H334" s="126" t="b">
        <v>0</v>
      </c>
      <c r="I334" s="126" t="b">
        <v>0</v>
      </c>
      <c r="J334" s="126" t="b">
        <v>0</v>
      </c>
      <c r="K334" s="126" t="b">
        <v>0</v>
      </c>
      <c r="L334" s="126" t="b">
        <v>0</v>
      </c>
    </row>
    <row r="335" spans="1:12" ht="15">
      <c r="A335" s="126" t="s">
        <v>717</v>
      </c>
      <c r="B335" s="126" t="s">
        <v>717</v>
      </c>
      <c r="C335" s="126">
        <v>9</v>
      </c>
      <c r="D335" s="128">
        <v>0.003913886674076634</v>
      </c>
      <c r="E335" s="128">
        <v>0.27830111611841263</v>
      </c>
      <c r="F335" s="126" t="s">
        <v>701</v>
      </c>
      <c r="G335" s="126" t="b">
        <v>0</v>
      </c>
      <c r="H335" s="126" t="b">
        <v>0</v>
      </c>
      <c r="I335" s="126" t="b">
        <v>0</v>
      </c>
      <c r="J335" s="126" t="b">
        <v>0</v>
      </c>
      <c r="K335" s="126" t="b">
        <v>0</v>
      </c>
      <c r="L335" s="126" t="b">
        <v>0</v>
      </c>
    </row>
    <row r="336" spans="1:12" ht="15">
      <c r="A336" s="126" t="s">
        <v>753</v>
      </c>
      <c r="B336" s="126" t="s">
        <v>737</v>
      </c>
      <c r="C336" s="126">
        <v>9</v>
      </c>
      <c r="D336" s="128">
        <v>0.005993127607899344</v>
      </c>
      <c r="E336" s="128">
        <v>2.2119972495984106</v>
      </c>
      <c r="F336" s="126" t="s">
        <v>701</v>
      </c>
      <c r="G336" s="126" t="b">
        <v>0</v>
      </c>
      <c r="H336" s="126" t="b">
        <v>0</v>
      </c>
      <c r="I336" s="126" t="b">
        <v>0</v>
      </c>
      <c r="J336" s="126" t="b">
        <v>0</v>
      </c>
      <c r="K336" s="126" t="b">
        <v>0</v>
      </c>
      <c r="L336" s="126" t="b">
        <v>0</v>
      </c>
    </row>
    <row r="337" spans="1:12" ht="15">
      <c r="A337" s="126" t="s">
        <v>747</v>
      </c>
      <c r="B337" s="126" t="s">
        <v>715</v>
      </c>
      <c r="C337" s="126">
        <v>9</v>
      </c>
      <c r="D337" s="128">
        <v>0.005993127607899344</v>
      </c>
      <c r="E337" s="128">
        <v>0.8182132006975308</v>
      </c>
      <c r="F337" s="126" t="s">
        <v>701</v>
      </c>
      <c r="G337" s="126" t="b">
        <v>0</v>
      </c>
      <c r="H337" s="126" t="b">
        <v>0</v>
      </c>
      <c r="I337" s="126" t="b">
        <v>0</v>
      </c>
      <c r="J337" s="126" t="b">
        <v>0</v>
      </c>
      <c r="K337" s="126" t="b">
        <v>0</v>
      </c>
      <c r="L337" s="126" t="b">
        <v>0</v>
      </c>
    </row>
    <row r="338" spans="1:12" ht="15">
      <c r="A338" s="126" t="s">
        <v>716</v>
      </c>
      <c r="B338" s="126" t="s">
        <v>733</v>
      </c>
      <c r="C338" s="126">
        <v>9</v>
      </c>
      <c r="D338" s="128">
        <v>0.003913886674076634</v>
      </c>
      <c r="E338" s="128">
        <v>0.9544329477155197</v>
      </c>
      <c r="F338" s="126" t="s">
        <v>701</v>
      </c>
      <c r="G338" s="126" t="b">
        <v>0</v>
      </c>
      <c r="H338" s="126" t="b">
        <v>0</v>
      </c>
      <c r="I338" s="126" t="b">
        <v>0</v>
      </c>
      <c r="J338" s="126" t="b">
        <v>0</v>
      </c>
      <c r="K338" s="126" t="b">
        <v>0</v>
      </c>
      <c r="L338" s="126" t="b">
        <v>0</v>
      </c>
    </row>
    <row r="339" spans="1:12" ht="15">
      <c r="A339" s="126" t="s">
        <v>736</v>
      </c>
      <c r="B339" s="126" t="s">
        <v>743</v>
      </c>
      <c r="C339" s="126">
        <v>9</v>
      </c>
      <c r="D339" s="128">
        <v>0.003496774052070005</v>
      </c>
      <c r="E339" s="128">
        <v>2.1662397590377354</v>
      </c>
      <c r="F339" s="126" t="s">
        <v>701</v>
      </c>
      <c r="G339" s="126" t="b">
        <v>0</v>
      </c>
      <c r="H339" s="126" t="b">
        <v>0</v>
      </c>
      <c r="I339" s="126" t="b">
        <v>0</v>
      </c>
      <c r="J339" s="126" t="b">
        <v>0</v>
      </c>
      <c r="K339" s="126" t="b">
        <v>0</v>
      </c>
      <c r="L339" s="126" t="b">
        <v>0</v>
      </c>
    </row>
    <row r="340" spans="1:12" ht="15">
      <c r="A340" s="126" t="s">
        <v>743</v>
      </c>
      <c r="B340" s="126" t="s">
        <v>751</v>
      </c>
      <c r="C340" s="126">
        <v>9</v>
      </c>
      <c r="D340" s="128">
        <v>0.003496774052070005</v>
      </c>
      <c r="E340" s="128">
        <v>2.3581252852766488</v>
      </c>
      <c r="F340" s="126" t="s">
        <v>701</v>
      </c>
      <c r="G340" s="126" t="b">
        <v>0</v>
      </c>
      <c r="H340" s="126" t="b">
        <v>0</v>
      </c>
      <c r="I340" s="126" t="b">
        <v>0</v>
      </c>
      <c r="J340" s="126" t="b">
        <v>0</v>
      </c>
      <c r="K340" s="126" t="b">
        <v>0</v>
      </c>
      <c r="L340" s="126" t="b">
        <v>0</v>
      </c>
    </row>
    <row r="341" spans="1:12" ht="15">
      <c r="A341" s="126" t="s">
        <v>719</v>
      </c>
      <c r="B341" s="126" t="s">
        <v>757</v>
      </c>
      <c r="C341" s="126">
        <v>8</v>
      </c>
      <c r="D341" s="128">
        <v>0.003975411347413868</v>
      </c>
      <c r="E341" s="128">
        <v>1.5068669365575733</v>
      </c>
      <c r="F341" s="126" t="s">
        <v>701</v>
      </c>
      <c r="G341" s="126" t="b">
        <v>0</v>
      </c>
      <c r="H341" s="126" t="b">
        <v>0</v>
      </c>
      <c r="I341" s="126" t="b">
        <v>0</v>
      </c>
      <c r="J341" s="126" t="b">
        <v>0</v>
      </c>
      <c r="K341" s="126" t="b">
        <v>0</v>
      </c>
      <c r="L341" s="126" t="b">
        <v>0</v>
      </c>
    </row>
    <row r="342" spans="1:12" ht="15">
      <c r="A342" s="126" t="s">
        <v>718</v>
      </c>
      <c r="B342" s="126" t="s">
        <v>719</v>
      </c>
      <c r="C342" s="126">
        <v>8</v>
      </c>
      <c r="D342" s="128">
        <v>0.004729037673074527</v>
      </c>
      <c r="E342" s="128">
        <v>0.42438498577971334</v>
      </c>
      <c r="F342" s="126" t="s">
        <v>701</v>
      </c>
      <c r="G342" s="126" t="b">
        <v>0</v>
      </c>
      <c r="H342" s="126" t="b">
        <v>0</v>
      </c>
      <c r="I342" s="126" t="b">
        <v>0</v>
      </c>
      <c r="J342" s="126" t="b">
        <v>0</v>
      </c>
      <c r="K342" s="126" t="b">
        <v>0</v>
      </c>
      <c r="L342" s="126" t="b">
        <v>0</v>
      </c>
    </row>
    <row r="343" spans="1:12" ht="15">
      <c r="A343" s="126" t="s">
        <v>715</v>
      </c>
      <c r="B343" s="126" t="s">
        <v>728</v>
      </c>
      <c r="C343" s="126">
        <v>7</v>
      </c>
      <c r="D343" s="128">
        <v>0.0030441340798373824</v>
      </c>
      <c r="E343" s="128">
        <v>0.3956882972220521</v>
      </c>
      <c r="F343" s="126" t="s">
        <v>701</v>
      </c>
      <c r="G343" s="126" t="b">
        <v>0</v>
      </c>
      <c r="H343" s="126" t="b">
        <v>0</v>
      </c>
      <c r="I343" s="126" t="b">
        <v>0</v>
      </c>
      <c r="J343" s="126" t="b">
        <v>0</v>
      </c>
      <c r="K343" s="126" t="b">
        <v>0</v>
      </c>
      <c r="L343" s="126" t="b">
        <v>0</v>
      </c>
    </row>
    <row r="344" spans="1:12" ht="15">
      <c r="A344" s="126" t="s">
        <v>764</v>
      </c>
      <c r="B344" s="126" t="s">
        <v>715</v>
      </c>
      <c r="C344" s="126">
        <v>6</v>
      </c>
      <c r="D344" s="128">
        <v>0.003228463002300672</v>
      </c>
      <c r="E344" s="128">
        <v>0.7970239016275926</v>
      </c>
      <c r="F344" s="126" t="s">
        <v>701</v>
      </c>
      <c r="G344" s="126" t="b">
        <v>0</v>
      </c>
      <c r="H344" s="126" t="b">
        <v>0</v>
      </c>
      <c r="I344" s="126" t="b">
        <v>0</v>
      </c>
      <c r="J344" s="126" t="b">
        <v>0</v>
      </c>
      <c r="K344" s="126" t="b">
        <v>0</v>
      </c>
      <c r="L344" s="126" t="b">
        <v>0</v>
      </c>
    </row>
    <row r="345" spans="1:12" ht="15">
      <c r="A345" s="126" t="s">
        <v>715</v>
      </c>
      <c r="B345" s="126" t="s">
        <v>718</v>
      </c>
      <c r="C345" s="126">
        <v>6</v>
      </c>
      <c r="D345" s="128">
        <v>0.003228463002300672</v>
      </c>
      <c r="E345" s="128">
        <v>-0.36586369134212976</v>
      </c>
      <c r="F345" s="126" t="s">
        <v>701</v>
      </c>
      <c r="G345" s="126" t="b">
        <v>0</v>
      </c>
      <c r="H345" s="126" t="b">
        <v>0</v>
      </c>
      <c r="I345" s="126" t="b">
        <v>0</v>
      </c>
      <c r="J345" s="126" t="b">
        <v>0</v>
      </c>
      <c r="K345" s="126" t="b">
        <v>0</v>
      </c>
      <c r="L345" s="126" t="b">
        <v>0</v>
      </c>
    </row>
    <row r="346" spans="1:12" ht="15">
      <c r="A346" s="126" t="s">
        <v>725</v>
      </c>
      <c r="B346" s="126" t="s">
        <v>715</v>
      </c>
      <c r="C346" s="126">
        <v>6</v>
      </c>
      <c r="D346" s="128">
        <v>0.002779822851840338</v>
      </c>
      <c r="E346" s="128">
        <v>0.2996992608196432</v>
      </c>
      <c r="F346" s="126" t="s">
        <v>701</v>
      </c>
      <c r="G346" s="126" t="b">
        <v>0</v>
      </c>
      <c r="H346" s="126" t="b">
        <v>0</v>
      </c>
      <c r="I346" s="126" t="b">
        <v>0</v>
      </c>
      <c r="J346" s="126" t="b">
        <v>0</v>
      </c>
      <c r="K346" s="126" t="b">
        <v>0</v>
      </c>
      <c r="L346" s="126" t="b">
        <v>0</v>
      </c>
    </row>
    <row r="347" spans="1:12" ht="15">
      <c r="A347" s="126" t="s">
        <v>721</v>
      </c>
      <c r="B347" s="126" t="s">
        <v>756</v>
      </c>
      <c r="C347" s="126">
        <v>6</v>
      </c>
      <c r="D347" s="128">
        <v>0.002779822851840338</v>
      </c>
      <c r="E347" s="128">
        <v>1.7348759948787482</v>
      </c>
      <c r="F347" s="126" t="s">
        <v>701</v>
      </c>
      <c r="G347" s="126" t="b">
        <v>0</v>
      </c>
      <c r="H347" s="126" t="b">
        <v>0</v>
      </c>
      <c r="I347" s="126" t="b">
        <v>0</v>
      </c>
      <c r="J347" s="126" t="b">
        <v>0</v>
      </c>
      <c r="K347" s="126" t="b">
        <v>0</v>
      </c>
      <c r="L347" s="126" t="b">
        <v>0</v>
      </c>
    </row>
    <row r="348" spans="1:12" ht="15">
      <c r="A348" s="126" t="s">
        <v>744</v>
      </c>
      <c r="B348" s="126" t="s">
        <v>715</v>
      </c>
      <c r="C348" s="126">
        <v>6</v>
      </c>
      <c r="D348" s="128">
        <v>0.002779822851840338</v>
      </c>
      <c r="E348" s="128">
        <v>0.6878794322025245</v>
      </c>
      <c r="F348" s="126" t="s">
        <v>701</v>
      </c>
      <c r="G348" s="126" t="b">
        <v>0</v>
      </c>
      <c r="H348" s="126" t="b">
        <v>0</v>
      </c>
      <c r="I348" s="126" t="b">
        <v>0</v>
      </c>
      <c r="J348" s="126" t="b">
        <v>0</v>
      </c>
      <c r="K348" s="126" t="b">
        <v>0</v>
      </c>
      <c r="L348" s="126" t="b">
        <v>0</v>
      </c>
    </row>
    <row r="349" spans="1:12" ht="15">
      <c r="A349" s="126" t="s">
        <v>715</v>
      </c>
      <c r="B349" s="126" t="s">
        <v>748</v>
      </c>
      <c r="C349" s="126">
        <v>6</v>
      </c>
      <c r="D349" s="128">
        <v>0.003995418405266229</v>
      </c>
      <c r="E349" s="128">
        <v>0.6297715032554201</v>
      </c>
      <c r="F349" s="126" t="s">
        <v>701</v>
      </c>
      <c r="G349" s="126" t="b">
        <v>0</v>
      </c>
      <c r="H349" s="126" t="b">
        <v>0</v>
      </c>
      <c r="I349" s="126" t="b">
        <v>0</v>
      </c>
      <c r="J349" s="126" t="b">
        <v>0</v>
      </c>
      <c r="K349" s="126" t="b">
        <v>0</v>
      </c>
      <c r="L349" s="126" t="b">
        <v>0</v>
      </c>
    </row>
    <row r="350" spans="1:12" ht="15">
      <c r="A350" s="126" t="s">
        <v>729</v>
      </c>
      <c r="B350" s="126" t="s">
        <v>715</v>
      </c>
      <c r="C350" s="126">
        <v>6</v>
      </c>
      <c r="D350" s="128">
        <v>0.002779822851840338</v>
      </c>
      <c r="E350" s="128">
        <v>0.3868494365385433</v>
      </c>
      <c r="F350" s="126" t="s">
        <v>701</v>
      </c>
      <c r="G350" s="126" t="b">
        <v>0</v>
      </c>
      <c r="H350" s="126" t="b">
        <v>0</v>
      </c>
      <c r="I350" s="126" t="b">
        <v>0</v>
      </c>
      <c r="J350" s="126" t="b">
        <v>0</v>
      </c>
      <c r="K350" s="126" t="b">
        <v>0</v>
      </c>
      <c r="L350" s="126" t="b">
        <v>0</v>
      </c>
    </row>
    <row r="351" spans="1:12" ht="15">
      <c r="A351" s="126" t="s">
        <v>718</v>
      </c>
      <c r="B351" s="126" t="s">
        <v>725</v>
      </c>
      <c r="C351" s="126">
        <v>5</v>
      </c>
      <c r="D351" s="128">
        <v>0.0024846320921336675</v>
      </c>
      <c r="E351" s="128">
        <v>0.6910460798124319</v>
      </c>
      <c r="F351" s="126" t="s">
        <v>701</v>
      </c>
      <c r="G351" s="126" t="b">
        <v>0</v>
      </c>
      <c r="H351" s="126" t="b">
        <v>0</v>
      </c>
      <c r="I351" s="126" t="b">
        <v>0</v>
      </c>
      <c r="J351" s="126" t="b">
        <v>0</v>
      </c>
      <c r="K351" s="126" t="b">
        <v>0</v>
      </c>
      <c r="L351" s="126" t="b">
        <v>0</v>
      </c>
    </row>
    <row r="352" spans="1:12" ht="15">
      <c r="A352" s="126" t="s">
        <v>715</v>
      </c>
      <c r="B352" s="126" t="s">
        <v>723</v>
      </c>
      <c r="C352" s="126">
        <v>5</v>
      </c>
      <c r="D352" s="128">
        <v>0.0026903858352505597</v>
      </c>
      <c r="E352" s="128">
        <v>0.08819225930883914</v>
      </c>
      <c r="F352" s="126" t="s">
        <v>701</v>
      </c>
      <c r="G352" s="126" t="b">
        <v>0</v>
      </c>
      <c r="H352" s="126" t="b">
        <v>0</v>
      </c>
      <c r="I352" s="126" t="b">
        <v>0</v>
      </c>
      <c r="J352" s="126" t="b">
        <v>0</v>
      </c>
      <c r="K352" s="126" t="b">
        <v>0</v>
      </c>
      <c r="L352" s="126" t="b">
        <v>0</v>
      </c>
    </row>
    <row r="353" spans="1:12" ht="15">
      <c r="A353" s="126" t="s">
        <v>719</v>
      </c>
      <c r="B353" s="126" t="s">
        <v>724</v>
      </c>
      <c r="C353" s="126">
        <v>5</v>
      </c>
      <c r="D353" s="128">
        <v>0.002955648545671579</v>
      </c>
      <c r="E353" s="128">
        <v>0.7744731767346047</v>
      </c>
      <c r="F353" s="126" t="s">
        <v>701</v>
      </c>
      <c r="G353" s="126" t="b">
        <v>0</v>
      </c>
      <c r="H353" s="126" t="b">
        <v>0</v>
      </c>
      <c r="I353" s="126" t="b">
        <v>0</v>
      </c>
      <c r="J353" s="126" t="b">
        <v>0</v>
      </c>
      <c r="K353" s="126" t="b">
        <v>0</v>
      </c>
      <c r="L353" s="126" t="b">
        <v>0</v>
      </c>
    </row>
    <row r="354" spans="1:12" ht="15">
      <c r="A354" s="126" t="s">
        <v>721</v>
      </c>
      <c r="B354" s="126" t="s">
        <v>720</v>
      </c>
      <c r="C354" s="126">
        <v>5</v>
      </c>
      <c r="D354" s="128">
        <v>0.002955648545671579</v>
      </c>
      <c r="E354" s="128">
        <v>0.8380349571638059</v>
      </c>
      <c r="F354" s="126" t="s">
        <v>701</v>
      </c>
      <c r="G354" s="126" t="b">
        <v>0</v>
      </c>
      <c r="H354" s="126" t="b">
        <v>0</v>
      </c>
      <c r="I354" s="126" t="b">
        <v>0</v>
      </c>
      <c r="J354" s="126" t="b">
        <v>0</v>
      </c>
      <c r="K354" s="126" t="b">
        <v>0</v>
      </c>
      <c r="L354" s="126" t="b">
        <v>0</v>
      </c>
    </row>
    <row r="355" spans="1:12" ht="15">
      <c r="A355" s="126" t="s">
        <v>722</v>
      </c>
      <c r="B355" s="126" t="s">
        <v>722</v>
      </c>
      <c r="C355" s="126">
        <v>5</v>
      </c>
      <c r="D355" s="128">
        <v>0.0024846320921336675</v>
      </c>
      <c r="E355" s="128">
        <v>0.9567247444951045</v>
      </c>
      <c r="F355" s="126" t="s">
        <v>701</v>
      </c>
      <c r="G355" s="126" t="b">
        <v>0</v>
      </c>
      <c r="H355" s="126" t="b">
        <v>0</v>
      </c>
      <c r="I355" s="126" t="b">
        <v>0</v>
      </c>
      <c r="J355" s="126" t="b">
        <v>0</v>
      </c>
      <c r="K355" s="126" t="b">
        <v>0</v>
      </c>
      <c r="L355" s="126" t="b">
        <v>0</v>
      </c>
    </row>
    <row r="356" spans="1:12" ht="15">
      <c r="A356" s="126" t="s">
        <v>730</v>
      </c>
      <c r="B356" s="126" t="s">
        <v>716</v>
      </c>
      <c r="C356" s="126">
        <v>5</v>
      </c>
      <c r="D356" s="128">
        <v>0.0026903858352505597</v>
      </c>
      <c r="E356" s="128">
        <v>0.6031656975549387</v>
      </c>
      <c r="F356" s="126" t="s">
        <v>701</v>
      </c>
      <c r="G356" s="126" t="b">
        <v>0</v>
      </c>
      <c r="H356" s="126" t="b">
        <v>0</v>
      </c>
      <c r="I356" s="126" t="b">
        <v>0</v>
      </c>
      <c r="J356" s="126" t="b">
        <v>0</v>
      </c>
      <c r="K356" s="126" t="b">
        <v>0</v>
      </c>
      <c r="L356" s="126" t="b">
        <v>0</v>
      </c>
    </row>
    <row r="357" spans="1:12" ht="15">
      <c r="A357" s="126" t="s">
        <v>731</v>
      </c>
      <c r="B357" s="126" t="s">
        <v>739</v>
      </c>
      <c r="C357" s="126">
        <v>5</v>
      </c>
      <c r="D357" s="128">
        <v>0.0024846320921336675</v>
      </c>
      <c r="E357" s="128">
        <v>1.7127030159275567</v>
      </c>
      <c r="F357" s="126" t="s">
        <v>701</v>
      </c>
      <c r="G357" s="126" t="b">
        <v>0</v>
      </c>
      <c r="H357" s="126" t="b">
        <v>0</v>
      </c>
      <c r="I357" s="126" t="b">
        <v>0</v>
      </c>
      <c r="J357" s="126" t="b">
        <v>0</v>
      </c>
      <c r="K357" s="126" t="b">
        <v>0</v>
      </c>
      <c r="L357" s="126" t="b">
        <v>0</v>
      </c>
    </row>
    <row r="358" spans="1:12" ht="15">
      <c r="A358" s="126" t="s">
        <v>718</v>
      </c>
      <c r="B358" s="126" t="s">
        <v>745</v>
      </c>
      <c r="C358" s="126">
        <v>5</v>
      </c>
      <c r="D358" s="128">
        <v>0.0033295153377218578</v>
      </c>
      <c r="E358" s="128">
        <v>1.0527739158300249</v>
      </c>
      <c r="F358" s="126" t="s">
        <v>701</v>
      </c>
      <c r="G358" s="126" t="b">
        <v>0</v>
      </c>
      <c r="H358" s="126" t="b">
        <v>0</v>
      </c>
      <c r="I358" s="126" t="b">
        <v>0</v>
      </c>
      <c r="J358" s="126" t="b">
        <v>0</v>
      </c>
      <c r="K358" s="126" t="b">
        <v>0</v>
      </c>
      <c r="L358" s="126" t="b">
        <v>0</v>
      </c>
    </row>
    <row r="359" spans="1:12" ht="15">
      <c r="A359" s="126" t="s">
        <v>718</v>
      </c>
      <c r="B359" s="126" t="s">
        <v>791</v>
      </c>
      <c r="C359" s="126">
        <v>5</v>
      </c>
      <c r="D359" s="128">
        <v>0.0024846320921336675</v>
      </c>
      <c r="E359" s="128">
        <v>1.353803911494006</v>
      </c>
      <c r="F359" s="126" t="s">
        <v>701</v>
      </c>
      <c r="G359" s="126" t="b">
        <v>0</v>
      </c>
      <c r="H359" s="126" t="b">
        <v>0</v>
      </c>
      <c r="I359" s="126" t="b">
        <v>0</v>
      </c>
      <c r="J359" s="126" t="b">
        <v>0</v>
      </c>
      <c r="K359" s="126" t="b">
        <v>0</v>
      </c>
      <c r="L359" s="126" t="b">
        <v>0</v>
      </c>
    </row>
    <row r="360" spans="1:12" ht="15">
      <c r="A360" s="126" t="s">
        <v>791</v>
      </c>
      <c r="B360" s="126" t="s">
        <v>754</v>
      </c>
      <c r="C360" s="126">
        <v>5</v>
      </c>
      <c r="D360" s="128">
        <v>0.0024846320921336675</v>
      </c>
      <c r="E360" s="128">
        <v>2.455035298284705</v>
      </c>
      <c r="F360" s="126" t="s">
        <v>701</v>
      </c>
      <c r="G360" s="126" t="b">
        <v>0</v>
      </c>
      <c r="H360" s="126" t="b">
        <v>0</v>
      </c>
      <c r="I360" s="126" t="b">
        <v>0</v>
      </c>
      <c r="J360" s="126" t="b">
        <v>0</v>
      </c>
      <c r="K360" s="126" t="b">
        <v>0</v>
      </c>
      <c r="L360" s="126" t="b">
        <v>0</v>
      </c>
    </row>
    <row r="361" spans="1:12" ht="15">
      <c r="A361" s="126" t="s">
        <v>723</v>
      </c>
      <c r="B361" s="126" t="s">
        <v>727</v>
      </c>
      <c r="C361" s="126">
        <v>5</v>
      </c>
      <c r="D361" s="128">
        <v>0.0024846320921336675</v>
      </c>
      <c r="E361" s="128">
        <v>1.29366729604973</v>
      </c>
      <c r="F361" s="126" t="s">
        <v>701</v>
      </c>
      <c r="G361" s="126" t="b">
        <v>0</v>
      </c>
      <c r="H361" s="126" t="b">
        <v>0</v>
      </c>
      <c r="I361" s="126" t="b">
        <v>0</v>
      </c>
      <c r="J361" s="126" t="b">
        <v>0</v>
      </c>
      <c r="K361" s="126" t="b">
        <v>0</v>
      </c>
      <c r="L361" s="126" t="b">
        <v>0</v>
      </c>
    </row>
    <row r="362" spans="1:12" ht="15">
      <c r="A362" s="126" t="s">
        <v>730</v>
      </c>
      <c r="B362" s="126" t="s">
        <v>729</v>
      </c>
      <c r="C362" s="126">
        <v>5</v>
      </c>
      <c r="D362" s="128">
        <v>0.0024846320921336675</v>
      </c>
      <c r="E362" s="128">
        <v>1.5713738631310874</v>
      </c>
      <c r="F362" s="126" t="s">
        <v>701</v>
      </c>
      <c r="G362" s="126" t="b">
        <v>0</v>
      </c>
      <c r="H362" s="126" t="b">
        <v>0</v>
      </c>
      <c r="I362" s="126" t="b">
        <v>0</v>
      </c>
      <c r="J362" s="126" t="b">
        <v>0</v>
      </c>
      <c r="K362" s="126" t="b">
        <v>0</v>
      </c>
      <c r="L362" s="126" t="b">
        <v>0</v>
      </c>
    </row>
    <row r="363" spans="1:12" ht="15">
      <c r="A363" s="126" t="s">
        <v>715</v>
      </c>
      <c r="B363" s="126" t="s">
        <v>783</v>
      </c>
      <c r="C363" s="126">
        <v>5</v>
      </c>
      <c r="D363" s="128">
        <v>0.0024846320921336675</v>
      </c>
      <c r="E363" s="128">
        <v>0.8516202528717765</v>
      </c>
      <c r="F363" s="126" t="s">
        <v>701</v>
      </c>
      <c r="G363" s="126" t="b">
        <v>0</v>
      </c>
      <c r="H363" s="126" t="b">
        <v>0</v>
      </c>
      <c r="I363" s="126" t="b">
        <v>0</v>
      </c>
      <c r="J363" s="126" t="b">
        <v>0</v>
      </c>
      <c r="K363" s="126" t="b">
        <v>0</v>
      </c>
      <c r="L363" s="126" t="b">
        <v>0</v>
      </c>
    </row>
    <row r="364" spans="1:12" ht="15">
      <c r="A364" s="126" t="s">
        <v>783</v>
      </c>
      <c r="B364" s="126" t="s">
        <v>721</v>
      </c>
      <c r="C364" s="126">
        <v>5</v>
      </c>
      <c r="D364" s="128">
        <v>0.0024846320921336675</v>
      </c>
      <c r="E364" s="128">
        <v>1.8140572409263729</v>
      </c>
      <c r="F364" s="126" t="s">
        <v>701</v>
      </c>
      <c r="G364" s="126" t="b">
        <v>0</v>
      </c>
      <c r="H364" s="126" t="b">
        <v>0</v>
      </c>
      <c r="I364" s="126" t="b">
        <v>0</v>
      </c>
      <c r="J364" s="126" t="b">
        <v>0</v>
      </c>
      <c r="K364" s="126" t="b">
        <v>0</v>
      </c>
      <c r="L364" s="126" t="b">
        <v>0</v>
      </c>
    </row>
    <row r="365" spans="1:12" ht="15">
      <c r="A365" s="126" t="s">
        <v>756</v>
      </c>
      <c r="B365" s="126" t="s">
        <v>726</v>
      </c>
      <c r="C365" s="126">
        <v>5</v>
      </c>
      <c r="D365" s="128">
        <v>0.0024846320921336675</v>
      </c>
      <c r="E365" s="128">
        <v>1.8317860078868045</v>
      </c>
      <c r="F365" s="126" t="s">
        <v>701</v>
      </c>
      <c r="G365" s="126" t="b">
        <v>0</v>
      </c>
      <c r="H365" s="126" t="b">
        <v>0</v>
      </c>
      <c r="I365" s="126" t="b">
        <v>0</v>
      </c>
      <c r="J365" s="126" t="b">
        <v>0</v>
      </c>
      <c r="K365" s="126" t="b">
        <v>0</v>
      </c>
      <c r="L365" s="126" t="b">
        <v>0</v>
      </c>
    </row>
    <row r="366" spans="1:12" ht="15">
      <c r="A366" s="126" t="s">
        <v>726</v>
      </c>
      <c r="B366" s="126" t="s">
        <v>732</v>
      </c>
      <c r="C366" s="126">
        <v>5</v>
      </c>
      <c r="D366" s="128">
        <v>0.0024846320921336675</v>
      </c>
      <c r="E366" s="128">
        <v>1.5587847358230669</v>
      </c>
      <c r="F366" s="126" t="s">
        <v>701</v>
      </c>
      <c r="G366" s="126" t="b">
        <v>0</v>
      </c>
      <c r="H366" s="126" t="b">
        <v>0</v>
      </c>
      <c r="I366" s="126" t="b">
        <v>0</v>
      </c>
      <c r="J366" s="126" t="b">
        <v>0</v>
      </c>
      <c r="K366" s="126" t="b">
        <v>0</v>
      </c>
      <c r="L366" s="126" t="b">
        <v>0</v>
      </c>
    </row>
    <row r="367" spans="1:12" ht="15">
      <c r="A367" s="126" t="s">
        <v>732</v>
      </c>
      <c r="B367" s="126" t="s">
        <v>736</v>
      </c>
      <c r="C367" s="126">
        <v>5</v>
      </c>
      <c r="D367" s="128">
        <v>0.0024846320921336675</v>
      </c>
      <c r="E367" s="128">
        <v>1.7348759948787482</v>
      </c>
      <c r="F367" s="126" t="s">
        <v>701</v>
      </c>
      <c r="G367" s="126" t="b">
        <v>0</v>
      </c>
      <c r="H367" s="126" t="b">
        <v>0</v>
      </c>
      <c r="I367" s="126" t="b">
        <v>0</v>
      </c>
      <c r="J367" s="126" t="b">
        <v>0</v>
      </c>
      <c r="K367" s="126" t="b">
        <v>0</v>
      </c>
      <c r="L367" s="126" t="b">
        <v>0</v>
      </c>
    </row>
    <row r="368" spans="1:12" ht="15">
      <c r="A368" s="126" t="s">
        <v>751</v>
      </c>
      <c r="B368" s="126" t="s">
        <v>726</v>
      </c>
      <c r="C368" s="126">
        <v>5</v>
      </c>
      <c r="D368" s="128">
        <v>0.0024846320921336675</v>
      </c>
      <c r="E368" s="128">
        <v>1.780633485439423</v>
      </c>
      <c r="F368" s="126" t="s">
        <v>701</v>
      </c>
      <c r="G368" s="126" t="b">
        <v>0</v>
      </c>
      <c r="H368" s="126" t="b">
        <v>0</v>
      </c>
      <c r="I368" s="126" t="b">
        <v>0</v>
      </c>
      <c r="J368" s="126" t="b">
        <v>0</v>
      </c>
      <c r="K368" s="126" t="b">
        <v>0</v>
      </c>
      <c r="L368" s="126" t="b">
        <v>0</v>
      </c>
    </row>
    <row r="369" spans="1:12" ht="15">
      <c r="A369" s="126" t="s">
        <v>726</v>
      </c>
      <c r="B369" s="126" t="s">
        <v>726</v>
      </c>
      <c r="C369" s="126">
        <v>5</v>
      </c>
      <c r="D369" s="128">
        <v>0.0024846320921336675</v>
      </c>
      <c r="E369" s="128">
        <v>1.4126567001448287</v>
      </c>
      <c r="F369" s="126" t="s">
        <v>701</v>
      </c>
      <c r="G369" s="126" t="b">
        <v>0</v>
      </c>
      <c r="H369" s="126" t="b">
        <v>0</v>
      </c>
      <c r="I369" s="126" t="b">
        <v>0</v>
      </c>
      <c r="J369" s="126" t="b">
        <v>0</v>
      </c>
      <c r="K369" s="126" t="b">
        <v>0</v>
      </c>
      <c r="L369" s="126" t="b">
        <v>0</v>
      </c>
    </row>
    <row r="370" spans="1:12" ht="15">
      <c r="A370" s="126" t="s">
        <v>726</v>
      </c>
      <c r="B370" s="126" t="s">
        <v>719</v>
      </c>
      <c r="C370" s="126">
        <v>5</v>
      </c>
      <c r="D370" s="128">
        <v>0.0024846320921336675</v>
      </c>
      <c r="E370" s="128">
        <v>0.9023670821725117</v>
      </c>
      <c r="F370" s="126" t="s">
        <v>701</v>
      </c>
      <c r="G370" s="126" t="b">
        <v>0</v>
      </c>
      <c r="H370" s="126" t="b">
        <v>0</v>
      </c>
      <c r="I370" s="126" t="b">
        <v>0</v>
      </c>
      <c r="J370" s="126" t="b">
        <v>0</v>
      </c>
      <c r="K370" s="126" t="b">
        <v>0</v>
      </c>
      <c r="L370" s="126" t="b">
        <v>0</v>
      </c>
    </row>
    <row r="371" spans="1:12" ht="15">
      <c r="A371" s="126" t="s">
        <v>719</v>
      </c>
      <c r="B371" s="126" t="s">
        <v>732</v>
      </c>
      <c r="C371" s="126">
        <v>5</v>
      </c>
      <c r="D371" s="128">
        <v>0.0024846320921336675</v>
      </c>
      <c r="E371" s="128">
        <v>1.0297456818379107</v>
      </c>
      <c r="F371" s="126" t="s">
        <v>701</v>
      </c>
      <c r="G371" s="126" t="b">
        <v>0</v>
      </c>
      <c r="H371" s="126" t="b">
        <v>0</v>
      </c>
      <c r="I371" s="126" t="b">
        <v>0</v>
      </c>
      <c r="J371" s="126" t="b">
        <v>0</v>
      </c>
      <c r="K371" s="126" t="b">
        <v>0</v>
      </c>
      <c r="L371" s="126" t="b">
        <v>0</v>
      </c>
    </row>
    <row r="372" spans="1:12" ht="15">
      <c r="A372" s="126" t="s">
        <v>732</v>
      </c>
      <c r="B372" s="126" t="s">
        <v>784</v>
      </c>
      <c r="C372" s="126">
        <v>5</v>
      </c>
      <c r="D372" s="128">
        <v>0.0024846320921336675</v>
      </c>
      <c r="E372" s="128">
        <v>2.1820340262209674</v>
      </c>
      <c r="F372" s="126" t="s">
        <v>701</v>
      </c>
      <c r="G372" s="126" t="b">
        <v>0</v>
      </c>
      <c r="H372" s="126" t="b">
        <v>0</v>
      </c>
      <c r="I372" s="126" t="b">
        <v>0</v>
      </c>
      <c r="J372" s="126" t="b">
        <v>0</v>
      </c>
      <c r="K372" s="126" t="b">
        <v>0</v>
      </c>
      <c r="L372" s="126" t="b">
        <v>0</v>
      </c>
    </row>
    <row r="373" spans="1:12" ht="15">
      <c r="A373" s="126" t="s">
        <v>784</v>
      </c>
      <c r="B373" s="126" t="s">
        <v>715</v>
      </c>
      <c r="C373" s="126">
        <v>5</v>
      </c>
      <c r="D373" s="128">
        <v>0.0024846320921336675</v>
      </c>
      <c r="E373" s="128">
        <v>0.8639706912582058</v>
      </c>
      <c r="F373" s="126" t="s">
        <v>701</v>
      </c>
      <c r="G373" s="126" t="b">
        <v>0</v>
      </c>
      <c r="H373" s="126" t="b">
        <v>0</v>
      </c>
      <c r="I373" s="126" t="b">
        <v>0</v>
      </c>
      <c r="J373" s="126" t="b">
        <v>0</v>
      </c>
      <c r="K373" s="126" t="b">
        <v>0</v>
      </c>
      <c r="L373" s="126" t="b">
        <v>0</v>
      </c>
    </row>
    <row r="374" spans="1:12" ht="15">
      <c r="A374" s="126" t="s">
        <v>733</v>
      </c>
      <c r="B374" s="126" t="s">
        <v>720</v>
      </c>
      <c r="C374" s="126">
        <v>5</v>
      </c>
      <c r="D374" s="128">
        <v>0.0024846320921336675</v>
      </c>
      <c r="E374" s="128">
        <v>1.2482094222528552</v>
      </c>
      <c r="F374" s="126" t="s">
        <v>701</v>
      </c>
      <c r="G374" s="126" t="b">
        <v>0</v>
      </c>
      <c r="H374" s="126" t="b">
        <v>0</v>
      </c>
      <c r="I374" s="126" t="b">
        <v>0</v>
      </c>
      <c r="J374" s="126" t="b">
        <v>0</v>
      </c>
      <c r="K374" s="126" t="b">
        <v>0</v>
      </c>
      <c r="L374" s="126" t="b">
        <v>0</v>
      </c>
    </row>
    <row r="375" spans="1:12" ht="15">
      <c r="A375" s="126" t="s">
        <v>719</v>
      </c>
      <c r="B375" s="126" t="s">
        <v>744</v>
      </c>
      <c r="C375" s="126">
        <v>5</v>
      </c>
      <c r="D375" s="128">
        <v>0.0024846320921336675</v>
      </c>
      <c r="E375" s="128">
        <v>1.205836940893592</v>
      </c>
      <c r="F375" s="126" t="s">
        <v>701</v>
      </c>
      <c r="G375" s="126" t="b">
        <v>0</v>
      </c>
      <c r="H375" s="126" t="b">
        <v>0</v>
      </c>
      <c r="I375" s="126" t="b">
        <v>0</v>
      </c>
      <c r="J375" s="126" t="b">
        <v>0</v>
      </c>
      <c r="K375" s="126" t="b">
        <v>0</v>
      </c>
      <c r="L375" s="126" t="b">
        <v>0</v>
      </c>
    </row>
    <row r="376" spans="1:12" ht="15">
      <c r="A376" s="126" t="s">
        <v>719</v>
      </c>
      <c r="B376" s="126" t="s">
        <v>733</v>
      </c>
      <c r="C376" s="126">
        <v>5</v>
      </c>
      <c r="D376" s="128">
        <v>0.0024846320921336675</v>
      </c>
      <c r="E376" s="128">
        <v>1.0297456818379107</v>
      </c>
      <c r="F376" s="126" t="s">
        <v>701</v>
      </c>
      <c r="G376" s="126" t="b">
        <v>0</v>
      </c>
      <c r="H376" s="126" t="b">
        <v>0</v>
      </c>
      <c r="I376" s="126" t="b">
        <v>0</v>
      </c>
      <c r="J376" s="126" t="b">
        <v>0</v>
      </c>
      <c r="K376" s="126" t="b">
        <v>0</v>
      </c>
      <c r="L376" s="126" t="b">
        <v>0</v>
      </c>
    </row>
    <row r="377" spans="1:12" ht="15">
      <c r="A377" s="126" t="s">
        <v>774</v>
      </c>
      <c r="B377" s="126" t="s">
        <v>775</v>
      </c>
      <c r="C377" s="126">
        <v>5</v>
      </c>
      <c r="D377" s="128">
        <v>0.003968644840193156</v>
      </c>
      <c r="E377" s="128">
        <v>2.5007927888453803</v>
      </c>
      <c r="F377" s="126" t="s">
        <v>701</v>
      </c>
      <c r="G377" s="126" t="b">
        <v>0</v>
      </c>
      <c r="H377" s="126" t="b">
        <v>0</v>
      </c>
      <c r="I377" s="126" t="b">
        <v>0</v>
      </c>
      <c r="J377" s="126" t="b">
        <v>0</v>
      </c>
      <c r="K377" s="126" t="b">
        <v>1</v>
      </c>
      <c r="L377" s="126" t="b">
        <v>0</v>
      </c>
    </row>
    <row r="378" spans="1:12" ht="15">
      <c r="A378" s="126" t="s">
        <v>760</v>
      </c>
      <c r="B378" s="126" t="s">
        <v>788</v>
      </c>
      <c r="C378" s="126">
        <v>4</v>
      </c>
      <c r="D378" s="128">
        <v>0.0026636122701774864</v>
      </c>
      <c r="E378" s="128">
        <v>2.4830640218849487</v>
      </c>
      <c r="F378" s="126" t="s">
        <v>701</v>
      </c>
      <c r="G378" s="126" t="b">
        <v>0</v>
      </c>
      <c r="H378" s="126" t="b">
        <v>0</v>
      </c>
      <c r="I378" s="126" t="b">
        <v>0</v>
      </c>
      <c r="J378" s="126" t="b">
        <v>0</v>
      </c>
      <c r="K378" s="126" t="b">
        <v>0</v>
      </c>
      <c r="L378" s="126" t="b">
        <v>0</v>
      </c>
    </row>
    <row r="379" spans="1:12" ht="15">
      <c r="A379" s="126" t="s">
        <v>715</v>
      </c>
      <c r="B379" s="126" t="s">
        <v>827</v>
      </c>
      <c r="C379" s="126">
        <v>4</v>
      </c>
      <c r="D379" s="128">
        <v>0.002152308668200448</v>
      </c>
      <c r="E379" s="128">
        <v>0.8516202528717765</v>
      </c>
      <c r="F379" s="126" t="s">
        <v>701</v>
      </c>
      <c r="G379" s="126" t="b">
        <v>0</v>
      </c>
      <c r="H379" s="126" t="b">
        <v>0</v>
      </c>
      <c r="I379" s="126" t="b">
        <v>0</v>
      </c>
      <c r="J379" s="126" t="b">
        <v>0</v>
      </c>
      <c r="K379" s="126" t="b">
        <v>0</v>
      </c>
      <c r="L379" s="126" t="b">
        <v>0</v>
      </c>
    </row>
    <row r="380" spans="1:12" ht="15">
      <c r="A380" s="126" t="s">
        <v>724</v>
      </c>
      <c r="B380" s="126" t="s">
        <v>767</v>
      </c>
      <c r="C380" s="126">
        <v>4</v>
      </c>
      <c r="D380" s="128">
        <v>0.0031749158721545243</v>
      </c>
      <c r="E380" s="128">
        <v>1.652689238691398</v>
      </c>
      <c r="F380" s="126" t="s">
        <v>701</v>
      </c>
      <c r="G380" s="126" t="b">
        <v>0</v>
      </c>
      <c r="H380" s="126" t="b">
        <v>0</v>
      </c>
      <c r="I380" s="126" t="b">
        <v>0</v>
      </c>
      <c r="J380" s="126" t="b">
        <v>0</v>
      </c>
      <c r="K380" s="126" t="b">
        <v>0</v>
      </c>
      <c r="L380" s="126" t="b">
        <v>0</v>
      </c>
    </row>
    <row r="381" spans="1:12" ht="15">
      <c r="A381" s="126" t="s">
        <v>725</v>
      </c>
      <c r="B381" s="126" t="s">
        <v>718</v>
      </c>
      <c r="C381" s="126">
        <v>4</v>
      </c>
      <c r="D381" s="128">
        <v>0.002152308668200448</v>
      </c>
      <c r="E381" s="128">
        <v>0.6221274011848549</v>
      </c>
      <c r="F381" s="126" t="s">
        <v>701</v>
      </c>
      <c r="G381" s="126" t="b">
        <v>0</v>
      </c>
      <c r="H381" s="126" t="b">
        <v>0</v>
      </c>
      <c r="I381" s="126" t="b">
        <v>0</v>
      </c>
      <c r="J381" s="126" t="b">
        <v>0</v>
      </c>
      <c r="K381" s="126" t="b">
        <v>0</v>
      </c>
      <c r="L381" s="126" t="b">
        <v>0</v>
      </c>
    </row>
    <row r="382" spans="1:12" ht="15">
      <c r="A382" s="126" t="s">
        <v>728</v>
      </c>
      <c r="B382" s="126" t="s">
        <v>715</v>
      </c>
      <c r="C382" s="126">
        <v>4</v>
      </c>
      <c r="D382" s="128">
        <v>0.002152308668200448</v>
      </c>
      <c r="E382" s="128">
        <v>0.18727708163333928</v>
      </c>
      <c r="F382" s="126" t="s">
        <v>701</v>
      </c>
      <c r="G382" s="126" t="b">
        <v>0</v>
      </c>
      <c r="H382" s="126" t="b">
        <v>0</v>
      </c>
      <c r="I382" s="126" t="b">
        <v>0</v>
      </c>
      <c r="J382" s="126" t="b">
        <v>0</v>
      </c>
      <c r="K382" s="126" t="b">
        <v>0</v>
      </c>
      <c r="L382" s="126" t="b">
        <v>0</v>
      </c>
    </row>
    <row r="383" spans="1:12" ht="15">
      <c r="A383" s="126" t="s">
        <v>716</v>
      </c>
      <c r="B383" s="126" t="s">
        <v>730</v>
      </c>
      <c r="C383" s="126">
        <v>4</v>
      </c>
      <c r="D383" s="128">
        <v>0.0023645188365372634</v>
      </c>
      <c r="E383" s="128">
        <v>0.6643983363530016</v>
      </c>
      <c r="F383" s="126" t="s">
        <v>701</v>
      </c>
      <c r="G383" s="126" t="b">
        <v>0</v>
      </c>
      <c r="H383" s="126" t="b">
        <v>0</v>
      </c>
      <c r="I383" s="126" t="b">
        <v>0</v>
      </c>
      <c r="J383" s="126" t="b">
        <v>0</v>
      </c>
      <c r="K383" s="126" t="b">
        <v>0</v>
      </c>
      <c r="L383" s="126" t="b">
        <v>0</v>
      </c>
    </row>
    <row r="384" spans="1:12" ht="15">
      <c r="A384" s="126" t="s">
        <v>746</v>
      </c>
      <c r="B384" s="126" t="s">
        <v>746</v>
      </c>
      <c r="C384" s="126">
        <v>4</v>
      </c>
      <c r="D384" s="128">
        <v>0.0026636122701774864</v>
      </c>
      <c r="E384" s="128">
        <v>2.0570952896126675</v>
      </c>
      <c r="F384" s="126" t="s">
        <v>701</v>
      </c>
      <c r="G384" s="126" t="b">
        <v>0</v>
      </c>
      <c r="H384" s="126" t="b">
        <v>0</v>
      </c>
      <c r="I384" s="126" t="b">
        <v>0</v>
      </c>
      <c r="J384" s="126" t="b">
        <v>0</v>
      </c>
      <c r="K384" s="126" t="b">
        <v>0</v>
      </c>
      <c r="L384" s="126" t="b">
        <v>0</v>
      </c>
    </row>
    <row r="385" spans="1:12" ht="15">
      <c r="A385" s="126" t="s">
        <v>746</v>
      </c>
      <c r="B385" s="126" t="s">
        <v>825</v>
      </c>
      <c r="C385" s="126">
        <v>4</v>
      </c>
      <c r="D385" s="128">
        <v>0.0023645188365372634</v>
      </c>
      <c r="E385" s="128">
        <v>2.3581252852766488</v>
      </c>
      <c r="F385" s="126" t="s">
        <v>701</v>
      </c>
      <c r="G385" s="126" t="b">
        <v>0</v>
      </c>
      <c r="H385" s="126" t="b">
        <v>0</v>
      </c>
      <c r="I385" s="126" t="b">
        <v>0</v>
      </c>
      <c r="J385" s="126" t="b">
        <v>0</v>
      </c>
      <c r="K385" s="126" t="b">
        <v>0</v>
      </c>
      <c r="L385" s="126" t="b">
        <v>0</v>
      </c>
    </row>
    <row r="386" spans="1:12" ht="15">
      <c r="A386" s="126" t="s">
        <v>735</v>
      </c>
      <c r="B386" s="126" t="s">
        <v>720</v>
      </c>
      <c r="C386" s="126">
        <v>4</v>
      </c>
      <c r="D386" s="128">
        <v>0.0031749158721545243</v>
      </c>
      <c r="E386" s="128">
        <v>1.1213361858673556</v>
      </c>
      <c r="F386" s="126" t="s">
        <v>701</v>
      </c>
      <c r="G386" s="126" t="b">
        <v>0</v>
      </c>
      <c r="H386" s="126" t="b">
        <v>0</v>
      </c>
      <c r="I386" s="126" t="b">
        <v>0</v>
      </c>
      <c r="J386" s="126" t="b">
        <v>0</v>
      </c>
      <c r="K386" s="126" t="b">
        <v>0</v>
      </c>
      <c r="L386" s="126" t="b">
        <v>0</v>
      </c>
    </row>
    <row r="387" spans="1:12" ht="15">
      <c r="A387" s="126" t="s">
        <v>798</v>
      </c>
      <c r="B387" s="126" t="s">
        <v>799</v>
      </c>
      <c r="C387" s="126">
        <v>4</v>
      </c>
      <c r="D387" s="128">
        <v>0.0026636122701774864</v>
      </c>
      <c r="E387" s="128">
        <v>2.7560652939486863</v>
      </c>
      <c r="F387" s="126" t="s">
        <v>701</v>
      </c>
      <c r="G387" s="126" t="b">
        <v>0</v>
      </c>
      <c r="H387" s="126" t="b">
        <v>0</v>
      </c>
      <c r="I387" s="126" t="b">
        <v>0</v>
      </c>
      <c r="J387" s="126" t="b">
        <v>0</v>
      </c>
      <c r="K387" s="126" t="b">
        <v>0</v>
      </c>
      <c r="L387" s="126" t="b">
        <v>0</v>
      </c>
    </row>
    <row r="388" spans="1:12" ht="15">
      <c r="A388" s="126" t="s">
        <v>755</v>
      </c>
      <c r="B388" s="126" t="s">
        <v>832</v>
      </c>
      <c r="C388" s="126">
        <v>4</v>
      </c>
      <c r="D388" s="128">
        <v>0.0031749158721545243</v>
      </c>
      <c r="E388" s="128">
        <v>2.4038827758373236</v>
      </c>
      <c r="F388" s="126" t="s">
        <v>701</v>
      </c>
      <c r="G388" s="126" t="b">
        <v>0</v>
      </c>
      <c r="H388" s="126" t="b">
        <v>0</v>
      </c>
      <c r="I388" s="126" t="b">
        <v>0</v>
      </c>
      <c r="J388" s="126" t="b">
        <v>0</v>
      </c>
      <c r="K388" s="126" t="b">
        <v>0</v>
      </c>
      <c r="L388" s="126" t="b">
        <v>0</v>
      </c>
    </row>
    <row r="389" spans="1:12" ht="15">
      <c r="A389" s="126" t="s">
        <v>716</v>
      </c>
      <c r="B389" s="126" t="s">
        <v>721</v>
      </c>
      <c r="C389" s="126">
        <v>4</v>
      </c>
      <c r="D389" s="128">
        <v>0.0023645188365372634</v>
      </c>
      <c r="E389" s="128">
        <v>0.2342736443095628</v>
      </c>
      <c r="F389" s="126" t="s">
        <v>701</v>
      </c>
      <c r="G389" s="126" t="b">
        <v>0</v>
      </c>
      <c r="H389" s="126" t="b">
        <v>0</v>
      </c>
      <c r="I389" s="126" t="b">
        <v>0</v>
      </c>
      <c r="J389" s="126" t="b">
        <v>0</v>
      </c>
      <c r="K389" s="126" t="b">
        <v>0</v>
      </c>
      <c r="L389" s="126" t="b">
        <v>0</v>
      </c>
    </row>
    <row r="390" spans="1:12" ht="15">
      <c r="A390" s="126" t="s">
        <v>718</v>
      </c>
      <c r="B390" s="126" t="s">
        <v>724</v>
      </c>
      <c r="C390" s="126">
        <v>4</v>
      </c>
      <c r="D390" s="128">
        <v>0.0026636122701774864</v>
      </c>
      <c r="E390" s="128">
        <v>0.5245001386629811</v>
      </c>
      <c r="F390" s="126" t="s">
        <v>701</v>
      </c>
      <c r="G390" s="126" t="b">
        <v>0</v>
      </c>
      <c r="H390" s="126" t="b">
        <v>0</v>
      </c>
      <c r="I390" s="126" t="b">
        <v>0</v>
      </c>
      <c r="J390" s="126" t="b">
        <v>0</v>
      </c>
      <c r="K390" s="126" t="b">
        <v>0</v>
      </c>
      <c r="L390" s="126" t="b">
        <v>0</v>
      </c>
    </row>
    <row r="391" spans="1:12" ht="15">
      <c r="A391" s="126" t="s">
        <v>716</v>
      </c>
      <c r="B391" s="126" t="s">
        <v>720</v>
      </c>
      <c r="C391" s="126">
        <v>4</v>
      </c>
      <c r="D391" s="128">
        <v>0.002152308668200448</v>
      </c>
      <c r="E391" s="128">
        <v>0.11558385697826436</v>
      </c>
      <c r="F391" s="126" t="s">
        <v>701</v>
      </c>
      <c r="G391" s="126" t="b">
        <v>0</v>
      </c>
      <c r="H391" s="126" t="b">
        <v>0</v>
      </c>
      <c r="I391" s="126" t="b">
        <v>0</v>
      </c>
      <c r="J391" s="126" t="b">
        <v>0</v>
      </c>
      <c r="K391" s="126" t="b">
        <v>0</v>
      </c>
      <c r="L391" s="126" t="b">
        <v>0</v>
      </c>
    </row>
    <row r="392" spans="1:12" ht="15">
      <c r="A392" s="126" t="s">
        <v>758</v>
      </c>
      <c r="B392" s="126" t="s">
        <v>830</v>
      </c>
      <c r="C392" s="126">
        <v>4</v>
      </c>
      <c r="D392" s="128">
        <v>0.0031749158721545243</v>
      </c>
      <c r="E392" s="128">
        <v>2.513027245262392</v>
      </c>
      <c r="F392" s="126" t="s">
        <v>701</v>
      </c>
      <c r="G392" s="126" t="b">
        <v>0</v>
      </c>
      <c r="H392" s="126" t="b">
        <v>0</v>
      </c>
      <c r="I392" s="126" t="b">
        <v>0</v>
      </c>
      <c r="J392" s="126" t="b">
        <v>0</v>
      </c>
      <c r="K392" s="126" t="b">
        <v>0</v>
      </c>
      <c r="L392" s="126" t="b">
        <v>0</v>
      </c>
    </row>
    <row r="393" spans="1:12" ht="15">
      <c r="A393" s="126" t="s">
        <v>762</v>
      </c>
      <c r="B393" s="126" t="s">
        <v>828</v>
      </c>
      <c r="C393" s="126">
        <v>4</v>
      </c>
      <c r="D393" s="128">
        <v>0.0031749158721545243</v>
      </c>
      <c r="E393" s="128">
        <v>2.513027245262392</v>
      </c>
      <c r="F393" s="126" t="s">
        <v>701</v>
      </c>
      <c r="G393" s="126" t="b">
        <v>0</v>
      </c>
      <c r="H393" s="126" t="b">
        <v>0</v>
      </c>
      <c r="I393" s="126" t="b">
        <v>0</v>
      </c>
      <c r="J393" s="126" t="b">
        <v>0</v>
      </c>
      <c r="K393" s="126" t="b">
        <v>0</v>
      </c>
      <c r="L393" s="126" t="b">
        <v>0</v>
      </c>
    </row>
    <row r="394" spans="1:12" ht="15">
      <c r="A394" s="126" t="s">
        <v>717</v>
      </c>
      <c r="B394" s="126" t="s">
        <v>818</v>
      </c>
      <c r="C394" s="126">
        <v>4</v>
      </c>
      <c r="D394" s="128">
        <v>0.0023645188365372634</v>
      </c>
      <c r="E394" s="128">
        <v>1.3410919459778683</v>
      </c>
      <c r="F394" s="126" t="s">
        <v>701</v>
      </c>
      <c r="G394" s="126" t="b">
        <v>0</v>
      </c>
      <c r="H394" s="126" t="b">
        <v>0</v>
      </c>
      <c r="I394" s="126" t="b">
        <v>0</v>
      </c>
      <c r="J394" s="126" t="b">
        <v>0</v>
      </c>
      <c r="K394" s="126" t="b">
        <v>1</v>
      </c>
      <c r="L394" s="126" t="b">
        <v>0</v>
      </c>
    </row>
    <row r="395" spans="1:12" ht="15">
      <c r="A395" s="126" t="s">
        <v>773</v>
      </c>
      <c r="B395" s="126" t="s">
        <v>781</v>
      </c>
      <c r="C395" s="126">
        <v>4</v>
      </c>
      <c r="D395" s="128">
        <v>0.002152308668200448</v>
      </c>
      <c r="E395" s="128">
        <v>2.4830640218849487</v>
      </c>
      <c r="F395" s="126" t="s">
        <v>701</v>
      </c>
      <c r="G395" s="126" t="b">
        <v>0</v>
      </c>
      <c r="H395" s="126" t="b">
        <v>0</v>
      </c>
      <c r="I395" s="126" t="b">
        <v>0</v>
      </c>
      <c r="J395" s="126" t="b">
        <v>0</v>
      </c>
      <c r="K395" s="126" t="b">
        <v>0</v>
      </c>
      <c r="L395" s="126" t="b">
        <v>0</v>
      </c>
    </row>
    <row r="396" spans="1:12" ht="15">
      <c r="A396" s="126" t="s">
        <v>715</v>
      </c>
      <c r="B396" s="126" t="s">
        <v>819</v>
      </c>
      <c r="C396" s="126">
        <v>4</v>
      </c>
      <c r="D396" s="128">
        <v>0.0023645188365372634</v>
      </c>
      <c r="E396" s="128">
        <v>0.8516202528717765</v>
      </c>
      <c r="F396" s="126" t="s">
        <v>701</v>
      </c>
      <c r="G396" s="126" t="b">
        <v>0</v>
      </c>
      <c r="H396" s="126" t="b">
        <v>0</v>
      </c>
      <c r="I396" s="126" t="b">
        <v>0</v>
      </c>
      <c r="J396" s="126" t="b">
        <v>0</v>
      </c>
      <c r="K396" s="126" t="b">
        <v>0</v>
      </c>
      <c r="L396" s="126" t="b">
        <v>0</v>
      </c>
    </row>
    <row r="397" spans="1:12" ht="15">
      <c r="A397" s="126" t="s">
        <v>819</v>
      </c>
      <c r="B397" s="126" t="s">
        <v>820</v>
      </c>
      <c r="C397" s="126">
        <v>4</v>
      </c>
      <c r="D397" s="128">
        <v>0.0023645188365372634</v>
      </c>
      <c r="E397" s="128">
        <v>2.7560652939486863</v>
      </c>
      <c r="F397" s="126" t="s">
        <v>701</v>
      </c>
      <c r="G397" s="126" t="b">
        <v>0</v>
      </c>
      <c r="H397" s="126" t="b">
        <v>0</v>
      </c>
      <c r="I397" s="126" t="b">
        <v>0</v>
      </c>
      <c r="J397" s="126" t="b">
        <v>0</v>
      </c>
      <c r="K397" s="126" t="b">
        <v>0</v>
      </c>
      <c r="L397" s="126" t="b">
        <v>0</v>
      </c>
    </row>
    <row r="398" spans="1:12" ht="15">
      <c r="A398" s="126" t="s">
        <v>821</v>
      </c>
      <c r="B398" s="126" t="s">
        <v>822</v>
      </c>
      <c r="C398" s="126">
        <v>4</v>
      </c>
      <c r="D398" s="128">
        <v>0.0026636122701774864</v>
      </c>
      <c r="E398" s="128">
        <v>2.7560652939486863</v>
      </c>
      <c r="F398" s="126" t="s">
        <v>701</v>
      </c>
      <c r="G398" s="126" t="b">
        <v>0</v>
      </c>
      <c r="H398" s="126" t="b">
        <v>0</v>
      </c>
      <c r="I398" s="126" t="b">
        <v>0</v>
      </c>
      <c r="J398" s="126" t="b">
        <v>0</v>
      </c>
      <c r="K398" s="126" t="b">
        <v>0</v>
      </c>
      <c r="L398" s="126" t="b">
        <v>0</v>
      </c>
    </row>
    <row r="399" spans="1:12" ht="15">
      <c r="A399" s="126" t="s">
        <v>715</v>
      </c>
      <c r="B399" s="126" t="s">
        <v>752</v>
      </c>
      <c r="C399" s="126">
        <v>4</v>
      </c>
      <c r="D399" s="128">
        <v>0.0026636122701774864</v>
      </c>
      <c r="E399" s="128">
        <v>0.49943773476041403</v>
      </c>
      <c r="F399" s="126" t="s">
        <v>701</v>
      </c>
      <c r="G399" s="126" t="b">
        <v>0</v>
      </c>
      <c r="H399" s="126" t="b">
        <v>0</v>
      </c>
      <c r="I399" s="126" t="b">
        <v>0</v>
      </c>
      <c r="J399" s="126" t="b">
        <v>0</v>
      </c>
      <c r="K399" s="126" t="b">
        <v>0</v>
      </c>
      <c r="L399" s="126" t="b">
        <v>0</v>
      </c>
    </row>
    <row r="400" spans="1:12" ht="15">
      <c r="A400" s="126" t="s">
        <v>752</v>
      </c>
      <c r="B400" s="126" t="s">
        <v>716</v>
      </c>
      <c r="C400" s="126">
        <v>4</v>
      </c>
      <c r="D400" s="128">
        <v>0.0026636122701774864</v>
      </c>
      <c r="E400" s="128">
        <v>0.9164301496359315</v>
      </c>
      <c r="F400" s="126" t="s">
        <v>701</v>
      </c>
      <c r="G400" s="126" t="b">
        <v>0</v>
      </c>
      <c r="H400" s="126" t="b">
        <v>0</v>
      </c>
      <c r="I400" s="126" t="b">
        <v>0</v>
      </c>
      <c r="J400" s="126" t="b">
        <v>0</v>
      </c>
      <c r="K400" s="126" t="b">
        <v>0</v>
      </c>
      <c r="L400" s="126" t="b">
        <v>0</v>
      </c>
    </row>
    <row r="401" spans="1:12" ht="15">
      <c r="A401" s="126" t="s">
        <v>800</v>
      </c>
      <c r="B401" s="126" t="s">
        <v>721</v>
      </c>
      <c r="C401" s="126">
        <v>4</v>
      </c>
      <c r="D401" s="128">
        <v>0.002152308668200448</v>
      </c>
      <c r="E401" s="128">
        <v>1.8140572409263729</v>
      </c>
      <c r="F401" s="126" t="s">
        <v>701</v>
      </c>
      <c r="G401" s="126" t="b">
        <v>0</v>
      </c>
      <c r="H401" s="126" t="b">
        <v>0</v>
      </c>
      <c r="I401" s="126" t="b">
        <v>0</v>
      </c>
      <c r="J401" s="126" t="b">
        <v>0</v>
      </c>
      <c r="K401" s="126" t="b">
        <v>0</v>
      </c>
      <c r="L401" s="126" t="b">
        <v>0</v>
      </c>
    </row>
    <row r="402" spans="1:12" ht="15">
      <c r="A402" s="126" t="s">
        <v>721</v>
      </c>
      <c r="B402" s="126" t="s">
        <v>729</v>
      </c>
      <c r="C402" s="126">
        <v>4</v>
      </c>
      <c r="D402" s="128">
        <v>0.002152308668200448</v>
      </c>
      <c r="E402" s="128">
        <v>1.1734338544590497</v>
      </c>
      <c r="F402" s="126" t="s">
        <v>701</v>
      </c>
      <c r="G402" s="126" t="b">
        <v>0</v>
      </c>
      <c r="H402" s="126" t="b">
        <v>0</v>
      </c>
      <c r="I402" s="126" t="b">
        <v>0</v>
      </c>
      <c r="J402" s="126" t="b">
        <v>0</v>
      </c>
      <c r="K402" s="126" t="b">
        <v>0</v>
      </c>
      <c r="L402" s="126" t="b">
        <v>0</v>
      </c>
    </row>
    <row r="403" spans="1:12" ht="15">
      <c r="A403" s="126" t="s">
        <v>729</v>
      </c>
      <c r="B403" s="126" t="s">
        <v>801</v>
      </c>
      <c r="C403" s="126">
        <v>4</v>
      </c>
      <c r="D403" s="128">
        <v>0.002152308668200448</v>
      </c>
      <c r="E403" s="128">
        <v>2.1028527801733423</v>
      </c>
      <c r="F403" s="126" t="s">
        <v>701</v>
      </c>
      <c r="G403" s="126" t="b">
        <v>0</v>
      </c>
      <c r="H403" s="126" t="b">
        <v>0</v>
      </c>
      <c r="I403" s="126" t="b">
        <v>0</v>
      </c>
      <c r="J403" s="126" t="b">
        <v>0</v>
      </c>
      <c r="K403" s="126" t="b">
        <v>0</v>
      </c>
      <c r="L403" s="126" t="b">
        <v>0</v>
      </c>
    </row>
    <row r="404" spans="1:12" ht="15">
      <c r="A404" s="126" t="s">
        <v>801</v>
      </c>
      <c r="B404" s="126" t="s">
        <v>802</v>
      </c>
      <c r="C404" s="126">
        <v>4</v>
      </c>
      <c r="D404" s="128">
        <v>0.002152308668200448</v>
      </c>
      <c r="E404" s="128">
        <v>2.7560652939486863</v>
      </c>
      <c r="F404" s="126" t="s">
        <v>701</v>
      </c>
      <c r="G404" s="126" t="b">
        <v>0</v>
      </c>
      <c r="H404" s="126" t="b">
        <v>0</v>
      </c>
      <c r="I404" s="126" t="b">
        <v>0</v>
      </c>
      <c r="J404" s="126" t="b">
        <v>0</v>
      </c>
      <c r="K404" s="126" t="b">
        <v>1</v>
      </c>
      <c r="L404" s="126" t="b">
        <v>0</v>
      </c>
    </row>
    <row r="405" spans="1:12" ht="15">
      <c r="A405" s="126" t="s">
        <v>802</v>
      </c>
      <c r="B405" s="126" t="s">
        <v>726</v>
      </c>
      <c r="C405" s="126">
        <v>4</v>
      </c>
      <c r="D405" s="128">
        <v>0.002152308668200448</v>
      </c>
      <c r="E405" s="128">
        <v>2.0359059905427292</v>
      </c>
      <c r="F405" s="126" t="s">
        <v>701</v>
      </c>
      <c r="G405" s="126" t="b">
        <v>0</v>
      </c>
      <c r="H405" s="126" t="b">
        <v>1</v>
      </c>
      <c r="I405" s="126" t="b">
        <v>0</v>
      </c>
      <c r="J405" s="126" t="b">
        <v>0</v>
      </c>
      <c r="K405" s="126" t="b">
        <v>0</v>
      </c>
      <c r="L405" s="126" t="b">
        <v>0</v>
      </c>
    </row>
    <row r="406" spans="1:12" ht="15">
      <c r="A406" s="126" t="s">
        <v>726</v>
      </c>
      <c r="B406" s="126" t="s">
        <v>725</v>
      </c>
      <c r="C406" s="126">
        <v>4</v>
      </c>
      <c r="D406" s="128">
        <v>0.002152308668200448</v>
      </c>
      <c r="E406" s="128">
        <v>1.276238145853099</v>
      </c>
      <c r="F406" s="126" t="s">
        <v>701</v>
      </c>
      <c r="G406" s="126" t="b">
        <v>0</v>
      </c>
      <c r="H406" s="126" t="b">
        <v>0</v>
      </c>
      <c r="I406" s="126" t="b">
        <v>0</v>
      </c>
      <c r="J406" s="126" t="b">
        <v>0</v>
      </c>
      <c r="K406" s="126" t="b">
        <v>0</v>
      </c>
      <c r="L406" s="126" t="b">
        <v>0</v>
      </c>
    </row>
    <row r="407" spans="1:12" ht="15">
      <c r="A407" s="126" t="s">
        <v>725</v>
      </c>
      <c r="B407" s="126" t="s">
        <v>739</v>
      </c>
      <c r="C407" s="126">
        <v>4</v>
      </c>
      <c r="D407" s="128">
        <v>0.002152308668200448</v>
      </c>
      <c r="E407" s="128">
        <v>1.503819243475568</v>
      </c>
      <c r="F407" s="126" t="s">
        <v>701</v>
      </c>
      <c r="G407" s="126" t="b">
        <v>0</v>
      </c>
      <c r="H407" s="126" t="b">
        <v>0</v>
      </c>
      <c r="I407" s="126" t="b">
        <v>0</v>
      </c>
      <c r="J407" s="126" t="b">
        <v>0</v>
      </c>
      <c r="K407" s="126" t="b">
        <v>0</v>
      </c>
      <c r="L407" s="126" t="b">
        <v>0</v>
      </c>
    </row>
    <row r="408" spans="1:12" ht="15">
      <c r="A408" s="126" t="s">
        <v>739</v>
      </c>
      <c r="B408" s="126" t="s">
        <v>740</v>
      </c>
      <c r="C408" s="126">
        <v>4</v>
      </c>
      <c r="D408" s="128">
        <v>0.002152308668200448</v>
      </c>
      <c r="E408" s="128">
        <v>1.7670606782501492</v>
      </c>
      <c r="F408" s="126" t="s">
        <v>701</v>
      </c>
      <c r="G408" s="126" t="b">
        <v>0</v>
      </c>
      <c r="H408" s="126" t="b">
        <v>0</v>
      </c>
      <c r="I408" s="126" t="b">
        <v>0</v>
      </c>
      <c r="J408" s="126" t="b">
        <v>0</v>
      </c>
      <c r="K408" s="126" t="b">
        <v>0</v>
      </c>
      <c r="L408" s="126" t="b">
        <v>0</v>
      </c>
    </row>
    <row r="409" spans="1:12" ht="15">
      <c r="A409" s="126" t="s">
        <v>738</v>
      </c>
      <c r="B409" s="126" t="s">
        <v>803</v>
      </c>
      <c r="C409" s="126">
        <v>4</v>
      </c>
      <c r="D409" s="128">
        <v>0.002152308668200448</v>
      </c>
      <c r="E409" s="128">
        <v>2.2789440392290237</v>
      </c>
      <c r="F409" s="126" t="s">
        <v>701</v>
      </c>
      <c r="G409" s="126" t="b">
        <v>0</v>
      </c>
      <c r="H409" s="126" t="b">
        <v>0</v>
      </c>
      <c r="I409" s="126" t="b">
        <v>0</v>
      </c>
      <c r="J409" s="126" t="b">
        <v>0</v>
      </c>
      <c r="K409" s="126" t="b">
        <v>0</v>
      </c>
      <c r="L409" s="126" t="b">
        <v>0</v>
      </c>
    </row>
    <row r="410" spans="1:12" ht="15">
      <c r="A410" s="126" t="s">
        <v>803</v>
      </c>
      <c r="B410" s="126" t="s">
        <v>769</v>
      </c>
      <c r="C410" s="126">
        <v>4</v>
      </c>
      <c r="D410" s="128">
        <v>0.002152308668200448</v>
      </c>
      <c r="E410" s="128">
        <v>2.579974034893005</v>
      </c>
      <c r="F410" s="126" t="s">
        <v>701</v>
      </c>
      <c r="G410" s="126" t="b">
        <v>0</v>
      </c>
      <c r="H410" s="126" t="b">
        <v>0</v>
      </c>
      <c r="I410" s="126" t="b">
        <v>0</v>
      </c>
      <c r="J410" s="126" t="b">
        <v>0</v>
      </c>
      <c r="K410" s="126" t="b">
        <v>0</v>
      </c>
      <c r="L410" s="126" t="b">
        <v>0</v>
      </c>
    </row>
    <row r="411" spans="1:12" ht="15">
      <c r="A411" s="126" t="s">
        <v>769</v>
      </c>
      <c r="B411" s="126" t="s">
        <v>804</v>
      </c>
      <c r="C411" s="126">
        <v>4</v>
      </c>
      <c r="D411" s="128">
        <v>0.002152308668200448</v>
      </c>
      <c r="E411" s="128">
        <v>2.579974034893005</v>
      </c>
      <c r="F411" s="126" t="s">
        <v>701</v>
      </c>
      <c r="G411" s="126" t="b">
        <v>0</v>
      </c>
      <c r="H411" s="126" t="b">
        <v>0</v>
      </c>
      <c r="I411" s="126" t="b">
        <v>0</v>
      </c>
      <c r="J411" s="126" t="b">
        <v>0</v>
      </c>
      <c r="K411" s="126" t="b">
        <v>0</v>
      </c>
      <c r="L411" s="126" t="b">
        <v>0</v>
      </c>
    </row>
    <row r="412" spans="1:12" ht="15">
      <c r="A412" s="126" t="s">
        <v>804</v>
      </c>
      <c r="B412" s="126" t="s">
        <v>779</v>
      </c>
      <c r="C412" s="126">
        <v>4</v>
      </c>
      <c r="D412" s="128">
        <v>0.002152308668200448</v>
      </c>
      <c r="E412" s="128">
        <v>2.6591552809406296</v>
      </c>
      <c r="F412" s="126" t="s">
        <v>701</v>
      </c>
      <c r="G412" s="126" t="b">
        <v>0</v>
      </c>
      <c r="H412" s="126" t="b">
        <v>0</v>
      </c>
      <c r="I412" s="126" t="b">
        <v>0</v>
      </c>
      <c r="J412" s="126" t="b">
        <v>0</v>
      </c>
      <c r="K412" s="126" t="b">
        <v>0</v>
      </c>
      <c r="L412" s="126" t="b">
        <v>0</v>
      </c>
    </row>
    <row r="413" spans="1:12" ht="15">
      <c r="A413" s="126" t="s">
        <v>779</v>
      </c>
      <c r="B413" s="126" t="s">
        <v>736</v>
      </c>
      <c r="C413" s="126">
        <v>4</v>
      </c>
      <c r="D413" s="128">
        <v>0.002152308668200448</v>
      </c>
      <c r="E413" s="128">
        <v>2.1150872365903544</v>
      </c>
      <c r="F413" s="126" t="s">
        <v>701</v>
      </c>
      <c r="G413" s="126" t="b">
        <v>0</v>
      </c>
      <c r="H413" s="126" t="b">
        <v>0</v>
      </c>
      <c r="I413" s="126" t="b">
        <v>0</v>
      </c>
      <c r="J413" s="126" t="b">
        <v>0</v>
      </c>
      <c r="K413" s="126" t="b">
        <v>0</v>
      </c>
      <c r="L413" s="126" t="b">
        <v>0</v>
      </c>
    </row>
    <row r="414" spans="1:12" ht="15">
      <c r="A414" s="126" t="s">
        <v>751</v>
      </c>
      <c r="B414" s="126" t="s">
        <v>741</v>
      </c>
      <c r="C414" s="126">
        <v>4</v>
      </c>
      <c r="D414" s="128">
        <v>0.002152308668200448</v>
      </c>
      <c r="E414" s="128">
        <v>1.964550082007061</v>
      </c>
      <c r="F414" s="126" t="s">
        <v>701</v>
      </c>
      <c r="G414" s="126" t="b">
        <v>0</v>
      </c>
      <c r="H414" s="126" t="b">
        <v>0</v>
      </c>
      <c r="I414" s="126" t="b">
        <v>0</v>
      </c>
      <c r="J414" s="126" t="b">
        <v>0</v>
      </c>
      <c r="K414" s="126" t="b">
        <v>0</v>
      </c>
      <c r="L414" s="126" t="b">
        <v>0</v>
      </c>
    </row>
    <row r="415" spans="1:12" ht="15">
      <c r="A415" s="126" t="s">
        <v>741</v>
      </c>
      <c r="B415" s="126" t="s">
        <v>780</v>
      </c>
      <c r="C415" s="126">
        <v>4</v>
      </c>
      <c r="D415" s="128">
        <v>0.002152308668200448</v>
      </c>
      <c r="E415" s="128">
        <v>2.3581252852766488</v>
      </c>
      <c r="F415" s="126" t="s">
        <v>701</v>
      </c>
      <c r="G415" s="126" t="b">
        <v>0</v>
      </c>
      <c r="H415" s="126" t="b">
        <v>0</v>
      </c>
      <c r="I415" s="126" t="b">
        <v>0</v>
      </c>
      <c r="J415" s="126" t="b">
        <v>0</v>
      </c>
      <c r="K415" s="126" t="b">
        <v>0</v>
      </c>
      <c r="L415" s="126" t="b">
        <v>0</v>
      </c>
    </row>
    <row r="416" spans="1:12" ht="15">
      <c r="A416" s="126" t="s">
        <v>780</v>
      </c>
      <c r="B416" s="126" t="s">
        <v>742</v>
      </c>
      <c r="C416" s="126">
        <v>4</v>
      </c>
      <c r="D416" s="128">
        <v>0.002152308668200448</v>
      </c>
      <c r="E416" s="128">
        <v>2.261215272268592</v>
      </c>
      <c r="F416" s="126" t="s">
        <v>701</v>
      </c>
      <c r="G416" s="126" t="b">
        <v>0</v>
      </c>
      <c r="H416" s="126" t="b">
        <v>0</v>
      </c>
      <c r="I416" s="126" t="b">
        <v>0</v>
      </c>
      <c r="J416" s="126" t="b">
        <v>0</v>
      </c>
      <c r="K416" s="126" t="b">
        <v>1</v>
      </c>
      <c r="L416" s="126" t="b">
        <v>0</v>
      </c>
    </row>
    <row r="417" spans="1:12" ht="15">
      <c r="A417" s="126" t="s">
        <v>718</v>
      </c>
      <c r="B417" s="126" t="s">
        <v>805</v>
      </c>
      <c r="C417" s="126">
        <v>4</v>
      </c>
      <c r="D417" s="128">
        <v>0.002152308668200448</v>
      </c>
      <c r="E417" s="128">
        <v>1.353803911494006</v>
      </c>
      <c r="F417" s="126" t="s">
        <v>701</v>
      </c>
      <c r="G417" s="126" t="b">
        <v>0</v>
      </c>
      <c r="H417" s="126" t="b">
        <v>0</v>
      </c>
      <c r="I417" s="126" t="b">
        <v>0</v>
      </c>
      <c r="J417" s="126" t="b">
        <v>0</v>
      </c>
      <c r="K417" s="126" t="b">
        <v>0</v>
      </c>
      <c r="L417" s="126" t="b">
        <v>0</v>
      </c>
    </row>
    <row r="418" spans="1:12" ht="15">
      <c r="A418" s="126" t="s">
        <v>805</v>
      </c>
      <c r="B418" s="126" t="s">
        <v>732</v>
      </c>
      <c r="C418" s="126">
        <v>4</v>
      </c>
      <c r="D418" s="128">
        <v>0.002152308668200448</v>
      </c>
      <c r="E418" s="128">
        <v>2.1820340262209674</v>
      </c>
      <c r="F418" s="126" t="s">
        <v>701</v>
      </c>
      <c r="G418" s="126" t="b">
        <v>0</v>
      </c>
      <c r="H418" s="126" t="b">
        <v>0</v>
      </c>
      <c r="I418" s="126" t="b">
        <v>0</v>
      </c>
      <c r="J418" s="126" t="b">
        <v>0</v>
      </c>
      <c r="K418" s="126" t="b">
        <v>0</v>
      </c>
      <c r="L418" s="126" t="b">
        <v>0</v>
      </c>
    </row>
    <row r="419" spans="1:12" ht="15">
      <c r="A419" s="126" t="s">
        <v>732</v>
      </c>
      <c r="B419" s="126" t="s">
        <v>806</v>
      </c>
      <c r="C419" s="126">
        <v>4</v>
      </c>
      <c r="D419" s="128">
        <v>0.002152308668200448</v>
      </c>
      <c r="E419" s="128">
        <v>2.1820340262209674</v>
      </c>
      <c r="F419" s="126" t="s">
        <v>701</v>
      </c>
      <c r="G419" s="126" t="b">
        <v>0</v>
      </c>
      <c r="H419" s="126" t="b">
        <v>0</v>
      </c>
      <c r="I419" s="126" t="b">
        <v>0</v>
      </c>
      <c r="J419" s="126" t="b">
        <v>0</v>
      </c>
      <c r="K419" s="126" t="b">
        <v>0</v>
      </c>
      <c r="L419" s="126" t="b">
        <v>0</v>
      </c>
    </row>
    <row r="420" spans="1:12" ht="15">
      <c r="A420" s="126" t="s">
        <v>806</v>
      </c>
      <c r="B420" s="126" t="s">
        <v>807</v>
      </c>
      <c r="C420" s="126">
        <v>4</v>
      </c>
      <c r="D420" s="128">
        <v>0.002152308668200448</v>
      </c>
      <c r="E420" s="128">
        <v>2.7560652939486863</v>
      </c>
      <c r="F420" s="126" t="s">
        <v>701</v>
      </c>
      <c r="G420" s="126" t="b">
        <v>0</v>
      </c>
      <c r="H420" s="126" t="b">
        <v>0</v>
      </c>
      <c r="I420" s="126" t="b">
        <v>0</v>
      </c>
      <c r="J420" s="126" t="b">
        <v>0</v>
      </c>
      <c r="K420" s="126" t="b">
        <v>0</v>
      </c>
      <c r="L420" s="126" t="b">
        <v>0</v>
      </c>
    </row>
    <row r="421" spans="1:12" ht="15">
      <c r="A421" s="126" t="s">
        <v>807</v>
      </c>
      <c r="B421" s="126" t="s">
        <v>770</v>
      </c>
      <c r="C421" s="126">
        <v>4</v>
      </c>
      <c r="D421" s="128">
        <v>0.002152308668200448</v>
      </c>
      <c r="E421" s="128">
        <v>2.579974034893005</v>
      </c>
      <c r="F421" s="126" t="s">
        <v>701</v>
      </c>
      <c r="G421" s="126" t="b">
        <v>0</v>
      </c>
      <c r="H421" s="126" t="b">
        <v>0</v>
      </c>
      <c r="I421" s="126" t="b">
        <v>0</v>
      </c>
      <c r="J421" s="126" t="b">
        <v>0</v>
      </c>
      <c r="K421" s="126" t="b">
        <v>0</v>
      </c>
      <c r="L421" s="126" t="b">
        <v>0</v>
      </c>
    </row>
    <row r="422" spans="1:12" ht="15">
      <c r="A422" s="126" t="s">
        <v>770</v>
      </c>
      <c r="B422" s="126" t="s">
        <v>808</v>
      </c>
      <c r="C422" s="126">
        <v>4</v>
      </c>
      <c r="D422" s="128">
        <v>0.002152308668200448</v>
      </c>
      <c r="E422" s="128">
        <v>2.579974034893005</v>
      </c>
      <c r="F422" s="126" t="s">
        <v>701</v>
      </c>
      <c r="G422" s="126" t="b">
        <v>0</v>
      </c>
      <c r="H422" s="126" t="b">
        <v>0</v>
      </c>
      <c r="I422" s="126" t="b">
        <v>0</v>
      </c>
      <c r="J422" s="126" t="b">
        <v>0</v>
      </c>
      <c r="K422" s="126" t="b">
        <v>0</v>
      </c>
      <c r="L422" s="126" t="b">
        <v>0</v>
      </c>
    </row>
    <row r="423" spans="1:12" ht="15">
      <c r="A423" s="126" t="s">
        <v>808</v>
      </c>
      <c r="B423" s="126" t="s">
        <v>809</v>
      </c>
      <c r="C423" s="126">
        <v>4</v>
      </c>
      <c r="D423" s="128">
        <v>0.002152308668200448</v>
      </c>
      <c r="E423" s="128">
        <v>2.7560652939486863</v>
      </c>
      <c r="F423" s="126" t="s">
        <v>701</v>
      </c>
      <c r="G423" s="126" t="b">
        <v>0</v>
      </c>
      <c r="H423" s="126" t="b">
        <v>0</v>
      </c>
      <c r="I423" s="126" t="b">
        <v>0</v>
      </c>
      <c r="J423" s="126" t="b">
        <v>0</v>
      </c>
      <c r="K423" s="126" t="b">
        <v>0</v>
      </c>
      <c r="L423" s="126" t="b">
        <v>0</v>
      </c>
    </row>
    <row r="424" spans="1:12" ht="15">
      <c r="A424" s="126" t="s">
        <v>809</v>
      </c>
      <c r="B424" s="126" t="s">
        <v>810</v>
      </c>
      <c r="C424" s="126">
        <v>4</v>
      </c>
      <c r="D424" s="128">
        <v>0.002152308668200448</v>
      </c>
      <c r="E424" s="128">
        <v>2.7560652939486863</v>
      </c>
      <c r="F424" s="126" t="s">
        <v>701</v>
      </c>
      <c r="G424" s="126" t="b">
        <v>0</v>
      </c>
      <c r="H424" s="126" t="b">
        <v>0</v>
      </c>
      <c r="I424" s="126" t="b">
        <v>0</v>
      </c>
      <c r="J424" s="126" t="b">
        <v>0</v>
      </c>
      <c r="K424" s="126" t="b">
        <v>0</v>
      </c>
      <c r="L424" s="126" t="b">
        <v>0</v>
      </c>
    </row>
    <row r="425" spans="1:12" ht="15">
      <c r="A425" s="126" t="s">
        <v>810</v>
      </c>
      <c r="B425" s="126" t="s">
        <v>811</v>
      </c>
      <c r="C425" s="126">
        <v>4</v>
      </c>
      <c r="D425" s="128">
        <v>0.002152308668200448</v>
      </c>
      <c r="E425" s="128">
        <v>2.7560652939486863</v>
      </c>
      <c r="F425" s="126" t="s">
        <v>701</v>
      </c>
      <c r="G425" s="126" t="b">
        <v>0</v>
      </c>
      <c r="H425" s="126" t="b">
        <v>0</v>
      </c>
      <c r="I425" s="126" t="b">
        <v>0</v>
      </c>
      <c r="J425" s="126" t="b">
        <v>0</v>
      </c>
      <c r="K425" s="126" t="b">
        <v>0</v>
      </c>
      <c r="L425" s="126" t="b">
        <v>0</v>
      </c>
    </row>
    <row r="426" spans="1:12" ht="15">
      <c r="A426" s="126" t="s">
        <v>811</v>
      </c>
      <c r="B426" s="126" t="s">
        <v>812</v>
      </c>
      <c r="C426" s="126">
        <v>4</v>
      </c>
      <c r="D426" s="128">
        <v>0.002152308668200448</v>
      </c>
      <c r="E426" s="128">
        <v>2.7560652939486863</v>
      </c>
      <c r="F426" s="126" t="s">
        <v>701</v>
      </c>
      <c r="G426" s="126" t="b">
        <v>0</v>
      </c>
      <c r="H426" s="126" t="b">
        <v>0</v>
      </c>
      <c r="I426" s="126" t="b">
        <v>0</v>
      </c>
      <c r="J426" s="126" t="b">
        <v>0</v>
      </c>
      <c r="K426" s="126" t="b">
        <v>0</v>
      </c>
      <c r="L426" s="126" t="b">
        <v>0</v>
      </c>
    </row>
    <row r="427" spans="1:12" ht="15">
      <c r="A427" s="126" t="s">
        <v>812</v>
      </c>
      <c r="B427" s="126" t="s">
        <v>813</v>
      </c>
      <c r="C427" s="126">
        <v>4</v>
      </c>
      <c r="D427" s="128">
        <v>0.002152308668200448</v>
      </c>
      <c r="E427" s="128">
        <v>2.7560652939486863</v>
      </c>
      <c r="F427" s="126" t="s">
        <v>701</v>
      </c>
      <c r="G427" s="126" t="b">
        <v>0</v>
      </c>
      <c r="H427" s="126" t="b">
        <v>0</v>
      </c>
      <c r="I427" s="126" t="b">
        <v>0</v>
      </c>
      <c r="J427" s="126" t="b">
        <v>0</v>
      </c>
      <c r="K427" s="126" t="b">
        <v>0</v>
      </c>
      <c r="L427" s="126" t="b">
        <v>0</v>
      </c>
    </row>
    <row r="428" spans="1:12" ht="15">
      <c r="A428" s="126" t="s">
        <v>813</v>
      </c>
      <c r="B428" s="126" t="s">
        <v>814</v>
      </c>
      <c r="C428" s="126">
        <v>4</v>
      </c>
      <c r="D428" s="128">
        <v>0.002152308668200448</v>
      </c>
      <c r="E428" s="128">
        <v>2.7560652939486863</v>
      </c>
      <c r="F428" s="126" t="s">
        <v>701</v>
      </c>
      <c r="G428" s="126" t="b">
        <v>0</v>
      </c>
      <c r="H428" s="126" t="b">
        <v>0</v>
      </c>
      <c r="I428" s="126" t="b">
        <v>0</v>
      </c>
      <c r="J428" s="126" t="b">
        <v>0</v>
      </c>
      <c r="K428" s="126" t="b">
        <v>0</v>
      </c>
      <c r="L428" s="126" t="b">
        <v>0</v>
      </c>
    </row>
    <row r="429" spans="1:12" ht="15">
      <c r="A429" s="126" t="s">
        <v>814</v>
      </c>
      <c r="B429" s="126" t="s">
        <v>771</v>
      </c>
      <c r="C429" s="126">
        <v>4</v>
      </c>
      <c r="D429" s="128">
        <v>0.002152308668200448</v>
      </c>
      <c r="E429" s="128">
        <v>2.579974034893005</v>
      </c>
      <c r="F429" s="126" t="s">
        <v>701</v>
      </c>
      <c r="G429" s="126" t="b">
        <v>0</v>
      </c>
      <c r="H429" s="126" t="b">
        <v>0</v>
      </c>
      <c r="I429" s="126" t="b">
        <v>0</v>
      </c>
      <c r="J429" s="126" t="b">
        <v>0</v>
      </c>
      <c r="K429" s="126" t="b">
        <v>0</v>
      </c>
      <c r="L429" s="126" t="b">
        <v>0</v>
      </c>
    </row>
    <row r="430" spans="1:12" ht="15">
      <c r="A430" s="126" t="s">
        <v>771</v>
      </c>
      <c r="B430" s="126" t="s">
        <v>815</v>
      </c>
      <c r="C430" s="126">
        <v>4</v>
      </c>
      <c r="D430" s="128">
        <v>0.002152308668200448</v>
      </c>
      <c r="E430" s="128">
        <v>2.579974034893005</v>
      </c>
      <c r="F430" s="126" t="s">
        <v>701</v>
      </c>
      <c r="G430" s="126" t="b">
        <v>0</v>
      </c>
      <c r="H430" s="126" t="b">
        <v>0</v>
      </c>
      <c r="I430" s="126" t="b">
        <v>0</v>
      </c>
      <c r="J430" s="126" t="b">
        <v>0</v>
      </c>
      <c r="K430" s="126" t="b">
        <v>0</v>
      </c>
      <c r="L430" s="126" t="b">
        <v>0</v>
      </c>
    </row>
    <row r="431" spans="1:12" ht="15">
      <c r="A431" s="126" t="s">
        <v>815</v>
      </c>
      <c r="B431" s="126" t="s">
        <v>772</v>
      </c>
      <c r="C431" s="126">
        <v>4</v>
      </c>
      <c r="D431" s="128">
        <v>0.002152308668200448</v>
      </c>
      <c r="E431" s="128">
        <v>2.579974034893005</v>
      </c>
      <c r="F431" s="126" t="s">
        <v>701</v>
      </c>
      <c r="G431" s="126" t="b">
        <v>0</v>
      </c>
      <c r="H431" s="126" t="b">
        <v>0</v>
      </c>
      <c r="I431" s="126" t="b">
        <v>0</v>
      </c>
      <c r="J431" s="126" t="b">
        <v>0</v>
      </c>
      <c r="K431" s="126" t="b">
        <v>0</v>
      </c>
      <c r="L431" s="126" t="b">
        <v>0</v>
      </c>
    </row>
    <row r="432" spans="1:12" ht="15">
      <c r="A432" s="126" t="s">
        <v>772</v>
      </c>
      <c r="B432" s="126" t="s">
        <v>816</v>
      </c>
      <c r="C432" s="126">
        <v>4</v>
      </c>
      <c r="D432" s="128">
        <v>0.002152308668200448</v>
      </c>
      <c r="E432" s="128">
        <v>2.579974034893005</v>
      </c>
      <c r="F432" s="126" t="s">
        <v>701</v>
      </c>
      <c r="G432" s="126" t="b">
        <v>0</v>
      </c>
      <c r="H432" s="126" t="b">
        <v>0</v>
      </c>
      <c r="I432" s="126" t="b">
        <v>0</v>
      </c>
      <c r="J432" s="126" t="b">
        <v>0</v>
      </c>
      <c r="K432" s="126" t="b">
        <v>0</v>
      </c>
      <c r="L432" s="126" t="b">
        <v>0</v>
      </c>
    </row>
    <row r="433" spans="1:12" ht="15">
      <c r="A433" s="126" t="s">
        <v>816</v>
      </c>
      <c r="B433" s="126" t="s">
        <v>817</v>
      </c>
      <c r="C433" s="126">
        <v>4</v>
      </c>
      <c r="D433" s="128">
        <v>0.002152308668200448</v>
      </c>
      <c r="E433" s="128">
        <v>2.7560652939486863</v>
      </c>
      <c r="F433" s="126" t="s">
        <v>701</v>
      </c>
      <c r="G433" s="126" t="b">
        <v>0</v>
      </c>
      <c r="H433" s="126" t="b">
        <v>0</v>
      </c>
      <c r="I433" s="126" t="b">
        <v>0</v>
      </c>
      <c r="J433" s="126" t="b">
        <v>0</v>
      </c>
      <c r="K433" s="126" t="b">
        <v>0</v>
      </c>
      <c r="L433" s="126" t="b">
        <v>0</v>
      </c>
    </row>
    <row r="434" spans="1:12" ht="15">
      <c r="A434" s="126" t="s">
        <v>823</v>
      </c>
      <c r="B434" s="126" t="s">
        <v>776</v>
      </c>
      <c r="C434" s="126">
        <v>4</v>
      </c>
      <c r="D434" s="128">
        <v>0.0031749158721545243</v>
      </c>
      <c r="E434" s="128">
        <v>2.579974034893005</v>
      </c>
      <c r="F434" s="126" t="s">
        <v>701</v>
      </c>
      <c r="G434" s="126" t="b">
        <v>0</v>
      </c>
      <c r="H434" s="126" t="b">
        <v>0</v>
      </c>
      <c r="I434" s="126" t="b">
        <v>0</v>
      </c>
      <c r="J434" s="126" t="b">
        <v>0</v>
      </c>
      <c r="K434" s="126" t="b">
        <v>0</v>
      </c>
      <c r="L434" s="126" t="b">
        <v>0</v>
      </c>
    </row>
    <row r="435" spans="1:12" ht="15">
      <c r="A435" s="126" t="s">
        <v>759</v>
      </c>
      <c r="B435" s="126" t="s">
        <v>760</v>
      </c>
      <c r="C435" s="126">
        <v>3</v>
      </c>
      <c r="D435" s="128">
        <v>0.0023811869041158932</v>
      </c>
      <c r="E435" s="128">
        <v>2.1450504599677975</v>
      </c>
      <c r="F435" s="126" t="s">
        <v>701</v>
      </c>
      <c r="G435" s="126" t="b">
        <v>0</v>
      </c>
      <c r="H435" s="126" t="b">
        <v>0</v>
      </c>
      <c r="I435" s="126" t="b">
        <v>0</v>
      </c>
      <c r="J435" s="126" t="b">
        <v>0</v>
      </c>
      <c r="K435" s="126" t="b">
        <v>0</v>
      </c>
      <c r="L435" s="126" t="b">
        <v>0</v>
      </c>
    </row>
    <row r="436" spans="1:12" ht="15">
      <c r="A436" s="126" t="s">
        <v>827</v>
      </c>
      <c r="B436" s="126" t="s">
        <v>764</v>
      </c>
      <c r="C436" s="126">
        <v>3</v>
      </c>
      <c r="D436" s="128">
        <v>0.0017733891274029476</v>
      </c>
      <c r="E436" s="128">
        <v>2.388088508654092</v>
      </c>
      <c r="F436" s="126" t="s">
        <v>701</v>
      </c>
      <c r="G436" s="126" t="b">
        <v>0</v>
      </c>
      <c r="H436" s="126" t="b">
        <v>0</v>
      </c>
      <c r="I436" s="126" t="b">
        <v>0</v>
      </c>
      <c r="J436" s="126" t="b">
        <v>0</v>
      </c>
      <c r="K436" s="126" t="b">
        <v>0</v>
      </c>
      <c r="L436" s="126" t="b">
        <v>0</v>
      </c>
    </row>
    <row r="437" spans="1:12" ht="15">
      <c r="A437" s="126" t="s">
        <v>718</v>
      </c>
      <c r="B437" s="126" t="s">
        <v>716</v>
      </c>
      <c r="C437" s="126">
        <v>3</v>
      </c>
      <c r="D437" s="128">
        <v>0.0017733891274029476</v>
      </c>
      <c r="E437" s="128">
        <v>-0.3677319207407541</v>
      </c>
      <c r="F437" s="126" t="s">
        <v>701</v>
      </c>
      <c r="G437" s="126" t="b">
        <v>0</v>
      </c>
      <c r="H437" s="126" t="b">
        <v>0</v>
      </c>
      <c r="I437" s="126" t="b">
        <v>0</v>
      </c>
      <c r="J437" s="126" t="b">
        <v>0</v>
      </c>
      <c r="K437" s="126" t="b">
        <v>0</v>
      </c>
      <c r="L437" s="126" t="b">
        <v>0</v>
      </c>
    </row>
    <row r="438" spans="1:12" ht="15">
      <c r="A438" s="126" t="s">
        <v>729</v>
      </c>
      <c r="B438" s="126" t="s">
        <v>716</v>
      </c>
      <c r="C438" s="126">
        <v>3</v>
      </c>
      <c r="D438" s="128">
        <v>0.0019977092026331146</v>
      </c>
      <c r="E438" s="128">
        <v>0.38131694793858234</v>
      </c>
      <c r="F438" s="126" t="s">
        <v>701</v>
      </c>
      <c r="G438" s="126" t="b">
        <v>0</v>
      </c>
      <c r="H438" s="126" t="b">
        <v>0</v>
      </c>
      <c r="I438" s="126" t="b">
        <v>0</v>
      </c>
      <c r="J438" s="126" t="b">
        <v>0</v>
      </c>
      <c r="K438" s="126" t="b">
        <v>0</v>
      </c>
      <c r="L438" s="126" t="b">
        <v>0</v>
      </c>
    </row>
    <row r="439" spans="1:12" ht="15">
      <c r="A439" s="126" t="s">
        <v>731</v>
      </c>
      <c r="B439" s="126" t="s">
        <v>792</v>
      </c>
      <c r="C439" s="126">
        <v>3</v>
      </c>
      <c r="D439" s="128">
        <v>0.0019977092026331146</v>
      </c>
      <c r="E439" s="128">
        <v>1.9058276142820183</v>
      </c>
      <c r="F439" s="126" t="s">
        <v>701</v>
      </c>
      <c r="G439" s="126" t="b">
        <v>0</v>
      </c>
      <c r="H439" s="126" t="b">
        <v>0</v>
      </c>
      <c r="I439" s="126" t="b">
        <v>0</v>
      </c>
      <c r="J439" s="126" t="b">
        <v>0</v>
      </c>
      <c r="K439" s="126" t="b">
        <v>0</v>
      </c>
      <c r="L439" s="126" t="b">
        <v>0</v>
      </c>
    </row>
    <row r="440" spans="1:12" ht="15">
      <c r="A440" s="126" t="s">
        <v>792</v>
      </c>
      <c r="B440" s="126" t="s">
        <v>739</v>
      </c>
      <c r="C440" s="126">
        <v>3</v>
      </c>
      <c r="D440" s="128">
        <v>0.0017733891274029476</v>
      </c>
      <c r="E440" s="128">
        <v>2.0223331833534552</v>
      </c>
      <c r="F440" s="126" t="s">
        <v>701</v>
      </c>
      <c r="G440" s="126" t="b">
        <v>0</v>
      </c>
      <c r="H440" s="126" t="b">
        <v>0</v>
      </c>
      <c r="I440" s="126" t="b">
        <v>0</v>
      </c>
      <c r="J440" s="126" t="b">
        <v>0</v>
      </c>
      <c r="K440" s="126" t="b">
        <v>0</v>
      </c>
      <c r="L440" s="126" t="b">
        <v>0</v>
      </c>
    </row>
    <row r="441" spans="1:12" ht="15">
      <c r="A441" s="126" t="s">
        <v>871</v>
      </c>
      <c r="B441" s="126" t="s">
        <v>724</v>
      </c>
      <c r="C441" s="126">
        <v>3</v>
      </c>
      <c r="D441" s="128">
        <v>0.0017733891274029476</v>
      </c>
      <c r="E441" s="128">
        <v>1.9267615211176612</v>
      </c>
      <c r="F441" s="126" t="s">
        <v>701</v>
      </c>
      <c r="G441" s="126" t="b">
        <v>0</v>
      </c>
      <c r="H441" s="126" t="b">
        <v>0</v>
      </c>
      <c r="I441" s="126" t="b">
        <v>0</v>
      </c>
      <c r="J441" s="126" t="b">
        <v>0</v>
      </c>
      <c r="K441" s="126" t="b">
        <v>0</v>
      </c>
      <c r="L441" s="126" t="b">
        <v>0</v>
      </c>
    </row>
    <row r="442" spans="1:12" ht="15">
      <c r="A442" s="126" t="s">
        <v>716</v>
      </c>
      <c r="B442" s="126" t="s">
        <v>728</v>
      </c>
      <c r="C442" s="126">
        <v>3</v>
      </c>
      <c r="D442" s="128">
        <v>0.0017733891274029476</v>
      </c>
      <c r="E442" s="128">
        <v>0.35237295638755733</v>
      </c>
      <c r="F442" s="126" t="s">
        <v>701</v>
      </c>
      <c r="G442" s="126" t="b">
        <v>0</v>
      </c>
      <c r="H442" s="126" t="b">
        <v>0</v>
      </c>
      <c r="I442" s="126" t="b">
        <v>0</v>
      </c>
      <c r="J442" s="126" t="b">
        <v>0</v>
      </c>
      <c r="K442" s="126" t="b">
        <v>0</v>
      </c>
      <c r="L442" s="126" t="b">
        <v>0</v>
      </c>
    </row>
    <row r="443" spans="1:12" ht="15">
      <c r="A443" s="126" t="s">
        <v>716</v>
      </c>
      <c r="B443" s="126" t="s">
        <v>724</v>
      </c>
      <c r="C443" s="126">
        <v>3</v>
      </c>
      <c r="D443" s="128">
        <v>0.0019977092026331146</v>
      </c>
      <c r="E443" s="128">
        <v>0.22203918789255117</v>
      </c>
      <c r="F443" s="126" t="s">
        <v>701</v>
      </c>
      <c r="G443" s="126" t="b">
        <v>0</v>
      </c>
      <c r="H443" s="126" t="b">
        <v>0</v>
      </c>
      <c r="I443" s="126" t="b">
        <v>0</v>
      </c>
      <c r="J443" s="126" t="b">
        <v>0</v>
      </c>
      <c r="K443" s="126" t="b">
        <v>0</v>
      </c>
      <c r="L443" s="126" t="b">
        <v>0</v>
      </c>
    </row>
    <row r="444" spans="1:12" ht="15">
      <c r="A444" s="126" t="s">
        <v>762</v>
      </c>
      <c r="B444" s="126" t="s">
        <v>789</v>
      </c>
      <c r="C444" s="126">
        <v>3</v>
      </c>
      <c r="D444" s="128">
        <v>0.0017733891274029476</v>
      </c>
      <c r="E444" s="128">
        <v>2.2911784956460353</v>
      </c>
      <c r="F444" s="126" t="s">
        <v>701</v>
      </c>
      <c r="G444" s="126" t="b">
        <v>0</v>
      </c>
      <c r="H444" s="126" t="b">
        <v>0</v>
      </c>
      <c r="I444" s="126" t="b">
        <v>0</v>
      </c>
      <c r="J444" s="126" t="b">
        <v>0</v>
      </c>
      <c r="K444" s="126" t="b">
        <v>0</v>
      </c>
      <c r="L444" s="126" t="b">
        <v>0</v>
      </c>
    </row>
    <row r="445" spans="1:12" ht="15">
      <c r="A445" s="126" t="s">
        <v>750</v>
      </c>
      <c r="B445" s="126" t="s">
        <v>750</v>
      </c>
      <c r="C445" s="126">
        <v>3</v>
      </c>
      <c r="D445" s="128">
        <v>0.0019977092026331146</v>
      </c>
      <c r="E445" s="128">
        <v>1.9267615211176612</v>
      </c>
      <c r="F445" s="126" t="s">
        <v>701</v>
      </c>
      <c r="G445" s="126" t="b">
        <v>0</v>
      </c>
      <c r="H445" s="126" t="b">
        <v>1</v>
      </c>
      <c r="I445" s="126" t="b">
        <v>0</v>
      </c>
      <c r="J445" s="126" t="b">
        <v>0</v>
      </c>
      <c r="K445" s="126" t="b">
        <v>1</v>
      </c>
      <c r="L445" s="126" t="b">
        <v>0</v>
      </c>
    </row>
    <row r="446" spans="1:12" ht="15">
      <c r="A446" s="126" t="s">
        <v>734</v>
      </c>
      <c r="B446" s="126" t="s">
        <v>761</v>
      </c>
      <c r="C446" s="126">
        <v>3</v>
      </c>
      <c r="D446" s="128">
        <v>0.0017733891274029476</v>
      </c>
      <c r="E446" s="128">
        <v>1.844020464303816</v>
      </c>
      <c r="F446" s="126" t="s">
        <v>701</v>
      </c>
      <c r="G446" s="126" t="b">
        <v>0</v>
      </c>
      <c r="H446" s="126" t="b">
        <v>0</v>
      </c>
      <c r="I446" s="126" t="b">
        <v>0</v>
      </c>
      <c r="J446" s="126" t="b">
        <v>0</v>
      </c>
      <c r="K446" s="126" t="b">
        <v>0</v>
      </c>
      <c r="L446" s="126" t="b">
        <v>0</v>
      </c>
    </row>
    <row r="447" spans="1:12" ht="15">
      <c r="A447" s="126" t="s">
        <v>761</v>
      </c>
      <c r="B447" s="126" t="s">
        <v>723</v>
      </c>
      <c r="C447" s="126">
        <v>3</v>
      </c>
      <c r="D447" s="128">
        <v>0.0017733891274029476</v>
      </c>
      <c r="E447" s="128">
        <v>1.5277505020830981</v>
      </c>
      <c r="F447" s="126" t="s">
        <v>701</v>
      </c>
      <c r="G447" s="126" t="b">
        <v>0</v>
      </c>
      <c r="H447" s="126" t="b">
        <v>0</v>
      </c>
      <c r="I447" s="126" t="b">
        <v>0</v>
      </c>
      <c r="J447" s="126" t="b">
        <v>0</v>
      </c>
      <c r="K447" s="126" t="b">
        <v>0</v>
      </c>
      <c r="L447" s="126" t="b">
        <v>0</v>
      </c>
    </row>
    <row r="448" spans="1:12" ht="15">
      <c r="A448" s="126" t="s">
        <v>723</v>
      </c>
      <c r="B448" s="126" t="s">
        <v>718</v>
      </c>
      <c r="C448" s="126">
        <v>3</v>
      </c>
      <c r="D448" s="128">
        <v>0.0019977092026331146</v>
      </c>
      <c r="E448" s="128">
        <v>0.377213347499805</v>
      </c>
      <c r="F448" s="126" t="s">
        <v>701</v>
      </c>
      <c r="G448" s="126" t="b">
        <v>0</v>
      </c>
      <c r="H448" s="126" t="b">
        <v>0</v>
      </c>
      <c r="I448" s="126" t="b">
        <v>0</v>
      </c>
      <c r="J448" s="126" t="b">
        <v>0</v>
      </c>
      <c r="K448" s="126" t="b">
        <v>0</v>
      </c>
      <c r="L448" s="126" t="b">
        <v>0</v>
      </c>
    </row>
    <row r="449" spans="1:12" ht="15">
      <c r="A449" s="126" t="s">
        <v>729</v>
      </c>
      <c r="B449" s="126" t="s">
        <v>730</v>
      </c>
      <c r="C449" s="126">
        <v>3</v>
      </c>
      <c r="D449" s="128">
        <v>0.0017733891274029476</v>
      </c>
      <c r="E449" s="128">
        <v>1.466030682586168</v>
      </c>
      <c r="F449" s="126" t="s">
        <v>701</v>
      </c>
      <c r="G449" s="126" t="b">
        <v>0</v>
      </c>
      <c r="H449" s="126" t="b">
        <v>0</v>
      </c>
      <c r="I449" s="126" t="b">
        <v>0</v>
      </c>
      <c r="J449" s="126" t="b">
        <v>0</v>
      </c>
      <c r="K449" s="126" t="b">
        <v>0</v>
      </c>
      <c r="L449" s="126" t="b">
        <v>0</v>
      </c>
    </row>
    <row r="450" spans="1:12" ht="15">
      <c r="A450" s="126" t="s">
        <v>766</v>
      </c>
      <c r="B450" s="126" t="s">
        <v>735</v>
      </c>
      <c r="C450" s="126">
        <v>3</v>
      </c>
      <c r="D450" s="128">
        <v>0.0019977092026331146</v>
      </c>
      <c r="E450" s="128">
        <v>1.8140572409263729</v>
      </c>
      <c r="F450" s="126" t="s">
        <v>701</v>
      </c>
      <c r="G450" s="126" t="b">
        <v>0</v>
      </c>
      <c r="H450" s="126" t="b">
        <v>0</v>
      </c>
      <c r="I450" s="126" t="b">
        <v>0</v>
      </c>
      <c r="J450" s="126" t="b">
        <v>0</v>
      </c>
      <c r="K450" s="126" t="b">
        <v>0</v>
      </c>
      <c r="L450" s="126" t="b">
        <v>0</v>
      </c>
    </row>
    <row r="451" spans="1:12" ht="15">
      <c r="A451" s="126" t="s">
        <v>718</v>
      </c>
      <c r="B451" s="126" t="s">
        <v>765</v>
      </c>
      <c r="C451" s="126">
        <v>3</v>
      </c>
      <c r="D451" s="128">
        <v>0.0017733891274029476</v>
      </c>
      <c r="E451" s="128">
        <v>0.9858271261994117</v>
      </c>
      <c r="F451" s="126" t="s">
        <v>701</v>
      </c>
      <c r="G451" s="126" t="b">
        <v>0</v>
      </c>
      <c r="H451" s="126" t="b">
        <v>0</v>
      </c>
      <c r="I451" s="126" t="b">
        <v>0</v>
      </c>
      <c r="J451" s="126" t="b">
        <v>0</v>
      </c>
      <c r="K451" s="126" t="b">
        <v>0</v>
      </c>
      <c r="L451" s="126" t="b">
        <v>0</v>
      </c>
    </row>
    <row r="452" spans="1:12" ht="15">
      <c r="A452" s="126" t="s">
        <v>748</v>
      </c>
      <c r="B452" s="126" t="s">
        <v>763</v>
      </c>
      <c r="C452" s="126">
        <v>3</v>
      </c>
      <c r="D452" s="128">
        <v>0.0019977092026331146</v>
      </c>
      <c r="E452" s="128">
        <v>1.9901484999820542</v>
      </c>
      <c r="F452" s="126" t="s">
        <v>701</v>
      </c>
      <c r="G452" s="126" t="b">
        <v>0</v>
      </c>
      <c r="H452" s="126" t="b">
        <v>0</v>
      </c>
      <c r="I452" s="126" t="b">
        <v>0</v>
      </c>
      <c r="J452" s="126" t="b">
        <v>0</v>
      </c>
      <c r="K452" s="126" t="b">
        <v>0</v>
      </c>
      <c r="L452" s="126" t="b">
        <v>0</v>
      </c>
    </row>
    <row r="453" spans="1:12" ht="15">
      <c r="A453" s="126" t="s">
        <v>715</v>
      </c>
      <c r="B453" s="126" t="s">
        <v>870</v>
      </c>
      <c r="C453" s="126">
        <v>3</v>
      </c>
      <c r="D453" s="128">
        <v>0.0023811869041158932</v>
      </c>
      <c r="E453" s="128">
        <v>0.8516202528717765</v>
      </c>
      <c r="F453" s="126" t="s">
        <v>701</v>
      </c>
      <c r="G453" s="126" t="b">
        <v>0</v>
      </c>
      <c r="H453" s="126" t="b">
        <v>0</v>
      </c>
      <c r="I453" s="126" t="b">
        <v>0</v>
      </c>
      <c r="J453" s="126" t="b">
        <v>0</v>
      </c>
      <c r="K453" s="126" t="b">
        <v>0</v>
      </c>
      <c r="L453" s="126" t="b">
        <v>0</v>
      </c>
    </row>
    <row r="454" spans="1:12" ht="15">
      <c r="A454" s="126" t="s">
        <v>870</v>
      </c>
      <c r="B454" s="126" t="s">
        <v>778</v>
      </c>
      <c r="C454" s="126">
        <v>3</v>
      </c>
      <c r="D454" s="128">
        <v>0.0023811869041158932</v>
      </c>
      <c r="E454" s="128">
        <v>2.579974034893005</v>
      </c>
      <c r="F454" s="126" t="s">
        <v>701</v>
      </c>
      <c r="G454" s="126" t="b">
        <v>0</v>
      </c>
      <c r="H454" s="126" t="b">
        <v>0</v>
      </c>
      <c r="I454" s="126" t="b">
        <v>0</v>
      </c>
      <c r="J454" s="126" t="b">
        <v>0</v>
      </c>
      <c r="K454" s="126" t="b">
        <v>0</v>
      </c>
      <c r="L454" s="126" t="b">
        <v>0</v>
      </c>
    </row>
    <row r="455" spans="1:12" ht="15">
      <c r="A455" s="126" t="s">
        <v>722</v>
      </c>
      <c r="B455" s="126" t="s">
        <v>716</v>
      </c>
      <c r="C455" s="126">
        <v>3</v>
      </c>
      <c r="D455" s="128">
        <v>0.0017733891274029476</v>
      </c>
      <c r="E455" s="128">
        <v>0.0925214086916128</v>
      </c>
      <c r="F455" s="126" t="s">
        <v>701</v>
      </c>
      <c r="G455" s="126" t="b">
        <v>0</v>
      </c>
      <c r="H455" s="126" t="b">
        <v>0</v>
      </c>
      <c r="I455" s="126" t="b">
        <v>0</v>
      </c>
      <c r="J455" s="126" t="b">
        <v>0</v>
      </c>
      <c r="K455" s="126" t="b">
        <v>0</v>
      </c>
      <c r="L455" s="126" t="b">
        <v>0</v>
      </c>
    </row>
    <row r="456" spans="1:12" ht="15">
      <c r="A456" s="126" t="s">
        <v>787</v>
      </c>
      <c r="B456" s="126" t="s">
        <v>829</v>
      </c>
      <c r="C456" s="126">
        <v>3</v>
      </c>
      <c r="D456" s="128">
        <v>0.0023811869041158932</v>
      </c>
      <c r="E456" s="128">
        <v>2.5342165443323297</v>
      </c>
      <c r="F456" s="126" t="s">
        <v>701</v>
      </c>
      <c r="G456" s="126" t="b">
        <v>0</v>
      </c>
      <c r="H456" s="126" t="b">
        <v>0</v>
      </c>
      <c r="I456" s="126" t="b">
        <v>0</v>
      </c>
      <c r="J456" s="126" t="b">
        <v>0</v>
      </c>
      <c r="K456" s="126" t="b">
        <v>0</v>
      </c>
      <c r="L456" s="126" t="b">
        <v>0</v>
      </c>
    </row>
    <row r="457" spans="1:12" ht="15">
      <c r="A457" s="126" t="s">
        <v>722</v>
      </c>
      <c r="B457" s="126" t="s">
        <v>717</v>
      </c>
      <c r="C457" s="126">
        <v>3</v>
      </c>
      <c r="D457" s="128">
        <v>0.0017733891274029476</v>
      </c>
      <c r="E457" s="128">
        <v>0.274145156347255</v>
      </c>
      <c r="F457" s="126" t="s">
        <v>701</v>
      </c>
      <c r="G457" s="126" t="b">
        <v>0</v>
      </c>
      <c r="H457" s="126" t="b">
        <v>0</v>
      </c>
      <c r="I457" s="126" t="b">
        <v>0</v>
      </c>
      <c r="J457" s="126" t="b">
        <v>0</v>
      </c>
      <c r="K457" s="126" t="b">
        <v>0</v>
      </c>
      <c r="L457" s="126" t="b">
        <v>0</v>
      </c>
    </row>
    <row r="458" spans="1:12" ht="15">
      <c r="A458" s="126" t="s">
        <v>843</v>
      </c>
      <c r="B458" s="126" t="s">
        <v>844</v>
      </c>
      <c r="C458" s="126">
        <v>3</v>
      </c>
      <c r="D458" s="128">
        <v>0.0019977092026331146</v>
      </c>
      <c r="E458" s="128">
        <v>2.881004030556986</v>
      </c>
      <c r="F458" s="126" t="s">
        <v>701</v>
      </c>
      <c r="G458" s="126" t="b">
        <v>0</v>
      </c>
      <c r="H458" s="126" t="b">
        <v>0</v>
      </c>
      <c r="I458" s="126" t="b">
        <v>0</v>
      </c>
      <c r="J458" s="126" t="b">
        <v>0</v>
      </c>
      <c r="K458" s="126" t="b">
        <v>0</v>
      </c>
      <c r="L458" s="126" t="b">
        <v>0</v>
      </c>
    </row>
    <row r="459" spans="1:12" ht="15">
      <c r="A459" s="126" t="s">
        <v>845</v>
      </c>
      <c r="B459" s="126" t="s">
        <v>846</v>
      </c>
      <c r="C459" s="126">
        <v>3</v>
      </c>
      <c r="D459" s="128">
        <v>0.0017733891274029476</v>
      </c>
      <c r="E459" s="128">
        <v>2.881004030556986</v>
      </c>
      <c r="F459" s="126" t="s">
        <v>701</v>
      </c>
      <c r="G459" s="126" t="b">
        <v>0</v>
      </c>
      <c r="H459" s="126" t="b">
        <v>0</v>
      </c>
      <c r="I459" s="126" t="b">
        <v>0</v>
      </c>
      <c r="J459" s="126" t="b">
        <v>0</v>
      </c>
      <c r="K459" s="126" t="b">
        <v>0</v>
      </c>
      <c r="L459" s="126" t="b">
        <v>0</v>
      </c>
    </row>
    <row r="460" spans="1:12" ht="15">
      <c r="A460" s="126" t="s">
        <v>716</v>
      </c>
      <c r="B460" s="126" t="s">
        <v>747</v>
      </c>
      <c r="C460" s="126">
        <v>3</v>
      </c>
      <c r="D460" s="128">
        <v>0.0019977092026331146</v>
      </c>
      <c r="E460" s="128">
        <v>0.6534029520515385</v>
      </c>
      <c r="F460" s="126" t="s">
        <v>701</v>
      </c>
      <c r="G460" s="126" t="b">
        <v>0</v>
      </c>
      <c r="H460" s="126" t="b">
        <v>0</v>
      </c>
      <c r="I460" s="126" t="b">
        <v>0</v>
      </c>
      <c r="J460" s="126" t="b">
        <v>0</v>
      </c>
      <c r="K460" s="126" t="b">
        <v>0</v>
      </c>
      <c r="L460" s="126" t="b">
        <v>0</v>
      </c>
    </row>
    <row r="461" spans="1:12" ht="15">
      <c r="A461" s="126" t="s">
        <v>733</v>
      </c>
      <c r="B461" s="126" t="s">
        <v>747</v>
      </c>
      <c r="C461" s="126">
        <v>3</v>
      </c>
      <c r="D461" s="128">
        <v>0.0019977092026331146</v>
      </c>
      <c r="E461" s="128">
        <v>1.689118504318073</v>
      </c>
      <c r="F461" s="126" t="s">
        <v>701</v>
      </c>
      <c r="G461" s="126" t="b">
        <v>0</v>
      </c>
      <c r="H461" s="126" t="b">
        <v>0</v>
      </c>
      <c r="I461" s="126" t="b">
        <v>0</v>
      </c>
      <c r="J461" s="126" t="b">
        <v>0</v>
      </c>
      <c r="K461" s="126" t="b">
        <v>0</v>
      </c>
      <c r="L461" s="126" t="b">
        <v>0</v>
      </c>
    </row>
    <row r="462" spans="1:12" ht="15">
      <c r="A462" s="126" t="s">
        <v>858</v>
      </c>
      <c r="B462" s="126" t="s">
        <v>859</v>
      </c>
      <c r="C462" s="126">
        <v>3</v>
      </c>
      <c r="D462" s="128">
        <v>0.0023811869041158932</v>
      </c>
      <c r="E462" s="128">
        <v>2.881004030556986</v>
      </c>
      <c r="F462" s="126" t="s">
        <v>701</v>
      </c>
      <c r="G462" s="126" t="b">
        <v>0</v>
      </c>
      <c r="H462" s="126" t="b">
        <v>1</v>
      </c>
      <c r="I462" s="126" t="b">
        <v>0</v>
      </c>
      <c r="J462" s="126" t="b">
        <v>0</v>
      </c>
      <c r="K462" s="126" t="b">
        <v>0</v>
      </c>
      <c r="L462" s="126" t="b">
        <v>0</v>
      </c>
    </row>
    <row r="463" spans="1:12" ht="15">
      <c r="A463" s="126" t="s">
        <v>733</v>
      </c>
      <c r="B463" s="126" t="s">
        <v>715</v>
      </c>
      <c r="C463" s="126">
        <v>3</v>
      </c>
      <c r="D463" s="128">
        <v>0.0017733891274029476</v>
      </c>
      <c r="E463" s="128">
        <v>0.19496391029963026</v>
      </c>
      <c r="F463" s="126" t="s">
        <v>701</v>
      </c>
      <c r="G463" s="126" t="b">
        <v>0</v>
      </c>
      <c r="H463" s="126" t="b">
        <v>0</v>
      </c>
      <c r="I463" s="126" t="b">
        <v>0</v>
      </c>
      <c r="J463" s="126" t="b">
        <v>0</v>
      </c>
      <c r="K463" s="126" t="b">
        <v>0</v>
      </c>
      <c r="L463" s="126" t="b">
        <v>0</v>
      </c>
    </row>
    <row r="464" spans="1:12" ht="15">
      <c r="A464" s="126" t="s">
        <v>820</v>
      </c>
      <c r="B464" s="126" t="s">
        <v>715</v>
      </c>
      <c r="C464" s="126">
        <v>3</v>
      </c>
      <c r="D464" s="128">
        <v>0.0017733891274029476</v>
      </c>
      <c r="E464" s="128">
        <v>0.7390319546499059</v>
      </c>
      <c r="F464" s="126" t="s">
        <v>701</v>
      </c>
      <c r="G464" s="126" t="b">
        <v>0</v>
      </c>
      <c r="H464" s="126" t="b">
        <v>0</v>
      </c>
      <c r="I464" s="126" t="b">
        <v>0</v>
      </c>
      <c r="J464" s="126" t="b">
        <v>0</v>
      </c>
      <c r="K464" s="126" t="b">
        <v>0</v>
      </c>
      <c r="L464" s="126" t="b">
        <v>0</v>
      </c>
    </row>
    <row r="465" spans="1:12" ht="15">
      <c r="A465" s="126" t="s">
        <v>851</v>
      </c>
      <c r="B465" s="126" t="s">
        <v>824</v>
      </c>
      <c r="C465" s="126">
        <v>3</v>
      </c>
      <c r="D465" s="128">
        <v>0.0023811869041158932</v>
      </c>
      <c r="E465" s="128">
        <v>2.7560652939486863</v>
      </c>
      <c r="F465" s="126" t="s">
        <v>701</v>
      </c>
      <c r="G465" s="126" t="b">
        <v>0</v>
      </c>
      <c r="H465" s="126" t="b">
        <v>0</v>
      </c>
      <c r="I465" s="126" t="b">
        <v>0</v>
      </c>
      <c r="J465" s="126" t="b">
        <v>0</v>
      </c>
      <c r="K465" s="126" t="b">
        <v>0</v>
      </c>
      <c r="L465" s="126" t="b">
        <v>0</v>
      </c>
    </row>
    <row r="466" spans="1:12" ht="15">
      <c r="A466" s="126" t="s">
        <v>841</v>
      </c>
      <c r="B466" s="126" t="s">
        <v>842</v>
      </c>
      <c r="C466" s="126">
        <v>3</v>
      </c>
      <c r="D466" s="128">
        <v>0.0019977092026331146</v>
      </c>
      <c r="E466" s="128">
        <v>2.881004030556986</v>
      </c>
      <c r="F466" s="126" t="s">
        <v>701</v>
      </c>
      <c r="G466" s="126" t="b">
        <v>0</v>
      </c>
      <c r="H466" s="126" t="b">
        <v>0</v>
      </c>
      <c r="I466" s="126" t="b">
        <v>0</v>
      </c>
      <c r="J466" s="126" t="b">
        <v>0</v>
      </c>
      <c r="K466" s="126" t="b">
        <v>0</v>
      </c>
      <c r="L466" s="126" t="b">
        <v>0</v>
      </c>
    </row>
    <row r="467" spans="1:12" ht="15">
      <c r="A467" s="126" t="s">
        <v>793</v>
      </c>
      <c r="B467" s="126" t="s">
        <v>834</v>
      </c>
      <c r="C467" s="126">
        <v>3</v>
      </c>
      <c r="D467" s="128">
        <v>0.0023811869041158932</v>
      </c>
      <c r="E467" s="128">
        <v>2.7560652939486863</v>
      </c>
      <c r="F467" s="126" t="s">
        <v>701</v>
      </c>
      <c r="G467" s="126" t="b">
        <v>1</v>
      </c>
      <c r="H467" s="126" t="b">
        <v>0</v>
      </c>
      <c r="I467" s="126" t="b">
        <v>0</v>
      </c>
      <c r="J467" s="126" t="b">
        <v>0</v>
      </c>
      <c r="K467" s="126" t="b">
        <v>0</v>
      </c>
      <c r="L467" s="126" t="b">
        <v>0</v>
      </c>
    </row>
    <row r="468" spans="1:12" ht="15">
      <c r="A468" s="126" t="s">
        <v>834</v>
      </c>
      <c r="B468" s="126" t="s">
        <v>835</v>
      </c>
      <c r="C468" s="126">
        <v>3</v>
      </c>
      <c r="D468" s="128">
        <v>0.0023811869041158932</v>
      </c>
      <c r="E468" s="128">
        <v>2.881004030556986</v>
      </c>
      <c r="F468" s="126" t="s">
        <v>701</v>
      </c>
      <c r="G468" s="126" t="b">
        <v>0</v>
      </c>
      <c r="H468" s="126" t="b">
        <v>0</v>
      </c>
      <c r="I468" s="126" t="b">
        <v>0</v>
      </c>
      <c r="J468" s="126" t="b">
        <v>0</v>
      </c>
      <c r="K468" s="126" t="b">
        <v>0</v>
      </c>
      <c r="L468" s="126" t="b">
        <v>0</v>
      </c>
    </row>
    <row r="469" spans="1:12" ht="15">
      <c r="A469" s="126" t="s">
        <v>788</v>
      </c>
      <c r="B469" s="126" t="s">
        <v>759</v>
      </c>
      <c r="C469" s="126">
        <v>2</v>
      </c>
      <c r="D469" s="128">
        <v>0.0015874579360772622</v>
      </c>
      <c r="E469" s="128">
        <v>2.1820340262209674</v>
      </c>
      <c r="F469" s="126" t="s">
        <v>701</v>
      </c>
      <c r="G469" s="126" t="b">
        <v>0</v>
      </c>
      <c r="H469" s="126" t="b">
        <v>0</v>
      </c>
      <c r="I469" s="126" t="b">
        <v>0</v>
      </c>
      <c r="J469" s="126" t="b">
        <v>0</v>
      </c>
      <c r="K469" s="126" t="b">
        <v>0</v>
      </c>
      <c r="L469" s="126" t="b">
        <v>0</v>
      </c>
    </row>
    <row r="470" spans="1:12" ht="15">
      <c r="A470" s="126" t="s">
        <v>856</v>
      </c>
      <c r="B470" s="126" t="s">
        <v>750</v>
      </c>
      <c r="C470" s="126">
        <v>2</v>
      </c>
      <c r="D470" s="128">
        <v>0.0013318061350887432</v>
      </c>
      <c r="E470" s="128">
        <v>2.2277915167816422</v>
      </c>
      <c r="F470" s="126" t="s">
        <v>701</v>
      </c>
      <c r="G470" s="126" t="b">
        <v>0</v>
      </c>
      <c r="H470" s="126" t="b">
        <v>0</v>
      </c>
      <c r="I470" s="126" t="b">
        <v>0</v>
      </c>
      <c r="J470" s="126" t="b">
        <v>0</v>
      </c>
      <c r="K470" s="126" t="b">
        <v>1</v>
      </c>
      <c r="L470" s="126" t="b">
        <v>0</v>
      </c>
    </row>
    <row r="471" spans="1:12" ht="15">
      <c r="A471" s="126" t="s">
        <v>910</v>
      </c>
      <c r="B471" s="126" t="s">
        <v>853</v>
      </c>
      <c r="C471" s="126">
        <v>2</v>
      </c>
      <c r="D471" s="128">
        <v>0.0013318061350887432</v>
      </c>
      <c r="E471" s="128">
        <v>2.881004030556986</v>
      </c>
      <c r="F471" s="126" t="s">
        <v>701</v>
      </c>
      <c r="G471" s="126" t="b">
        <v>0</v>
      </c>
      <c r="H471" s="126" t="b">
        <v>0</v>
      </c>
      <c r="I471" s="126" t="b">
        <v>0</v>
      </c>
      <c r="J471" s="126" t="b">
        <v>0</v>
      </c>
      <c r="K471" s="126" t="b">
        <v>0</v>
      </c>
      <c r="L471" s="126" t="b">
        <v>0</v>
      </c>
    </row>
    <row r="472" spans="1:12" ht="15">
      <c r="A472" s="126" t="s">
        <v>723</v>
      </c>
      <c r="B472" s="126" t="s">
        <v>864</v>
      </c>
      <c r="C472" s="126">
        <v>2</v>
      </c>
      <c r="D472" s="128">
        <v>0.0013318061350887432</v>
      </c>
      <c r="E472" s="128">
        <v>1.7196360283220111</v>
      </c>
      <c r="F472" s="126" t="s">
        <v>701</v>
      </c>
      <c r="G472" s="126" t="b">
        <v>0</v>
      </c>
      <c r="H472" s="126" t="b">
        <v>0</v>
      </c>
      <c r="I472" s="126" t="b">
        <v>0</v>
      </c>
      <c r="J472" s="126" t="b">
        <v>0</v>
      </c>
      <c r="K472" s="126" t="b">
        <v>0</v>
      </c>
      <c r="L472" s="126" t="b">
        <v>0</v>
      </c>
    </row>
    <row r="473" spans="1:12" ht="15">
      <c r="A473" s="126" t="s">
        <v>716</v>
      </c>
      <c r="B473" s="126" t="s">
        <v>868</v>
      </c>
      <c r="C473" s="126">
        <v>2</v>
      </c>
      <c r="D473" s="128">
        <v>0.0013318061350887432</v>
      </c>
      <c r="E473" s="128">
        <v>1.0001904382761948</v>
      </c>
      <c r="F473" s="126" t="s">
        <v>701</v>
      </c>
      <c r="G473" s="126" t="b">
        <v>0</v>
      </c>
      <c r="H473" s="126" t="b">
        <v>0</v>
      </c>
      <c r="I473" s="126" t="b">
        <v>0</v>
      </c>
      <c r="J473" s="126" t="b">
        <v>0</v>
      </c>
      <c r="K473" s="126" t="b">
        <v>0</v>
      </c>
      <c r="L473" s="126" t="b">
        <v>0</v>
      </c>
    </row>
    <row r="474" spans="1:12" ht="15">
      <c r="A474" s="126" t="s">
        <v>767</v>
      </c>
      <c r="B474" s="126" t="s">
        <v>718</v>
      </c>
      <c r="C474" s="126">
        <v>2</v>
      </c>
      <c r="D474" s="128">
        <v>0.0013318061350887432</v>
      </c>
      <c r="E474" s="128">
        <v>0.8853688359594362</v>
      </c>
      <c r="F474" s="126" t="s">
        <v>701</v>
      </c>
      <c r="G474" s="126" t="b">
        <v>0</v>
      </c>
      <c r="H474" s="126" t="b">
        <v>0</v>
      </c>
      <c r="I474" s="126" t="b">
        <v>0</v>
      </c>
      <c r="J474" s="126" t="b">
        <v>0</v>
      </c>
      <c r="K474" s="126" t="b">
        <v>0</v>
      </c>
      <c r="L474" s="126" t="b">
        <v>0</v>
      </c>
    </row>
    <row r="475" spans="1:12" ht="15">
      <c r="A475" s="126" t="s">
        <v>718</v>
      </c>
      <c r="B475" s="126" t="s">
        <v>721</v>
      </c>
      <c r="C475" s="126">
        <v>2</v>
      </c>
      <c r="D475" s="128">
        <v>0.0013318061350887432</v>
      </c>
      <c r="E475" s="128">
        <v>0.11076586280771154</v>
      </c>
      <c r="F475" s="126" t="s">
        <v>701</v>
      </c>
      <c r="G475" s="126" t="b">
        <v>0</v>
      </c>
      <c r="H475" s="126" t="b">
        <v>0</v>
      </c>
      <c r="I475" s="126" t="b">
        <v>0</v>
      </c>
      <c r="J475" s="126" t="b">
        <v>0</v>
      </c>
      <c r="K475" s="126" t="b">
        <v>0</v>
      </c>
      <c r="L475" s="126" t="b">
        <v>0</v>
      </c>
    </row>
    <row r="476" spans="1:12" ht="15">
      <c r="A476" s="126" t="s">
        <v>715</v>
      </c>
      <c r="B476" s="126" t="s">
        <v>729</v>
      </c>
      <c r="C476" s="126">
        <v>2</v>
      </c>
      <c r="D476" s="128">
        <v>0.0013318061350887432</v>
      </c>
      <c r="E476" s="128">
        <v>-0.07779867284251621</v>
      </c>
      <c r="F476" s="126" t="s">
        <v>701</v>
      </c>
      <c r="G476" s="126" t="b">
        <v>0</v>
      </c>
      <c r="H476" s="126" t="b">
        <v>0</v>
      </c>
      <c r="I476" s="126" t="b">
        <v>0</v>
      </c>
      <c r="J476" s="126" t="b">
        <v>0</v>
      </c>
      <c r="K476" s="126" t="b">
        <v>0</v>
      </c>
      <c r="L476" s="126" t="b">
        <v>0</v>
      </c>
    </row>
    <row r="477" spans="1:12" ht="15">
      <c r="A477" s="126" t="s">
        <v>715</v>
      </c>
      <c r="B477" s="126" t="s">
        <v>976</v>
      </c>
      <c r="C477" s="126">
        <v>2</v>
      </c>
      <c r="D477" s="128">
        <v>0.0015874579360772622</v>
      </c>
      <c r="E477" s="128">
        <v>0.8516202528717765</v>
      </c>
      <c r="F477" s="126" t="s">
        <v>701</v>
      </c>
      <c r="G477" s="126" t="b">
        <v>0</v>
      </c>
      <c r="H477" s="126" t="b">
        <v>0</v>
      </c>
      <c r="I477" s="126" t="b">
        <v>0</v>
      </c>
      <c r="J477" s="126" t="b">
        <v>0</v>
      </c>
      <c r="K477" s="126" t="b">
        <v>0</v>
      </c>
      <c r="L477" s="126" t="b">
        <v>0</v>
      </c>
    </row>
    <row r="478" spans="1:12" ht="15">
      <c r="A478" s="126" t="s">
        <v>792</v>
      </c>
      <c r="B478" s="126" t="s">
        <v>728</v>
      </c>
      <c r="C478" s="126">
        <v>2</v>
      </c>
      <c r="D478" s="128">
        <v>0.0013318061350887432</v>
      </c>
      <c r="E478" s="128">
        <v>1.6591552809406298</v>
      </c>
      <c r="F478" s="126" t="s">
        <v>701</v>
      </c>
      <c r="G478" s="126" t="b">
        <v>0</v>
      </c>
      <c r="H478" s="126" t="b">
        <v>0</v>
      </c>
      <c r="I478" s="126" t="b">
        <v>0</v>
      </c>
      <c r="J478" s="126" t="b">
        <v>0</v>
      </c>
      <c r="K478" s="126" t="b">
        <v>0</v>
      </c>
      <c r="L478" s="126" t="b">
        <v>0</v>
      </c>
    </row>
    <row r="479" spans="1:12" ht="15">
      <c r="A479" s="126" t="s">
        <v>715</v>
      </c>
      <c r="B479" s="126" t="s">
        <v>725</v>
      </c>
      <c r="C479" s="126">
        <v>2</v>
      </c>
      <c r="D479" s="128">
        <v>0.0013318061350887432</v>
      </c>
      <c r="E479" s="128">
        <v>-0.2090775874818352</v>
      </c>
      <c r="F479" s="126" t="s">
        <v>701</v>
      </c>
      <c r="G479" s="126" t="b">
        <v>0</v>
      </c>
      <c r="H479" s="126" t="b">
        <v>0</v>
      </c>
      <c r="I479" s="126" t="b">
        <v>0</v>
      </c>
      <c r="J479" s="126" t="b">
        <v>0</v>
      </c>
      <c r="K479" s="126" t="b">
        <v>0</v>
      </c>
      <c r="L479" s="126" t="b">
        <v>0</v>
      </c>
    </row>
    <row r="480" spans="1:12" ht="15">
      <c r="A480" s="126" t="s">
        <v>757</v>
      </c>
      <c r="B480" s="126" t="s">
        <v>715</v>
      </c>
      <c r="C480" s="126">
        <v>2</v>
      </c>
      <c r="D480" s="128">
        <v>0.0015874579360772622</v>
      </c>
      <c r="E480" s="128">
        <v>0.2619106999302434</v>
      </c>
      <c r="F480" s="126" t="s">
        <v>701</v>
      </c>
      <c r="G480" s="126" t="b">
        <v>0</v>
      </c>
      <c r="H480" s="126" t="b">
        <v>0</v>
      </c>
      <c r="I480" s="126" t="b">
        <v>0</v>
      </c>
      <c r="J480" s="126" t="b">
        <v>0</v>
      </c>
      <c r="K480" s="126" t="b">
        <v>0</v>
      </c>
      <c r="L480" s="126" t="b">
        <v>0</v>
      </c>
    </row>
    <row r="481" spans="1:12" ht="15">
      <c r="A481" s="126" t="s">
        <v>715</v>
      </c>
      <c r="B481" s="126" t="s">
        <v>730</v>
      </c>
      <c r="C481" s="126">
        <v>2</v>
      </c>
      <c r="D481" s="128">
        <v>0.0013318061350887432</v>
      </c>
      <c r="E481" s="128">
        <v>0.0387068962289209</v>
      </c>
      <c r="F481" s="126" t="s">
        <v>701</v>
      </c>
      <c r="G481" s="126" t="b">
        <v>0</v>
      </c>
      <c r="H481" s="126" t="b">
        <v>0</v>
      </c>
      <c r="I481" s="126" t="b">
        <v>0</v>
      </c>
      <c r="J481" s="126" t="b">
        <v>0</v>
      </c>
      <c r="K481" s="126" t="b">
        <v>0</v>
      </c>
      <c r="L481" s="126" t="b">
        <v>0</v>
      </c>
    </row>
    <row r="482" spans="1:12" ht="15">
      <c r="A482" s="126" t="s">
        <v>920</v>
      </c>
      <c r="B482" s="126" t="s">
        <v>921</v>
      </c>
      <c r="C482" s="126">
        <v>2</v>
      </c>
      <c r="D482" s="128">
        <v>0.0013318061350887432</v>
      </c>
      <c r="E482" s="128">
        <v>3.0570952896126675</v>
      </c>
      <c r="F482" s="126" t="s">
        <v>701</v>
      </c>
      <c r="G482" s="126" t="b">
        <v>0</v>
      </c>
      <c r="H482" s="126" t="b">
        <v>0</v>
      </c>
      <c r="I482" s="126" t="b">
        <v>0</v>
      </c>
      <c r="J482" s="126" t="b">
        <v>0</v>
      </c>
      <c r="K482" s="126" t="b">
        <v>0</v>
      </c>
      <c r="L482" s="126" t="b">
        <v>0</v>
      </c>
    </row>
    <row r="483" spans="1:12" ht="15">
      <c r="A483" s="126" t="s">
        <v>921</v>
      </c>
      <c r="B483" s="126" t="s">
        <v>922</v>
      </c>
      <c r="C483" s="126">
        <v>2</v>
      </c>
      <c r="D483" s="128">
        <v>0.0013318061350887432</v>
      </c>
      <c r="E483" s="128">
        <v>3.0570952896126675</v>
      </c>
      <c r="F483" s="126" t="s">
        <v>701</v>
      </c>
      <c r="G483" s="126" t="b">
        <v>0</v>
      </c>
      <c r="H483" s="126" t="b">
        <v>0</v>
      </c>
      <c r="I483" s="126" t="b">
        <v>0</v>
      </c>
      <c r="J483" s="126" t="b">
        <v>0</v>
      </c>
      <c r="K483" s="126" t="b">
        <v>0</v>
      </c>
      <c r="L483" s="126" t="b">
        <v>0</v>
      </c>
    </row>
    <row r="484" spans="1:12" ht="15">
      <c r="A484" s="126" t="s">
        <v>826</v>
      </c>
      <c r="B484" s="126" t="s">
        <v>923</v>
      </c>
      <c r="C484" s="126">
        <v>2</v>
      </c>
      <c r="D484" s="128">
        <v>0.0013318061350887432</v>
      </c>
      <c r="E484" s="128">
        <v>2.7560652939486863</v>
      </c>
      <c r="F484" s="126" t="s">
        <v>701</v>
      </c>
      <c r="G484" s="126" t="b">
        <v>0</v>
      </c>
      <c r="H484" s="126" t="b">
        <v>0</v>
      </c>
      <c r="I484" s="126" t="b">
        <v>0</v>
      </c>
      <c r="J484" s="126" t="b">
        <v>0</v>
      </c>
      <c r="K484" s="126" t="b">
        <v>1</v>
      </c>
      <c r="L484" s="126" t="b">
        <v>0</v>
      </c>
    </row>
    <row r="485" spans="1:12" ht="15">
      <c r="A485" s="126" t="s">
        <v>923</v>
      </c>
      <c r="B485" s="126" t="s">
        <v>924</v>
      </c>
      <c r="C485" s="126">
        <v>2</v>
      </c>
      <c r="D485" s="128">
        <v>0.0013318061350887432</v>
      </c>
      <c r="E485" s="128">
        <v>3.0570952896126675</v>
      </c>
      <c r="F485" s="126" t="s">
        <v>701</v>
      </c>
      <c r="G485" s="126" t="b">
        <v>0</v>
      </c>
      <c r="H485" s="126" t="b">
        <v>1</v>
      </c>
      <c r="I485" s="126" t="b">
        <v>0</v>
      </c>
      <c r="J485" s="126" t="b">
        <v>0</v>
      </c>
      <c r="K485" s="126" t="b">
        <v>0</v>
      </c>
      <c r="L485" s="126" t="b">
        <v>0</v>
      </c>
    </row>
    <row r="486" spans="1:12" ht="15">
      <c r="A486" s="126" t="s">
        <v>924</v>
      </c>
      <c r="B486" s="126" t="s">
        <v>750</v>
      </c>
      <c r="C486" s="126">
        <v>2</v>
      </c>
      <c r="D486" s="128">
        <v>0.0013318061350887432</v>
      </c>
      <c r="E486" s="128">
        <v>2.4038827758373236</v>
      </c>
      <c r="F486" s="126" t="s">
        <v>701</v>
      </c>
      <c r="G486" s="126" t="b">
        <v>0</v>
      </c>
      <c r="H486" s="126" t="b">
        <v>0</v>
      </c>
      <c r="I486" s="126" t="b">
        <v>0</v>
      </c>
      <c r="J486" s="126" t="b">
        <v>0</v>
      </c>
      <c r="K486" s="126" t="b">
        <v>1</v>
      </c>
      <c r="L486" s="126" t="b">
        <v>0</v>
      </c>
    </row>
    <row r="487" spans="1:12" ht="15">
      <c r="A487" s="126" t="s">
        <v>750</v>
      </c>
      <c r="B487" s="126" t="s">
        <v>856</v>
      </c>
      <c r="C487" s="126">
        <v>2</v>
      </c>
      <c r="D487" s="128">
        <v>0.0013318061350887432</v>
      </c>
      <c r="E487" s="128">
        <v>2.2277915167816422</v>
      </c>
      <c r="F487" s="126" t="s">
        <v>701</v>
      </c>
      <c r="G487" s="126" t="b">
        <v>0</v>
      </c>
      <c r="H487" s="126" t="b">
        <v>1</v>
      </c>
      <c r="I487" s="126" t="b">
        <v>0</v>
      </c>
      <c r="J487" s="126" t="b">
        <v>0</v>
      </c>
      <c r="K487" s="126" t="b">
        <v>0</v>
      </c>
      <c r="L487" s="126" t="b">
        <v>0</v>
      </c>
    </row>
    <row r="488" spans="1:12" ht="15">
      <c r="A488" s="126" t="s">
        <v>837</v>
      </c>
      <c r="B488" s="126" t="s">
        <v>925</v>
      </c>
      <c r="C488" s="126">
        <v>2</v>
      </c>
      <c r="D488" s="128">
        <v>0.0013318061350887432</v>
      </c>
      <c r="E488" s="128">
        <v>2.881004030556986</v>
      </c>
      <c r="F488" s="126" t="s">
        <v>701</v>
      </c>
      <c r="G488" s="126" t="b">
        <v>1</v>
      </c>
      <c r="H488" s="126" t="b">
        <v>0</v>
      </c>
      <c r="I488" s="126" t="b">
        <v>0</v>
      </c>
      <c r="J488" s="126" t="b">
        <v>0</v>
      </c>
      <c r="K488" s="126" t="b">
        <v>0</v>
      </c>
      <c r="L488" s="126" t="b">
        <v>0</v>
      </c>
    </row>
    <row r="489" spans="1:12" ht="15">
      <c r="A489" s="126" t="s">
        <v>925</v>
      </c>
      <c r="B489" s="126" t="s">
        <v>926</v>
      </c>
      <c r="C489" s="126">
        <v>2</v>
      </c>
      <c r="D489" s="128">
        <v>0.0013318061350887432</v>
      </c>
      <c r="E489" s="128">
        <v>3.0570952896126675</v>
      </c>
      <c r="F489" s="126" t="s">
        <v>701</v>
      </c>
      <c r="G489" s="126" t="b">
        <v>0</v>
      </c>
      <c r="H489" s="126" t="b">
        <v>0</v>
      </c>
      <c r="I489" s="126" t="b">
        <v>0</v>
      </c>
      <c r="J489" s="126" t="b">
        <v>1</v>
      </c>
      <c r="K489" s="126" t="b">
        <v>0</v>
      </c>
      <c r="L489" s="126" t="b">
        <v>0</v>
      </c>
    </row>
    <row r="490" spans="1:12" ht="15">
      <c r="A490" s="126" t="s">
        <v>929</v>
      </c>
      <c r="B490" s="126" t="s">
        <v>930</v>
      </c>
      <c r="C490" s="126">
        <v>2</v>
      </c>
      <c r="D490" s="128">
        <v>0.0013318061350887432</v>
      </c>
      <c r="E490" s="128">
        <v>3.0570952896126675</v>
      </c>
      <c r="F490" s="126" t="s">
        <v>701</v>
      </c>
      <c r="G490" s="126" t="b">
        <v>0</v>
      </c>
      <c r="H490" s="126" t="b">
        <v>0</v>
      </c>
      <c r="I490" s="126" t="b">
        <v>0</v>
      </c>
      <c r="J490" s="126" t="b">
        <v>0</v>
      </c>
      <c r="K490" s="126" t="b">
        <v>0</v>
      </c>
      <c r="L490" s="126" t="b">
        <v>0</v>
      </c>
    </row>
    <row r="491" spans="1:12" ht="15">
      <c r="A491" s="126" t="s">
        <v>930</v>
      </c>
      <c r="B491" s="126" t="s">
        <v>725</v>
      </c>
      <c r="C491" s="126">
        <v>2</v>
      </c>
      <c r="D491" s="128">
        <v>0.0013318061350887432</v>
      </c>
      <c r="E491" s="128">
        <v>1.9963974492590557</v>
      </c>
      <c r="F491" s="126" t="s">
        <v>701</v>
      </c>
      <c r="G491" s="126" t="b">
        <v>0</v>
      </c>
      <c r="H491" s="126" t="b">
        <v>0</v>
      </c>
      <c r="I491" s="126" t="b">
        <v>0</v>
      </c>
      <c r="J491" s="126" t="b">
        <v>0</v>
      </c>
      <c r="K491" s="126" t="b">
        <v>0</v>
      </c>
      <c r="L491" s="126" t="b">
        <v>0</v>
      </c>
    </row>
    <row r="492" spans="1:12" ht="15">
      <c r="A492" s="126" t="s">
        <v>971</v>
      </c>
      <c r="B492" s="126" t="s">
        <v>972</v>
      </c>
      <c r="C492" s="126">
        <v>2</v>
      </c>
      <c r="D492" s="128">
        <v>0.0015874579360772622</v>
      </c>
      <c r="E492" s="128">
        <v>3.0570952896126675</v>
      </c>
      <c r="F492" s="126" t="s">
        <v>701</v>
      </c>
      <c r="G492" s="126" t="b">
        <v>0</v>
      </c>
      <c r="H492" s="126" t="b">
        <v>0</v>
      </c>
      <c r="I492" s="126" t="b">
        <v>0</v>
      </c>
      <c r="J492" s="126" t="b">
        <v>0</v>
      </c>
      <c r="K492" s="126" t="b">
        <v>0</v>
      </c>
      <c r="L492" s="126" t="b">
        <v>0</v>
      </c>
    </row>
    <row r="493" spans="1:12" ht="15">
      <c r="A493" s="126" t="s">
        <v>716</v>
      </c>
      <c r="B493" s="126" t="s">
        <v>878</v>
      </c>
      <c r="C493" s="126">
        <v>2</v>
      </c>
      <c r="D493" s="128">
        <v>0.0015874579360772622</v>
      </c>
      <c r="E493" s="128">
        <v>1.0001904382761948</v>
      </c>
      <c r="F493" s="126" t="s">
        <v>701</v>
      </c>
      <c r="G493" s="126" t="b">
        <v>0</v>
      </c>
      <c r="H493" s="126" t="b">
        <v>0</v>
      </c>
      <c r="I493" s="126" t="b">
        <v>0</v>
      </c>
      <c r="J493" s="126" t="b">
        <v>0</v>
      </c>
      <c r="K493" s="126" t="b">
        <v>0</v>
      </c>
      <c r="L493" s="126" t="b">
        <v>0</v>
      </c>
    </row>
    <row r="494" spans="1:12" ht="15">
      <c r="A494" s="126" t="s">
        <v>878</v>
      </c>
      <c r="B494" s="126" t="s">
        <v>973</v>
      </c>
      <c r="C494" s="126">
        <v>2</v>
      </c>
      <c r="D494" s="128">
        <v>0.0015874579360772622</v>
      </c>
      <c r="E494" s="128">
        <v>2.881004030556986</v>
      </c>
      <c r="F494" s="126" t="s">
        <v>701</v>
      </c>
      <c r="G494" s="126" t="b">
        <v>0</v>
      </c>
      <c r="H494" s="126" t="b">
        <v>0</v>
      </c>
      <c r="I494" s="126" t="b">
        <v>0</v>
      </c>
      <c r="J494" s="126" t="b">
        <v>0</v>
      </c>
      <c r="K494" s="126" t="b">
        <v>0</v>
      </c>
      <c r="L494" s="126" t="b">
        <v>0</v>
      </c>
    </row>
    <row r="495" spans="1:12" ht="15">
      <c r="A495" s="126" t="s">
        <v>974</v>
      </c>
      <c r="B495" s="126" t="s">
        <v>715</v>
      </c>
      <c r="C495" s="126">
        <v>2</v>
      </c>
      <c r="D495" s="128">
        <v>0.0015874579360772622</v>
      </c>
      <c r="E495" s="128">
        <v>0.8639706912582058</v>
      </c>
      <c r="F495" s="126" t="s">
        <v>701</v>
      </c>
      <c r="G495" s="126" t="b">
        <v>0</v>
      </c>
      <c r="H495" s="126" t="b">
        <v>0</v>
      </c>
      <c r="I495" s="126" t="b">
        <v>0</v>
      </c>
      <c r="J495" s="126" t="b">
        <v>0</v>
      </c>
      <c r="K495" s="126" t="b">
        <v>0</v>
      </c>
      <c r="L495" s="126" t="b">
        <v>0</v>
      </c>
    </row>
    <row r="496" spans="1:12" ht="15">
      <c r="A496" s="126" t="s">
        <v>716</v>
      </c>
      <c r="B496" s="126" t="s">
        <v>773</v>
      </c>
      <c r="C496" s="126">
        <v>2</v>
      </c>
      <c r="D496" s="128">
        <v>0.0013318061350887432</v>
      </c>
      <c r="E496" s="128">
        <v>0.6991604426122136</v>
      </c>
      <c r="F496" s="126" t="s">
        <v>701</v>
      </c>
      <c r="G496" s="126" t="b">
        <v>0</v>
      </c>
      <c r="H496" s="126" t="b">
        <v>0</v>
      </c>
      <c r="I496" s="126" t="b">
        <v>0</v>
      </c>
      <c r="J496" s="126" t="b">
        <v>0</v>
      </c>
      <c r="K496" s="126" t="b">
        <v>0</v>
      </c>
      <c r="L496" s="126" t="b">
        <v>0</v>
      </c>
    </row>
    <row r="497" spans="1:12" ht="15">
      <c r="A497" s="126" t="s">
        <v>967</v>
      </c>
      <c r="B497" s="126" t="s">
        <v>778</v>
      </c>
      <c r="C497" s="126">
        <v>2</v>
      </c>
      <c r="D497" s="128">
        <v>0.0015874579360772622</v>
      </c>
      <c r="E497" s="128">
        <v>2.579974034893005</v>
      </c>
      <c r="F497" s="126" t="s">
        <v>701</v>
      </c>
      <c r="G497" s="126" t="b">
        <v>0</v>
      </c>
      <c r="H497" s="126" t="b">
        <v>0</v>
      </c>
      <c r="I497" s="126" t="b">
        <v>0</v>
      </c>
      <c r="J497" s="126" t="b">
        <v>0</v>
      </c>
      <c r="K497" s="126" t="b">
        <v>0</v>
      </c>
      <c r="L497" s="126" t="b">
        <v>0</v>
      </c>
    </row>
    <row r="498" spans="1:12" ht="15">
      <c r="A498" s="126" t="s">
        <v>778</v>
      </c>
      <c r="B498" s="126" t="s">
        <v>715</v>
      </c>
      <c r="C498" s="126">
        <v>2</v>
      </c>
      <c r="D498" s="128">
        <v>0.0013318061350887432</v>
      </c>
      <c r="E498" s="128">
        <v>0.4660306825861682</v>
      </c>
      <c r="F498" s="126" t="s">
        <v>701</v>
      </c>
      <c r="G498" s="126" t="b">
        <v>0</v>
      </c>
      <c r="H498" s="126" t="b">
        <v>0</v>
      </c>
      <c r="I498" s="126" t="b">
        <v>0</v>
      </c>
      <c r="J498" s="126" t="b">
        <v>0</v>
      </c>
      <c r="K498" s="126" t="b">
        <v>0</v>
      </c>
      <c r="L498" s="126" t="b">
        <v>0</v>
      </c>
    </row>
    <row r="499" spans="1:12" ht="15">
      <c r="A499" s="126" t="s">
        <v>738</v>
      </c>
      <c r="B499" s="126" t="s">
        <v>727</v>
      </c>
      <c r="C499" s="126">
        <v>2</v>
      </c>
      <c r="D499" s="128">
        <v>0.0015874579360772622</v>
      </c>
      <c r="E499" s="128">
        <v>1.2789440392290239</v>
      </c>
      <c r="F499" s="126" t="s">
        <v>701</v>
      </c>
      <c r="G499" s="126" t="b">
        <v>0</v>
      </c>
      <c r="H499" s="126" t="b">
        <v>0</v>
      </c>
      <c r="I499" s="126" t="b">
        <v>0</v>
      </c>
      <c r="J499" s="126" t="b">
        <v>0</v>
      </c>
      <c r="K499" s="126" t="b">
        <v>0</v>
      </c>
      <c r="L499" s="126" t="b">
        <v>0</v>
      </c>
    </row>
    <row r="500" spans="1:12" ht="15">
      <c r="A500" s="126" t="s">
        <v>734</v>
      </c>
      <c r="B500" s="126" t="s">
        <v>876</v>
      </c>
      <c r="C500" s="126">
        <v>2</v>
      </c>
      <c r="D500" s="128">
        <v>0.0015874579360772622</v>
      </c>
      <c r="E500" s="128">
        <v>2.0359059905427292</v>
      </c>
      <c r="F500" s="126" t="s">
        <v>701</v>
      </c>
      <c r="G500" s="126" t="b">
        <v>0</v>
      </c>
      <c r="H500" s="126" t="b">
        <v>0</v>
      </c>
      <c r="I500" s="126" t="b">
        <v>0</v>
      </c>
      <c r="J500" s="126" t="b">
        <v>0</v>
      </c>
      <c r="K500" s="126" t="b">
        <v>1</v>
      </c>
      <c r="L500" s="126" t="b">
        <v>0</v>
      </c>
    </row>
    <row r="501" spans="1:12" ht="15">
      <c r="A501" s="126" t="s">
        <v>876</v>
      </c>
      <c r="B501" s="126" t="s">
        <v>723</v>
      </c>
      <c r="C501" s="126">
        <v>2</v>
      </c>
      <c r="D501" s="128">
        <v>0.0015874579360772622</v>
      </c>
      <c r="E501" s="128">
        <v>1.7196360283220111</v>
      </c>
      <c r="F501" s="126" t="s">
        <v>701</v>
      </c>
      <c r="G501" s="126" t="b">
        <v>0</v>
      </c>
      <c r="H501" s="126" t="b">
        <v>1</v>
      </c>
      <c r="I501" s="126" t="b">
        <v>0</v>
      </c>
      <c r="J501" s="126" t="b">
        <v>0</v>
      </c>
      <c r="K501" s="126" t="b">
        <v>0</v>
      </c>
      <c r="L501" s="126" t="b">
        <v>0</v>
      </c>
    </row>
    <row r="502" spans="1:12" ht="15">
      <c r="A502" s="126" t="s">
        <v>723</v>
      </c>
      <c r="B502" s="126" t="s">
        <v>761</v>
      </c>
      <c r="C502" s="126">
        <v>2</v>
      </c>
      <c r="D502" s="128">
        <v>0.0013318061350887432</v>
      </c>
      <c r="E502" s="128">
        <v>1.3516592430274168</v>
      </c>
      <c r="F502" s="126" t="s">
        <v>701</v>
      </c>
      <c r="G502" s="126" t="b">
        <v>0</v>
      </c>
      <c r="H502" s="126" t="b">
        <v>0</v>
      </c>
      <c r="I502" s="126" t="b">
        <v>0</v>
      </c>
      <c r="J502" s="126" t="b">
        <v>0</v>
      </c>
      <c r="K502" s="126" t="b">
        <v>0</v>
      </c>
      <c r="L502" s="126" t="b">
        <v>0</v>
      </c>
    </row>
    <row r="503" spans="1:12" ht="15">
      <c r="A503" s="126" t="s">
        <v>718</v>
      </c>
      <c r="B503" s="126" t="s">
        <v>727</v>
      </c>
      <c r="C503" s="126">
        <v>2</v>
      </c>
      <c r="D503" s="128">
        <v>0.0013318061350887432</v>
      </c>
      <c r="E503" s="128">
        <v>0.35380391149400603</v>
      </c>
      <c r="F503" s="126" t="s">
        <v>701</v>
      </c>
      <c r="G503" s="126" t="b">
        <v>0</v>
      </c>
      <c r="H503" s="126" t="b">
        <v>0</v>
      </c>
      <c r="I503" s="126" t="b">
        <v>0</v>
      </c>
      <c r="J503" s="126" t="b">
        <v>0</v>
      </c>
      <c r="K503" s="126" t="b">
        <v>0</v>
      </c>
      <c r="L503" s="126" t="b">
        <v>0</v>
      </c>
    </row>
    <row r="504" spans="1:12" ht="15">
      <c r="A504" s="126" t="s">
        <v>723</v>
      </c>
      <c r="B504" s="126" t="s">
        <v>723</v>
      </c>
      <c r="C504" s="126">
        <v>2</v>
      </c>
      <c r="D504" s="128">
        <v>0.0013318061350887432</v>
      </c>
      <c r="E504" s="128">
        <v>0.7343592851427175</v>
      </c>
      <c r="F504" s="126" t="s">
        <v>701</v>
      </c>
      <c r="G504" s="126" t="b">
        <v>0</v>
      </c>
      <c r="H504" s="126" t="b">
        <v>0</v>
      </c>
      <c r="I504" s="126" t="b">
        <v>0</v>
      </c>
      <c r="J504" s="126" t="b">
        <v>0</v>
      </c>
      <c r="K504" s="126" t="b">
        <v>0</v>
      </c>
      <c r="L504" s="126" t="b">
        <v>0</v>
      </c>
    </row>
    <row r="505" spans="1:12" ht="15">
      <c r="A505" s="126" t="s">
        <v>718</v>
      </c>
      <c r="B505" s="126" t="s">
        <v>723</v>
      </c>
      <c r="C505" s="126">
        <v>2</v>
      </c>
      <c r="D505" s="128">
        <v>0.0013318061350887432</v>
      </c>
      <c r="E505" s="128">
        <v>0.19243590925903112</v>
      </c>
      <c r="F505" s="126" t="s">
        <v>701</v>
      </c>
      <c r="G505" s="126" t="b">
        <v>0</v>
      </c>
      <c r="H505" s="126" t="b">
        <v>0</v>
      </c>
      <c r="I505" s="126" t="b">
        <v>0</v>
      </c>
      <c r="J505" s="126" t="b">
        <v>0</v>
      </c>
      <c r="K505" s="126" t="b">
        <v>0</v>
      </c>
      <c r="L505" s="126" t="b">
        <v>0</v>
      </c>
    </row>
    <row r="506" spans="1:12" ht="15">
      <c r="A506" s="126" t="s">
        <v>826</v>
      </c>
      <c r="B506" s="126" t="s">
        <v>718</v>
      </c>
      <c r="C506" s="126">
        <v>2</v>
      </c>
      <c r="D506" s="128">
        <v>0.0013318061350887432</v>
      </c>
      <c r="E506" s="128">
        <v>1.0614600950151174</v>
      </c>
      <c r="F506" s="126" t="s">
        <v>701</v>
      </c>
      <c r="G506" s="126" t="b">
        <v>0</v>
      </c>
      <c r="H506" s="126" t="b">
        <v>0</v>
      </c>
      <c r="I506" s="126" t="b">
        <v>0</v>
      </c>
      <c r="J506" s="126" t="b">
        <v>0</v>
      </c>
      <c r="K506" s="126" t="b">
        <v>0</v>
      </c>
      <c r="L506" s="126" t="b">
        <v>0</v>
      </c>
    </row>
    <row r="507" spans="1:12" ht="15">
      <c r="A507" s="126" t="s">
        <v>715</v>
      </c>
      <c r="B507" s="126" t="s">
        <v>731</v>
      </c>
      <c r="C507" s="126">
        <v>2</v>
      </c>
      <c r="D507" s="128">
        <v>0.0013318061350887432</v>
      </c>
      <c r="E507" s="128">
        <v>-0.07779867284251621</v>
      </c>
      <c r="F507" s="126" t="s">
        <v>701</v>
      </c>
      <c r="G507" s="126" t="b">
        <v>0</v>
      </c>
      <c r="H507" s="126" t="b">
        <v>0</v>
      </c>
      <c r="I507" s="126" t="b">
        <v>0</v>
      </c>
      <c r="J507" s="126" t="b">
        <v>0</v>
      </c>
      <c r="K507" s="126" t="b">
        <v>0</v>
      </c>
      <c r="L507" s="126" t="b">
        <v>0</v>
      </c>
    </row>
    <row r="508" spans="1:12" ht="15">
      <c r="A508" s="126" t="s">
        <v>736</v>
      </c>
      <c r="B508" s="126" t="s">
        <v>866</v>
      </c>
      <c r="C508" s="126">
        <v>2</v>
      </c>
      <c r="D508" s="128">
        <v>0.0013318061350887432</v>
      </c>
      <c r="E508" s="128">
        <v>2.0359059905427292</v>
      </c>
      <c r="F508" s="126" t="s">
        <v>701</v>
      </c>
      <c r="G508" s="126" t="b">
        <v>0</v>
      </c>
      <c r="H508" s="126" t="b">
        <v>0</v>
      </c>
      <c r="I508" s="126" t="b">
        <v>0</v>
      </c>
      <c r="J508" s="126" t="b">
        <v>0</v>
      </c>
      <c r="K508" s="126" t="b">
        <v>0</v>
      </c>
      <c r="L508" s="126" t="b">
        <v>0</v>
      </c>
    </row>
    <row r="509" spans="1:12" ht="15">
      <c r="A509" s="126" t="s">
        <v>943</v>
      </c>
      <c r="B509" s="126" t="s">
        <v>735</v>
      </c>
      <c r="C509" s="126">
        <v>2</v>
      </c>
      <c r="D509" s="128">
        <v>0.0013318061350887432</v>
      </c>
      <c r="E509" s="128">
        <v>2.1820340262209674</v>
      </c>
      <c r="F509" s="126" t="s">
        <v>701</v>
      </c>
      <c r="G509" s="126" t="b">
        <v>0</v>
      </c>
      <c r="H509" s="126" t="b">
        <v>0</v>
      </c>
      <c r="I509" s="126" t="b">
        <v>0</v>
      </c>
      <c r="J509" s="126" t="b">
        <v>0</v>
      </c>
      <c r="K509" s="126" t="b">
        <v>0</v>
      </c>
      <c r="L509" s="126" t="b">
        <v>0</v>
      </c>
    </row>
    <row r="510" spans="1:12" ht="15">
      <c r="A510" s="126" t="s">
        <v>735</v>
      </c>
      <c r="B510" s="126" t="s">
        <v>944</v>
      </c>
      <c r="C510" s="126">
        <v>2</v>
      </c>
      <c r="D510" s="128">
        <v>0.0013318061350887432</v>
      </c>
      <c r="E510" s="128">
        <v>2.1820340262209674</v>
      </c>
      <c r="F510" s="126" t="s">
        <v>701</v>
      </c>
      <c r="G510" s="126" t="b">
        <v>0</v>
      </c>
      <c r="H510" s="126" t="b">
        <v>0</v>
      </c>
      <c r="I510" s="126" t="b">
        <v>0</v>
      </c>
      <c r="J510" s="126" t="b">
        <v>0</v>
      </c>
      <c r="K510" s="126" t="b">
        <v>0</v>
      </c>
      <c r="L510" s="126" t="b">
        <v>0</v>
      </c>
    </row>
    <row r="511" spans="1:12" ht="15">
      <c r="A511" s="126" t="s">
        <v>944</v>
      </c>
      <c r="B511" s="126" t="s">
        <v>945</v>
      </c>
      <c r="C511" s="126">
        <v>2</v>
      </c>
      <c r="D511" s="128">
        <v>0.0013318061350887432</v>
      </c>
      <c r="E511" s="128">
        <v>3.0570952896126675</v>
      </c>
      <c r="F511" s="126" t="s">
        <v>701</v>
      </c>
      <c r="G511" s="126" t="b">
        <v>0</v>
      </c>
      <c r="H511" s="126" t="b">
        <v>0</v>
      </c>
      <c r="I511" s="126" t="b">
        <v>0</v>
      </c>
      <c r="J511" s="126" t="b">
        <v>0</v>
      </c>
      <c r="K511" s="126" t="b">
        <v>0</v>
      </c>
      <c r="L511" s="126" t="b">
        <v>0</v>
      </c>
    </row>
    <row r="512" spans="1:12" ht="15">
      <c r="A512" s="126" t="s">
        <v>945</v>
      </c>
      <c r="B512" s="126" t="s">
        <v>946</v>
      </c>
      <c r="C512" s="126">
        <v>2</v>
      </c>
      <c r="D512" s="128">
        <v>0.0013318061350887432</v>
      </c>
      <c r="E512" s="128">
        <v>3.0570952896126675</v>
      </c>
      <c r="F512" s="126" t="s">
        <v>701</v>
      </c>
      <c r="G512" s="126" t="b">
        <v>0</v>
      </c>
      <c r="H512" s="126" t="b">
        <v>0</v>
      </c>
      <c r="I512" s="126" t="b">
        <v>0</v>
      </c>
      <c r="J512" s="126" t="b">
        <v>0</v>
      </c>
      <c r="K512" s="126" t="b">
        <v>0</v>
      </c>
      <c r="L512" s="126" t="b">
        <v>0</v>
      </c>
    </row>
    <row r="513" spans="1:12" ht="15">
      <c r="A513" s="126" t="s">
        <v>946</v>
      </c>
      <c r="B513" s="126" t="s">
        <v>755</v>
      </c>
      <c r="C513" s="126">
        <v>2</v>
      </c>
      <c r="D513" s="128">
        <v>0.0013318061350887432</v>
      </c>
      <c r="E513" s="128">
        <v>2.4038827758373236</v>
      </c>
      <c r="F513" s="126" t="s">
        <v>701</v>
      </c>
      <c r="G513" s="126" t="b">
        <v>0</v>
      </c>
      <c r="H513" s="126" t="b">
        <v>0</v>
      </c>
      <c r="I513" s="126" t="b">
        <v>0</v>
      </c>
      <c r="J513" s="126" t="b">
        <v>0</v>
      </c>
      <c r="K513" s="126" t="b">
        <v>0</v>
      </c>
      <c r="L513" s="126" t="b">
        <v>0</v>
      </c>
    </row>
    <row r="514" spans="1:12" ht="15">
      <c r="A514" s="126" t="s">
        <v>755</v>
      </c>
      <c r="B514" s="126" t="s">
        <v>735</v>
      </c>
      <c r="C514" s="126">
        <v>2</v>
      </c>
      <c r="D514" s="128">
        <v>0.0013318061350887432</v>
      </c>
      <c r="E514" s="128">
        <v>1.5288215124456237</v>
      </c>
      <c r="F514" s="126" t="s">
        <v>701</v>
      </c>
      <c r="G514" s="126" t="b">
        <v>0</v>
      </c>
      <c r="H514" s="126" t="b">
        <v>0</v>
      </c>
      <c r="I514" s="126" t="b">
        <v>0</v>
      </c>
      <c r="J514" s="126" t="b">
        <v>0</v>
      </c>
      <c r="K514" s="126" t="b">
        <v>0</v>
      </c>
      <c r="L514" s="126" t="b">
        <v>0</v>
      </c>
    </row>
    <row r="515" spans="1:12" ht="15">
      <c r="A515" s="126" t="s">
        <v>735</v>
      </c>
      <c r="B515" s="126" t="s">
        <v>735</v>
      </c>
      <c r="C515" s="126">
        <v>2</v>
      </c>
      <c r="D515" s="128">
        <v>0.0013318061350887432</v>
      </c>
      <c r="E515" s="128">
        <v>1.3069727628292673</v>
      </c>
      <c r="F515" s="126" t="s">
        <v>701</v>
      </c>
      <c r="G515" s="126" t="b">
        <v>0</v>
      </c>
      <c r="H515" s="126" t="b">
        <v>0</v>
      </c>
      <c r="I515" s="126" t="b">
        <v>0</v>
      </c>
      <c r="J515" s="126" t="b">
        <v>0</v>
      </c>
      <c r="K515" s="126" t="b">
        <v>0</v>
      </c>
      <c r="L515" s="126" t="b">
        <v>0</v>
      </c>
    </row>
    <row r="516" spans="1:12" ht="15">
      <c r="A516" s="126" t="s">
        <v>735</v>
      </c>
      <c r="B516" s="126" t="s">
        <v>755</v>
      </c>
      <c r="C516" s="126">
        <v>2</v>
      </c>
      <c r="D516" s="128">
        <v>0.0013318061350887432</v>
      </c>
      <c r="E516" s="128">
        <v>1.5288215124456237</v>
      </c>
      <c r="F516" s="126" t="s">
        <v>701</v>
      </c>
      <c r="G516" s="126" t="b">
        <v>0</v>
      </c>
      <c r="H516" s="126" t="b">
        <v>0</v>
      </c>
      <c r="I516" s="126" t="b">
        <v>0</v>
      </c>
      <c r="J516" s="126" t="b">
        <v>0</v>
      </c>
      <c r="K516" s="126" t="b">
        <v>0</v>
      </c>
      <c r="L516" s="126" t="b">
        <v>0</v>
      </c>
    </row>
    <row r="517" spans="1:12" ht="15">
      <c r="A517" s="126" t="s">
        <v>755</v>
      </c>
      <c r="B517" s="126" t="s">
        <v>947</v>
      </c>
      <c r="C517" s="126">
        <v>2</v>
      </c>
      <c r="D517" s="128">
        <v>0.0013318061350887432</v>
      </c>
      <c r="E517" s="128">
        <v>2.4038827758373236</v>
      </c>
      <c r="F517" s="126" t="s">
        <v>701</v>
      </c>
      <c r="G517" s="126" t="b">
        <v>0</v>
      </c>
      <c r="H517" s="126" t="b">
        <v>0</v>
      </c>
      <c r="I517" s="126" t="b">
        <v>0</v>
      </c>
      <c r="J517" s="126" t="b">
        <v>0</v>
      </c>
      <c r="K517" s="126" t="b">
        <v>0</v>
      </c>
      <c r="L517" s="126" t="b">
        <v>0</v>
      </c>
    </row>
    <row r="518" spans="1:12" ht="15">
      <c r="A518" s="126" t="s">
        <v>832</v>
      </c>
      <c r="B518" s="126" t="s">
        <v>720</v>
      </c>
      <c r="C518" s="126">
        <v>2</v>
      </c>
      <c r="D518" s="128">
        <v>0.0015874579360772622</v>
      </c>
      <c r="E518" s="128">
        <v>1.3943374579310934</v>
      </c>
      <c r="F518" s="126" t="s">
        <v>701</v>
      </c>
      <c r="G518" s="126" t="b">
        <v>0</v>
      </c>
      <c r="H518" s="126" t="b">
        <v>0</v>
      </c>
      <c r="I518" s="126" t="b">
        <v>0</v>
      </c>
      <c r="J518" s="126" t="b">
        <v>0</v>
      </c>
      <c r="K518" s="126" t="b">
        <v>0</v>
      </c>
      <c r="L518" s="126" t="b">
        <v>0</v>
      </c>
    </row>
    <row r="519" spans="1:12" ht="15">
      <c r="A519" s="126" t="s">
        <v>831</v>
      </c>
      <c r="B519" s="126" t="s">
        <v>740</v>
      </c>
      <c r="C519" s="126">
        <v>2</v>
      </c>
      <c r="D519" s="128">
        <v>0.0015874579360772622</v>
      </c>
      <c r="E519" s="128">
        <v>1.9779140435650424</v>
      </c>
      <c r="F519" s="126" t="s">
        <v>701</v>
      </c>
      <c r="G519" s="126" t="b">
        <v>0</v>
      </c>
      <c r="H519" s="126" t="b">
        <v>0</v>
      </c>
      <c r="I519" s="126" t="b">
        <v>0</v>
      </c>
      <c r="J519" s="126" t="b">
        <v>0</v>
      </c>
      <c r="K519" s="126" t="b">
        <v>0</v>
      </c>
      <c r="L519" s="126" t="b">
        <v>0</v>
      </c>
    </row>
    <row r="520" spans="1:12" ht="15">
      <c r="A520" s="126" t="s">
        <v>738</v>
      </c>
      <c r="B520" s="126" t="s">
        <v>874</v>
      </c>
      <c r="C520" s="126">
        <v>2</v>
      </c>
      <c r="D520" s="128">
        <v>0.0015874579360772622</v>
      </c>
      <c r="E520" s="128">
        <v>2.1028527801733423</v>
      </c>
      <c r="F520" s="126" t="s">
        <v>701</v>
      </c>
      <c r="G520" s="126" t="b">
        <v>0</v>
      </c>
      <c r="H520" s="126" t="b">
        <v>0</v>
      </c>
      <c r="I520" s="126" t="b">
        <v>0</v>
      </c>
      <c r="J520" s="126" t="b">
        <v>0</v>
      </c>
      <c r="K520" s="126" t="b">
        <v>0</v>
      </c>
      <c r="L520" s="126" t="b">
        <v>0</v>
      </c>
    </row>
    <row r="521" spans="1:12" ht="15">
      <c r="A521" s="126" t="s">
        <v>718</v>
      </c>
      <c r="B521" s="126" t="s">
        <v>742</v>
      </c>
      <c r="C521" s="126">
        <v>2</v>
      </c>
      <c r="D521" s="128">
        <v>0.0013318061350887432</v>
      </c>
      <c r="E521" s="128">
        <v>0.6548339071579873</v>
      </c>
      <c r="F521" s="126" t="s">
        <v>701</v>
      </c>
      <c r="G521" s="126" t="b">
        <v>0</v>
      </c>
      <c r="H521" s="126" t="b">
        <v>0</v>
      </c>
      <c r="I521" s="126" t="b">
        <v>0</v>
      </c>
      <c r="J521" s="126" t="b">
        <v>0</v>
      </c>
      <c r="K521" s="126" t="b">
        <v>1</v>
      </c>
      <c r="L521" s="126" t="b">
        <v>0</v>
      </c>
    </row>
    <row r="522" spans="1:12" ht="15">
      <c r="A522" s="126" t="s">
        <v>725</v>
      </c>
      <c r="B522" s="126" t="s">
        <v>767</v>
      </c>
      <c r="C522" s="126">
        <v>2</v>
      </c>
      <c r="D522" s="128">
        <v>0.0013318061350887432</v>
      </c>
      <c r="E522" s="128">
        <v>1.4716345601041667</v>
      </c>
      <c r="F522" s="126" t="s">
        <v>701</v>
      </c>
      <c r="G522" s="126" t="b">
        <v>0</v>
      </c>
      <c r="H522" s="126" t="b">
        <v>0</v>
      </c>
      <c r="I522" s="126" t="b">
        <v>0</v>
      </c>
      <c r="J522" s="126" t="b">
        <v>0</v>
      </c>
      <c r="K522" s="126" t="b">
        <v>0</v>
      </c>
      <c r="L522" s="126" t="b">
        <v>0</v>
      </c>
    </row>
    <row r="523" spans="1:12" ht="15">
      <c r="A523" s="126" t="s">
        <v>965</v>
      </c>
      <c r="B523" s="126" t="s">
        <v>726</v>
      </c>
      <c r="C523" s="126">
        <v>2</v>
      </c>
      <c r="D523" s="128">
        <v>0.0015874579360772622</v>
      </c>
      <c r="E523" s="128">
        <v>2.0359059905427292</v>
      </c>
      <c r="F523" s="126" t="s">
        <v>701</v>
      </c>
      <c r="G523" s="126" t="b">
        <v>0</v>
      </c>
      <c r="H523" s="126" t="b">
        <v>0</v>
      </c>
      <c r="I523" s="126" t="b">
        <v>0</v>
      </c>
      <c r="J523" s="126" t="b">
        <v>0</v>
      </c>
      <c r="K523" s="126" t="b">
        <v>0</v>
      </c>
      <c r="L523" s="126" t="b">
        <v>0</v>
      </c>
    </row>
    <row r="524" spans="1:12" ht="15">
      <c r="A524" s="126" t="s">
        <v>726</v>
      </c>
      <c r="B524" s="126" t="s">
        <v>875</v>
      </c>
      <c r="C524" s="126">
        <v>2</v>
      </c>
      <c r="D524" s="128">
        <v>0.0015874579360772622</v>
      </c>
      <c r="E524" s="128">
        <v>1.859814731487048</v>
      </c>
      <c r="F524" s="126" t="s">
        <v>701</v>
      </c>
      <c r="G524" s="126" t="b">
        <v>0</v>
      </c>
      <c r="H524" s="126" t="b">
        <v>0</v>
      </c>
      <c r="I524" s="126" t="b">
        <v>0</v>
      </c>
      <c r="J524" s="126" t="b">
        <v>0</v>
      </c>
      <c r="K524" s="126" t="b">
        <v>0</v>
      </c>
      <c r="L524" s="126" t="b">
        <v>0</v>
      </c>
    </row>
    <row r="525" spans="1:12" ht="15">
      <c r="A525" s="126" t="s">
        <v>873</v>
      </c>
      <c r="B525" s="126" t="s">
        <v>718</v>
      </c>
      <c r="C525" s="126">
        <v>2</v>
      </c>
      <c r="D525" s="128">
        <v>0.0015874579360772622</v>
      </c>
      <c r="E525" s="128">
        <v>1.1863988316234173</v>
      </c>
      <c r="F525" s="126" t="s">
        <v>701</v>
      </c>
      <c r="G525" s="126" t="b">
        <v>0</v>
      </c>
      <c r="H525" s="126" t="b">
        <v>0</v>
      </c>
      <c r="I525" s="126" t="b">
        <v>0</v>
      </c>
      <c r="J525" s="126" t="b">
        <v>0</v>
      </c>
      <c r="K525" s="126" t="b">
        <v>0</v>
      </c>
      <c r="L525" s="126" t="b">
        <v>0</v>
      </c>
    </row>
    <row r="526" spans="1:12" ht="15">
      <c r="A526" s="126" t="s">
        <v>962</v>
      </c>
      <c r="B526" s="126" t="s">
        <v>963</v>
      </c>
      <c r="C526" s="126">
        <v>2</v>
      </c>
      <c r="D526" s="128">
        <v>0.0015874579360772622</v>
      </c>
      <c r="E526" s="128">
        <v>3.0570952896126675</v>
      </c>
      <c r="F526" s="126" t="s">
        <v>701</v>
      </c>
      <c r="G526" s="126" t="b">
        <v>0</v>
      </c>
      <c r="H526" s="126" t="b">
        <v>0</v>
      </c>
      <c r="I526" s="126" t="b">
        <v>0</v>
      </c>
      <c r="J526" s="126" t="b">
        <v>0</v>
      </c>
      <c r="K526" s="126" t="b">
        <v>0</v>
      </c>
      <c r="L526" s="126" t="b">
        <v>0</v>
      </c>
    </row>
    <row r="527" spans="1:12" ht="15">
      <c r="A527" s="126" t="s">
        <v>715</v>
      </c>
      <c r="B527" s="126" t="s">
        <v>763</v>
      </c>
      <c r="C527" s="126">
        <v>2</v>
      </c>
      <c r="D527" s="128">
        <v>0.0013318061350887432</v>
      </c>
      <c r="E527" s="128">
        <v>0.3075522085215009</v>
      </c>
      <c r="F527" s="126" t="s">
        <v>701</v>
      </c>
      <c r="G527" s="126" t="b">
        <v>0</v>
      </c>
      <c r="H527" s="126" t="b">
        <v>0</v>
      </c>
      <c r="I527" s="126" t="b">
        <v>0</v>
      </c>
      <c r="J527" s="126" t="b">
        <v>0</v>
      </c>
      <c r="K527" s="126" t="b">
        <v>0</v>
      </c>
      <c r="L527" s="126" t="b">
        <v>0</v>
      </c>
    </row>
    <row r="528" spans="1:12" ht="15">
      <c r="A528" s="126" t="s">
        <v>872</v>
      </c>
      <c r="B528" s="126" t="s">
        <v>715</v>
      </c>
      <c r="C528" s="126">
        <v>2</v>
      </c>
      <c r="D528" s="128">
        <v>0.0013318061350887432</v>
      </c>
      <c r="E528" s="128">
        <v>0.6878794322025245</v>
      </c>
      <c r="F528" s="126" t="s">
        <v>701</v>
      </c>
      <c r="G528" s="126" t="b">
        <v>0</v>
      </c>
      <c r="H528" s="126" t="b">
        <v>1</v>
      </c>
      <c r="I528" s="126" t="b">
        <v>0</v>
      </c>
      <c r="J528" s="126" t="b">
        <v>0</v>
      </c>
      <c r="K528" s="126" t="b">
        <v>0</v>
      </c>
      <c r="L528" s="126" t="b">
        <v>0</v>
      </c>
    </row>
    <row r="529" spans="1:12" ht="15">
      <c r="A529" s="126" t="s">
        <v>765</v>
      </c>
      <c r="B529" s="126" t="s">
        <v>724</v>
      </c>
      <c r="C529" s="126">
        <v>2</v>
      </c>
      <c r="D529" s="128">
        <v>0.0013318061350887432</v>
      </c>
      <c r="E529" s="128">
        <v>1.3826934767673855</v>
      </c>
      <c r="F529" s="126" t="s">
        <v>701</v>
      </c>
      <c r="G529" s="126" t="b">
        <v>0</v>
      </c>
      <c r="H529" s="126" t="b">
        <v>0</v>
      </c>
      <c r="I529" s="126" t="b">
        <v>0</v>
      </c>
      <c r="J529" s="126" t="b">
        <v>0</v>
      </c>
      <c r="K529" s="126" t="b">
        <v>0</v>
      </c>
      <c r="L529" s="126" t="b">
        <v>0</v>
      </c>
    </row>
    <row r="530" spans="1:12" ht="15">
      <c r="A530" s="126" t="s">
        <v>718</v>
      </c>
      <c r="B530" s="126" t="s">
        <v>797</v>
      </c>
      <c r="C530" s="126">
        <v>2</v>
      </c>
      <c r="D530" s="128">
        <v>0.0013318061350887432</v>
      </c>
      <c r="E530" s="128">
        <v>1.0527739158300247</v>
      </c>
      <c r="F530" s="126" t="s">
        <v>701</v>
      </c>
      <c r="G530" s="126" t="b">
        <v>0</v>
      </c>
      <c r="H530" s="126" t="b">
        <v>0</v>
      </c>
      <c r="I530" s="126" t="b">
        <v>0</v>
      </c>
      <c r="J530" s="126" t="b">
        <v>0</v>
      </c>
      <c r="K530" s="126" t="b">
        <v>0</v>
      </c>
      <c r="L530" s="126" t="b">
        <v>0</v>
      </c>
    </row>
    <row r="531" spans="1:12" ht="15">
      <c r="A531" s="126" t="s">
        <v>715</v>
      </c>
      <c r="B531" s="126" t="s">
        <v>724</v>
      </c>
      <c r="C531" s="126">
        <v>2</v>
      </c>
      <c r="D531" s="128">
        <v>0.0013318061350887432</v>
      </c>
      <c r="E531" s="128">
        <v>-0.2787135156232296</v>
      </c>
      <c r="F531" s="126" t="s">
        <v>701</v>
      </c>
      <c r="G531" s="126" t="b">
        <v>0</v>
      </c>
      <c r="H531" s="126" t="b">
        <v>0</v>
      </c>
      <c r="I531" s="126" t="b">
        <v>0</v>
      </c>
      <c r="J531" s="126" t="b">
        <v>0</v>
      </c>
      <c r="K531" s="126" t="b">
        <v>0</v>
      </c>
      <c r="L531" s="126" t="b">
        <v>0</v>
      </c>
    </row>
    <row r="532" spans="1:12" ht="15">
      <c r="A532" s="126" t="s">
        <v>748</v>
      </c>
      <c r="B532" s="126" t="s">
        <v>744</v>
      </c>
      <c r="C532" s="126">
        <v>2</v>
      </c>
      <c r="D532" s="128">
        <v>0.0015874579360772622</v>
      </c>
      <c r="E532" s="128">
        <v>1.6591552809406298</v>
      </c>
      <c r="F532" s="126" t="s">
        <v>701</v>
      </c>
      <c r="G532" s="126" t="b">
        <v>0</v>
      </c>
      <c r="H532" s="126" t="b">
        <v>0</v>
      </c>
      <c r="I532" s="126" t="b">
        <v>0</v>
      </c>
      <c r="J532" s="126" t="b">
        <v>0</v>
      </c>
      <c r="K532" s="126" t="b">
        <v>0</v>
      </c>
      <c r="L532" s="126" t="b">
        <v>0</v>
      </c>
    </row>
    <row r="533" spans="1:12" ht="15">
      <c r="A533" s="126" t="s">
        <v>763</v>
      </c>
      <c r="B533" s="126" t="s">
        <v>715</v>
      </c>
      <c r="C533" s="126">
        <v>2</v>
      </c>
      <c r="D533" s="128">
        <v>0.0015874579360772622</v>
      </c>
      <c r="E533" s="128">
        <v>0.3199026469079302</v>
      </c>
      <c r="F533" s="126" t="s">
        <v>701</v>
      </c>
      <c r="G533" s="126" t="b">
        <v>0</v>
      </c>
      <c r="H533" s="126" t="b">
        <v>0</v>
      </c>
      <c r="I533" s="126" t="b">
        <v>0</v>
      </c>
      <c r="J533" s="126" t="b">
        <v>0</v>
      </c>
      <c r="K533" s="126" t="b">
        <v>0</v>
      </c>
      <c r="L533" s="126" t="b">
        <v>0</v>
      </c>
    </row>
    <row r="534" spans="1:12" ht="15">
      <c r="A534" s="126" t="s">
        <v>748</v>
      </c>
      <c r="B534" s="126" t="s">
        <v>717</v>
      </c>
      <c r="C534" s="126">
        <v>2</v>
      </c>
      <c r="D534" s="128">
        <v>0.0013318061350887432</v>
      </c>
      <c r="E534" s="128">
        <v>0.6421219416418494</v>
      </c>
      <c r="F534" s="126" t="s">
        <v>701</v>
      </c>
      <c r="G534" s="126" t="b">
        <v>0</v>
      </c>
      <c r="H534" s="126" t="b">
        <v>0</v>
      </c>
      <c r="I534" s="126" t="b">
        <v>0</v>
      </c>
      <c r="J534" s="126" t="b">
        <v>0</v>
      </c>
      <c r="K534" s="126" t="b">
        <v>0</v>
      </c>
      <c r="L534" s="126" t="b">
        <v>0</v>
      </c>
    </row>
    <row r="535" spans="1:12" ht="15">
      <c r="A535" s="126" t="s">
        <v>778</v>
      </c>
      <c r="B535" s="126" t="s">
        <v>724</v>
      </c>
      <c r="C535" s="126">
        <v>2</v>
      </c>
      <c r="D535" s="128">
        <v>0.0015874579360772622</v>
      </c>
      <c r="E535" s="128">
        <v>1.5288215124456237</v>
      </c>
      <c r="F535" s="126" t="s">
        <v>701</v>
      </c>
      <c r="G535" s="126" t="b">
        <v>0</v>
      </c>
      <c r="H535" s="126" t="b">
        <v>0</v>
      </c>
      <c r="I535" s="126" t="b">
        <v>0</v>
      </c>
      <c r="J535" s="126" t="b">
        <v>0</v>
      </c>
      <c r="K535" s="126" t="b">
        <v>0</v>
      </c>
      <c r="L535" s="126" t="b">
        <v>0</v>
      </c>
    </row>
    <row r="536" spans="1:12" ht="15">
      <c r="A536" s="126" t="s">
        <v>716</v>
      </c>
      <c r="B536" s="126" t="s">
        <v>860</v>
      </c>
      <c r="C536" s="126">
        <v>2</v>
      </c>
      <c r="D536" s="128">
        <v>0.0013318061350887432</v>
      </c>
      <c r="E536" s="128">
        <v>1.0001904382761948</v>
      </c>
      <c r="F536" s="126" t="s">
        <v>701</v>
      </c>
      <c r="G536" s="126" t="b">
        <v>0</v>
      </c>
      <c r="H536" s="126" t="b">
        <v>0</v>
      </c>
      <c r="I536" s="126" t="b">
        <v>0</v>
      </c>
      <c r="J536" s="126" t="b">
        <v>0</v>
      </c>
      <c r="K536" s="126" t="b">
        <v>0</v>
      </c>
      <c r="L536" s="126" t="b">
        <v>0</v>
      </c>
    </row>
    <row r="537" spans="1:12" ht="15">
      <c r="A537" s="126" t="s">
        <v>860</v>
      </c>
      <c r="B537" s="126" t="s">
        <v>717</v>
      </c>
      <c r="C537" s="126">
        <v>2</v>
      </c>
      <c r="D537" s="128">
        <v>0.0013318061350887432</v>
      </c>
      <c r="E537" s="128">
        <v>1.165000686922187</v>
      </c>
      <c r="F537" s="126" t="s">
        <v>701</v>
      </c>
      <c r="G537" s="126" t="b">
        <v>0</v>
      </c>
      <c r="H537" s="126" t="b">
        <v>0</v>
      </c>
      <c r="I537" s="126" t="b">
        <v>0</v>
      </c>
      <c r="J537" s="126" t="b">
        <v>0</v>
      </c>
      <c r="K537" s="126" t="b">
        <v>0</v>
      </c>
      <c r="L537" s="126" t="b">
        <v>0</v>
      </c>
    </row>
    <row r="538" spans="1:12" ht="15">
      <c r="A538" s="126" t="s">
        <v>717</v>
      </c>
      <c r="B538" s="126" t="s">
        <v>728</v>
      </c>
      <c r="C538" s="126">
        <v>2</v>
      </c>
      <c r="D538" s="128">
        <v>0.0015874579360772622</v>
      </c>
      <c r="E538" s="128">
        <v>0.3410919459778682</v>
      </c>
      <c r="F538" s="126" t="s">
        <v>701</v>
      </c>
      <c r="G538" s="126" t="b">
        <v>0</v>
      </c>
      <c r="H538" s="126" t="b">
        <v>0</v>
      </c>
      <c r="I538" s="126" t="b">
        <v>0</v>
      </c>
      <c r="J538" s="126" t="b">
        <v>0</v>
      </c>
      <c r="K538" s="126" t="b">
        <v>0</v>
      </c>
      <c r="L538" s="126" t="b">
        <v>0</v>
      </c>
    </row>
    <row r="539" spans="1:12" ht="15">
      <c r="A539" s="126" t="s">
        <v>741</v>
      </c>
      <c r="B539" s="126" t="s">
        <v>718</v>
      </c>
      <c r="C539" s="126">
        <v>2</v>
      </c>
      <c r="D539" s="128">
        <v>0.0013318061350887432</v>
      </c>
      <c r="E539" s="128">
        <v>0.6635200863430799</v>
      </c>
      <c r="F539" s="126" t="s">
        <v>701</v>
      </c>
      <c r="G539" s="126" t="b">
        <v>0</v>
      </c>
      <c r="H539" s="126" t="b">
        <v>0</v>
      </c>
      <c r="I539" s="126" t="b">
        <v>0</v>
      </c>
      <c r="J539" s="126" t="b">
        <v>0</v>
      </c>
      <c r="K539" s="126" t="b">
        <v>0</v>
      </c>
      <c r="L539" s="126" t="b">
        <v>0</v>
      </c>
    </row>
    <row r="540" spans="1:12" ht="15">
      <c r="A540" s="126" t="s">
        <v>718</v>
      </c>
      <c r="B540" s="126" t="s">
        <v>959</v>
      </c>
      <c r="C540" s="126">
        <v>2</v>
      </c>
      <c r="D540" s="128">
        <v>0.0013318061350887432</v>
      </c>
      <c r="E540" s="128">
        <v>1.353803911494006</v>
      </c>
      <c r="F540" s="126" t="s">
        <v>701</v>
      </c>
      <c r="G540" s="126" t="b">
        <v>0</v>
      </c>
      <c r="H540" s="126" t="b">
        <v>0</v>
      </c>
      <c r="I540" s="126" t="b">
        <v>0</v>
      </c>
      <c r="J540" s="126" t="b">
        <v>0</v>
      </c>
      <c r="K540" s="126" t="b">
        <v>0</v>
      </c>
      <c r="L540" s="126" t="b">
        <v>0</v>
      </c>
    </row>
    <row r="541" spans="1:12" ht="15">
      <c r="A541" s="126" t="s">
        <v>959</v>
      </c>
      <c r="B541" s="126" t="s">
        <v>741</v>
      </c>
      <c r="C541" s="126">
        <v>2</v>
      </c>
      <c r="D541" s="128">
        <v>0.0013318061350887432</v>
      </c>
      <c r="E541" s="128">
        <v>2.3167326001184234</v>
      </c>
      <c r="F541" s="126" t="s">
        <v>701</v>
      </c>
      <c r="G541" s="126" t="b">
        <v>0</v>
      </c>
      <c r="H541" s="126" t="b">
        <v>0</v>
      </c>
      <c r="I541" s="126" t="b">
        <v>0</v>
      </c>
      <c r="J541" s="126" t="b">
        <v>0</v>
      </c>
      <c r="K541" s="126" t="b">
        <v>0</v>
      </c>
      <c r="L541" s="126" t="b">
        <v>0</v>
      </c>
    </row>
    <row r="542" spans="1:12" ht="15">
      <c r="A542" s="126" t="s">
        <v>741</v>
      </c>
      <c r="B542" s="126" t="s">
        <v>741</v>
      </c>
      <c r="C542" s="126">
        <v>2</v>
      </c>
      <c r="D542" s="128">
        <v>0.0013318061350887432</v>
      </c>
      <c r="E542" s="128">
        <v>1.6177625957824047</v>
      </c>
      <c r="F542" s="126" t="s">
        <v>701</v>
      </c>
      <c r="G542" s="126" t="b">
        <v>0</v>
      </c>
      <c r="H542" s="126" t="b">
        <v>0</v>
      </c>
      <c r="I542" s="126" t="b">
        <v>0</v>
      </c>
      <c r="J542" s="126" t="b">
        <v>0</v>
      </c>
      <c r="K542" s="126" t="b">
        <v>0</v>
      </c>
      <c r="L542" s="126" t="b">
        <v>0</v>
      </c>
    </row>
    <row r="543" spans="1:12" ht="15">
      <c r="A543" s="126" t="s">
        <v>741</v>
      </c>
      <c r="B543" s="126" t="s">
        <v>960</v>
      </c>
      <c r="C543" s="126">
        <v>2</v>
      </c>
      <c r="D543" s="128">
        <v>0.0013318061350887432</v>
      </c>
      <c r="E543" s="128">
        <v>2.3581252852766488</v>
      </c>
      <c r="F543" s="126" t="s">
        <v>701</v>
      </c>
      <c r="G543" s="126" t="b">
        <v>0</v>
      </c>
      <c r="H543" s="126" t="b">
        <v>0</v>
      </c>
      <c r="I543" s="126" t="b">
        <v>0</v>
      </c>
      <c r="J543" s="126" t="b">
        <v>0</v>
      </c>
      <c r="K543" s="126" t="b">
        <v>0</v>
      </c>
      <c r="L543" s="126" t="b">
        <v>0</v>
      </c>
    </row>
    <row r="544" spans="1:12" ht="15">
      <c r="A544" s="126" t="s">
        <v>960</v>
      </c>
      <c r="B544" s="126" t="s">
        <v>961</v>
      </c>
      <c r="C544" s="126">
        <v>2</v>
      </c>
      <c r="D544" s="128">
        <v>0.0013318061350887432</v>
      </c>
      <c r="E544" s="128">
        <v>3.0570952896126675</v>
      </c>
      <c r="F544" s="126" t="s">
        <v>701</v>
      </c>
      <c r="G544" s="126" t="b">
        <v>0</v>
      </c>
      <c r="H544" s="126" t="b">
        <v>0</v>
      </c>
      <c r="I544" s="126" t="b">
        <v>0</v>
      </c>
      <c r="J544" s="126" t="b">
        <v>0</v>
      </c>
      <c r="K544" s="126" t="b">
        <v>0</v>
      </c>
      <c r="L544" s="126" t="b">
        <v>0</v>
      </c>
    </row>
    <row r="545" spans="1:12" ht="15">
      <c r="A545" s="126" t="s">
        <v>961</v>
      </c>
      <c r="B545" s="126" t="s">
        <v>725</v>
      </c>
      <c r="C545" s="126">
        <v>2</v>
      </c>
      <c r="D545" s="128">
        <v>0.0013318061350887432</v>
      </c>
      <c r="E545" s="128">
        <v>1.9963974492590557</v>
      </c>
      <c r="F545" s="126" t="s">
        <v>701</v>
      </c>
      <c r="G545" s="126" t="b">
        <v>0</v>
      </c>
      <c r="H545" s="126" t="b">
        <v>0</v>
      </c>
      <c r="I545" s="126" t="b">
        <v>0</v>
      </c>
      <c r="J545" s="126" t="b">
        <v>0</v>
      </c>
      <c r="K545" s="126" t="b">
        <v>0</v>
      </c>
      <c r="L545" s="126" t="b">
        <v>0</v>
      </c>
    </row>
    <row r="546" spans="1:12" ht="15">
      <c r="A546" s="126" t="s">
        <v>718</v>
      </c>
      <c r="B546" s="126" t="s">
        <v>954</v>
      </c>
      <c r="C546" s="126">
        <v>2</v>
      </c>
      <c r="D546" s="128">
        <v>0.0015874579360772622</v>
      </c>
      <c r="E546" s="128">
        <v>1.353803911494006</v>
      </c>
      <c r="F546" s="126" t="s">
        <v>701</v>
      </c>
      <c r="G546" s="126" t="b">
        <v>0</v>
      </c>
      <c r="H546" s="126" t="b">
        <v>0</v>
      </c>
      <c r="I546" s="126" t="b">
        <v>0</v>
      </c>
      <c r="J546" s="126" t="b">
        <v>0</v>
      </c>
      <c r="K546" s="126" t="b">
        <v>0</v>
      </c>
      <c r="L546" s="126" t="b">
        <v>0</v>
      </c>
    </row>
    <row r="547" spans="1:12" ht="15">
      <c r="A547" s="126" t="s">
        <v>739</v>
      </c>
      <c r="B547" s="126" t="s">
        <v>731</v>
      </c>
      <c r="C547" s="126">
        <v>2</v>
      </c>
      <c r="D547" s="128">
        <v>0.0013318061350887432</v>
      </c>
      <c r="E547" s="128">
        <v>1.3147630072555192</v>
      </c>
      <c r="F547" s="126" t="s">
        <v>701</v>
      </c>
      <c r="G547" s="126" t="b">
        <v>0</v>
      </c>
      <c r="H547" s="126" t="b">
        <v>0</v>
      </c>
      <c r="I547" s="126" t="b">
        <v>0</v>
      </c>
      <c r="J547" s="126" t="b">
        <v>0</v>
      </c>
      <c r="K547" s="126" t="b">
        <v>0</v>
      </c>
      <c r="L547" s="126" t="b">
        <v>0</v>
      </c>
    </row>
    <row r="548" spans="1:12" ht="15">
      <c r="A548" s="126" t="s">
        <v>715</v>
      </c>
      <c r="B548" s="126" t="s">
        <v>782</v>
      </c>
      <c r="C548" s="126">
        <v>2</v>
      </c>
      <c r="D548" s="128">
        <v>0.0013318061350887432</v>
      </c>
      <c r="E548" s="128">
        <v>0.4536802441997389</v>
      </c>
      <c r="F548" s="126" t="s">
        <v>701</v>
      </c>
      <c r="G548" s="126" t="b">
        <v>0</v>
      </c>
      <c r="H548" s="126" t="b">
        <v>0</v>
      </c>
      <c r="I548" s="126" t="b">
        <v>0</v>
      </c>
      <c r="J548" s="126" t="b">
        <v>0</v>
      </c>
      <c r="K548" s="126" t="b">
        <v>0</v>
      </c>
      <c r="L548" s="126" t="b">
        <v>0</v>
      </c>
    </row>
    <row r="549" spans="1:12" ht="15">
      <c r="A549" s="126" t="s">
        <v>787</v>
      </c>
      <c r="B549" s="126" t="s">
        <v>907</v>
      </c>
      <c r="C549" s="126">
        <v>2</v>
      </c>
      <c r="D549" s="128">
        <v>0.0013318061350887432</v>
      </c>
      <c r="E549" s="128">
        <v>2.6591552809406296</v>
      </c>
      <c r="F549" s="126" t="s">
        <v>701</v>
      </c>
      <c r="G549" s="126" t="b">
        <v>0</v>
      </c>
      <c r="H549" s="126" t="b">
        <v>0</v>
      </c>
      <c r="I549" s="126" t="b">
        <v>0</v>
      </c>
      <c r="J549" s="126" t="b">
        <v>0</v>
      </c>
      <c r="K549" s="126" t="b">
        <v>0</v>
      </c>
      <c r="L549" s="126" t="b">
        <v>0</v>
      </c>
    </row>
    <row r="550" spans="1:12" ht="15">
      <c r="A550" s="126" t="s">
        <v>907</v>
      </c>
      <c r="B550" s="126" t="s">
        <v>908</v>
      </c>
      <c r="C550" s="126">
        <v>2</v>
      </c>
      <c r="D550" s="128">
        <v>0.0013318061350887432</v>
      </c>
      <c r="E550" s="128">
        <v>3.0570952896126675</v>
      </c>
      <c r="F550" s="126" t="s">
        <v>701</v>
      </c>
      <c r="G550" s="126" t="b">
        <v>0</v>
      </c>
      <c r="H550" s="126" t="b">
        <v>0</v>
      </c>
      <c r="I550" s="126" t="b">
        <v>0</v>
      </c>
      <c r="J550" s="126" t="b">
        <v>0</v>
      </c>
      <c r="K550" s="126" t="b">
        <v>0</v>
      </c>
      <c r="L550" s="126" t="b">
        <v>0</v>
      </c>
    </row>
    <row r="551" spans="1:12" ht="15">
      <c r="A551" s="126" t="s">
        <v>782</v>
      </c>
      <c r="B551" s="126" t="s">
        <v>717</v>
      </c>
      <c r="C551" s="126">
        <v>2</v>
      </c>
      <c r="D551" s="128">
        <v>0.0013318061350887432</v>
      </c>
      <c r="E551" s="128">
        <v>0.9431519373058306</v>
      </c>
      <c r="F551" s="126" t="s">
        <v>701</v>
      </c>
      <c r="G551" s="126" t="b">
        <v>0</v>
      </c>
      <c r="H551" s="126" t="b">
        <v>0</v>
      </c>
      <c r="I551" s="126" t="b">
        <v>0</v>
      </c>
      <c r="J551" s="126" t="b">
        <v>0</v>
      </c>
      <c r="K551" s="126" t="b">
        <v>0</v>
      </c>
      <c r="L551" s="126" t="b">
        <v>0</v>
      </c>
    </row>
    <row r="552" spans="1:12" ht="15">
      <c r="A552" s="126" t="s">
        <v>722</v>
      </c>
      <c r="B552" s="126" t="s">
        <v>727</v>
      </c>
      <c r="C552" s="126">
        <v>2</v>
      </c>
      <c r="D552" s="128">
        <v>0.0015874579360772622</v>
      </c>
      <c r="E552" s="128">
        <v>0.814057240926373</v>
      </c>
      <c r="F552" s="126" t="s">
        <v>701</v>
      </c>
      <c r="G552" s="126" t="b">
        <v>0</v>
      </c>
      <c r="H552" s="126" t="b">
        <v>0</v>
      </c>
      <c r="I552" s="126" t="b">
        <v>0</v>
      </c>
      <c r="J552" s="126" t="b">
        <v>0</v>
      </c>
      <c r="K552" s="126" t="b">
        <v>0</v>
      </c>
      <c r="L552" s="126" t="b">
        <v>0</v>
      </c>
    </row>
    <row r="553" spans="1:12" ht="15">
      <c r="A553" s="126" t="s">
        <v>731</v>
      </c>
      <c r="B553" s="126" t="s">
        <v>717</v>
      </c>
      <c r="C553" s="126">
        <v>2</v>
      </c>
      <c r="D553" s="128">
        <v>0.0013318061350887432</v>
      </c>
      <c r="E553" s="128">
        <v>0.4116730202635755</v>
      </c>
      <c r="F553" s="126" t="s">
        <v>701</v>
      </c>
      <c r="G553" s="126" t="b">
        <v>0</v>
      </c>
      <c r="H553" s="126" t="b">
        <v>0</v>
      </c>
      <c r="I553" s="126" t="b">
        <v>0</v>
      </c>
      <c r="J553" s="126" t="b">
        <v>0</v>
      </c>
      <c r="K553" s="126" t="b">
        <v>0</v>
      </c>
      <c r="L553" s="126" t="b">
        <v>0</v>
      </c>
    </row>
    <row r="554" spans="1:12" ht="15">
      <c r="A554" s="126" t="s">
        <v>718</v>
      </c>
      <c r="B554" s="126" t="s">
        <v>717</v>
      </c>
      <c r="C554" s="126">
        <v>2</v>
      </c>
      <c r="D554" s="128">
        <v>0.0013318061350887432</v>
      </c>
      <c r="E554" s="128">
        <v>-0.3621994321407932</v>
      </c>
      <c r="F554" s="126" t="s">
        <v>701</v>
      </c>
      <c r="G554" s="126" t="b">
        <v>0</v>
      </c>
      <c r="H554" s="126" t="b">
        <v>0</v>
      </c>
      <c r="I554" s="126" t="b">
        <v>0</v>
      </c>
      <c r="J554" s="126" t="b">
        <v>0</v>
      </c>
      <c r="K554" s="126" t="b">
        <v>0</v>
      </c>
      <c r="L554" s="126" t="b">
        <v>0</v>
      </c>
    </row>
    <row r="555" spans="1:12" ht="15">
      <c r="A555" s="126" t="s">
        <v>949</v>
      </c>
      <c r="B555" s="126" t="s">
        <v>950</v>
      </c>
      <c r="C555" s="126">
        <v>2</v>
      </c>
      <c r="D555" s="128">
        <v>0.0015874579360772622</v>
      </c>
      <c r="E555" s="128">
        <v>3.0570952896126675</v>
      </c>
      <c r="F555" s="126" t="s">
        <v>701</v>
      </c>
      <c r="G555" s="126" t="b">
        <v>0</v>
      </c>
      <c r="H555" s="126" t="b">
        <v>0</v>
      </c>
      <c r="I555" s="126" t="b">
        <v>0</v>
      </c>
      <c r="J555" s="126" t="b">
        <v>0</v>
      </c>
      <c r="K555" s="126" t="b">
        <v>0</v>
      </c>
      <c r="L555" s="126" t="b">
        <v>0</v>
      </c>
    </row>
    <row r="556" spans="1:12" ht="15">
      <c r="A556" s="126" t="s">
        <v>830</v>
      </c>
      <c r="B556" s="126" t="s">
        <v>715</v>
      </c>
      <c r="C556" s="126">
        <v>2</v>
      </c>
      <c r="D556" s="128">
        <v>0.0015874579360772622</v>
      </c>
      <c r="E556" s="128">
        <v>0.5629406955942245</v>
      </c>
      <c r="F556" s="126" t="s">
        <v>701</v>
      </c>
      <c r="G556" s="126" t="b">
        <v>0</v>
      </c>
      <c r="H556" s="126" t="b">
        <v>0</v>
      </c>
      <c r="I556" s="126" t="b">
        <v>0</v>
      </c>
      <c r="J556" s="126" t="b">
        <v>0</v>
      </c>
      <c r="K556" s="126" t="b">
        <v>0</v>
      </c>
      <c r="L556" s="126" t="b">
        <v>0</v>
      </c>
    </row>
    <row r="557" spans="1:12" ht="15">
      <c r="A557" s="126" t="s">
        <v>754</v>
      </c>
      <c r="B557" s="126" t="s">
        <v>919</v>
      </c>
      <c r="C557" s="126">
        <v>2</v>
      </c>
      <c r="D557" s="128">
        <v>0.0013318061350887432</v>
      </c>
      <c r="E557" s="128">
        <v>2.4038827758373236</v>
      </c>
      <c r="F557" s="126" t="s">
        <v>701</v>
      </c>
      <c r="G557" s="126" t="b">
        <v>0</v>
      </c>
      <c r="H557" s="126" t="b">
        <v>0</v>
      </c>
      <c r="I557" s="126" t="b">
        <v>0</v>
      </c>
      <c r="J557" s="126" t="b">
        <v>0</v>
      </c>
      <c r="K557" s="126" t="b">
        <v>0</v>
      </c>
      <c r="L557" s="126" t="b">
        <v>0</v>
      </c>
    </row>
    <row r="558" spans="1:12" ht="15">
      <c r="A558" s="126" t="s">
        <v>828</v>
      </c>
      <c r="B558" s="126" t="s">
        <v>787</v>
      </c>
      <c r="C558" s="126">
        <v>2</v>
      </c>
      <c r="D558" s="128">
        <v>0.0015874579360772622</v>
      </c>
      <c r="E558" s="128">
        <v>2.3581252852766488</v>
      </c>
      <c r="F558" s="126" t="s">
        <v>701</v>
      </c>
      <c r="G558" s="126" t="b">
        <v>0</v>
      </c>
      <c r="H558" s="126" t="b">
        <v>0</v>
      </c>
      <c r="I558" s="126" t="b">
        <v>0</v>
      </c>
      <c r="J558" s="126" t="b">
        <v>0</v>
      </c>
      <c r="K558" s="126" t="b">
        <v>0</v>
      </c>
      <c r="L558" s="126" t="b">
        <v>0</v>
      </c>
    </row>
    <row r="559" spans="1:12" ht="15">
      <c r="A559" s="126" t="s">
        <v>829</v>
      </c>
      <c r="B559" s="126" t="s">
        <v>762</v>
      </c>
      <c r="C559" s="126">
        <v>2</v>
      </c>
      <c r="D559" s="128">
        <v>0.0015874579360772622</v>
      </c>
      <c r="E559" s="128">
        <v>2.2119972495984106</v>
      </c>
      <c r="F559" s="126" t="s">
        <v>701</v>
      </c>
      <c r="G559" s="126" t="b">
        <v>0</v>
      </c>
      <c r="H559" s="126" t="b">
        <v>0</v>
      </c>
      <c r="I559" s="126" t="b">
        <v>0</v>
      </c>
      <c r="J559" s="126" t="b">
        <v>0</v>
      </c>
      <c r="K559" s="126" t="b">
        <v>0</v>
      </c>
      <c r="L559" s="126" t="b">
        <v>0</v>
      </c>
    </row>
    <row r="560" spans="1:12" ht="15">
      <c r="A560" s="126" t="s">
        <v>716</v>
      </c>
      <c r="B560" s="126" t="s">
        <v>722</v>
      </c>
      <c r="C560" s="126">
        <v>2</v>
      </c>
      <c r="D560" s="128">
        <v>0.0013318061350887432</v>
      </c>
      <c r="E560" s="128">
        <v>-0.07899080777143014</v>
      </c>
      <c r="F560" s="126" t="s">
        <v>701</v>
      </c>
      <c r="G560" s="126" t="b">
        <v>0</v>
      </c>
      <c r="H560" s="126" t="b">
        <v>0</v>
      </c>
      <c r="I560" s="126" t="b">
        <v>0</v>
      </c>
      <c r="J560" s="126" t="b">
        <v>0</v>
      </c>
      <c r="K560" s="126" t="b">
        <v>0</v>
      </c>
      <c r="L560" s="126" t="b">
        <v>0</v>
      </c>
    </row>
    <row r="561" spans="1:12" ht="15">
      <c r="A561" s="126" t="s">
        <v>892</v>
      </c>
      <c r="B561" s="126" t="s">
        <v>893</v>
      </c>
      <c r="C561" s="126">
        <v>2</v>
      </c>
      <c r="D561" s="128">
        <v>0.0013318061350887432</v>
      </c>
      <c r="E561" s="128">
        <v>3.0570952896126675</v>
      </c>
      <c r="F561" s="126" t="s">
        <v>701</v>
      </c>
      <c r="G561" s="126" t="b">
        <v>0</v>
      </c>
      <c r="H561" s="126" t="b">
        <v>0</v>
      </c>
      <c r="I561" s="126" t="b">
        <v>0</v>
      </c>
      <c r="J561" s="126" t="b">
        <v>0</v>
      </c>
      <c r="K561" s="126" t="b">
        <v>0</v>
      </c>
      <c r="L561" s="126" t="b">
        <v>0</v>
      </c>
    </row>
    <row r="562" spans="1:12" ht="15">
      <c r="A562" s="126" t="s">
        <v>715</v>
      </c>
      <c r="B562" s="126" t="s">
        <v>896</v>
      </c>
      <c r="C562" s="126">
        <v>2</v>
      </c>
      <c r="D562" s="128">
        <v>0.0013318061350887432</v>
      </c>
      <c r="E562" s="128">
        <v>0.8516202528717765</v>
      </c>
      <c r="F562" s="126" t="s">
        <v>701</v>
      </c>
      <c r="G562" s="126" t="b">
        <v>0</v>
      </c>
      <c r="H562" s="126" t="b">
        <v>0</v>
      </c>
      <c r="I562" s="126" t="b">
        <v>0</v>
      </c>
      <c r="J562" s="126" t="b">
        <v>0</v>
      </c>
      <c r="K562" s="126" t="b">
        <v>0</v>
      </c>
      <c r="L562" s="126" t="b">
        <v>0</v>
      </c>
    </row>
    <row r="563" spans="1:12" ht="15">
      <c r="A563" s="126" t="s">
        <v>818</v>
      </c>
      <c r="B563" s="126" t="s">
        <v>715</v>
      </c>
      <c r="C563" s="126">
        <v>2</v>
      </c>
      <c r="D563" s="128">
        <v>0.0013318061350887432</v>
      </c>
      <c r="E563" s="128">
        <v>0.5629406955942245</v>
      </c>
      <c r="F563" s="126" t="s">
        <v>701</v>
      </c>
      <c r="G563" s="126" t="b">
        <v>0</v>
      </c>
      <c r="H563" s="126" t="b">
        <v>1</v>
      </c>
      <c r="I563" s="126" t="b">
        <v>0</v>
      </c>
      <c r="J563" s="126" t="b">
        <v>0</v>
      </c>
      <c r="K563" s="126" t="b">
        <v>0</v>
      </c>
      <c r="L563" s="126" t="b">
        <v>0</v>
      </c>
    </row>
    <row r="564" spans="1:12" ht="15">
      <c r="A564" s="126" t="s">
        <v>715</v>
      </c>
      <c r="B564" s="126" t="s">
        <v>722</v>
      </c>
      <c r="C564" s="126">
        <v>2</v>
      </c>
      <c r="D564" s="128">
        <v>0.0013318061350887432</v>
      </c>
      <c r="E564" s="128">
        <v>-0.40365225223152956</v>
      </c>
      <c r="F564" s="126" t="s">
        <v>701</v>
      </c>
      <c r="G564" s="126" t="b">
        <v>0</v>
      </c>
      <c r="H564" s="126" t="b">
        <v>0</v>
      </c>
      <c r="I564" s="126" t="b">
        <v>0</v>
      </c>
      <c r="J564" s="126" t="b">
        <v>0</v>
      </c>
      <c r="K564" s="126" t="b">
        <v>0</v>
      </c>
      <c r="L564" s="126" t="b">
        <v>0</v>
      </c>
    </row>
    <row r="565" spans="1:12" ht="15">
      <c r="A565" s="126" t="s">
        <v>861</v>
      </c>
      <c r="B565" s="126" t="s">
        <v>861</v>
      </c>
      <c r="C565" s="126">
        <v>2</v>
      </c>
      <c r="D565" s="128">
        <v>0.0015874579360772622</v>
      </c>
      <c r="E565" s="128">
        <v>2.704912771501305</v>
      </c>
      <c r="F565" s="126" t="s">
        <v>701</v>
      </c>
      <c r="G565" s="126" t="b">
        <v>0</v>
      </c>
      <c r="H565" s="126" t="b">
        <v>0</v>
      </c>
      <c r="I565" s="126" t="b">
        <v>0</v>
      </c>
      <c r="J565" s="126" t="b">
        <v>0</v>
      </c>
      <c r="K565" s="126" t="b">
        <v>0</v>
      </c>
      <c r="L565" s="126" t="b">
        <v>0</v>
      </c>
    </row>
    <row r="566" spans="1:12" ht="15">
      <c r="A566" s="126" t="s">
        <v>846</v>
      </c>
      <c r="B566" s="126" t="s">
        <v>898</v>
      </c>
      <c r="C566" s="126">
        <v>2</v>
      </c>
      <c r="D566" s="128">
        <v>0.0013318061350887432</v>
      </c>
      <c r="E566" s="128">
        <v>2.881004030556986</v>
      </c>
      <c r="F566" s="126" t="s">
        <v>701</v>
      </c>
      <c r="G566" s="126" t="b">
        <v>0</v>
      </c>
      <c r="H566" s="126" t="b">
        <v>0</v>
      </c>
      <c r="I566" s="126" t="b">
        <v>0</v>
      </c>
      <c r="J566" s="126" t="b">
        <v>0</v>
      </c>
      <c r="K566" s="126" t="b">
        <v>0</v>
      </c>
      <c r="L566" s="126" t="b">
        <v>0</v>
      </c>
    </row>
    <row r="567" spans="1:12" ht="15">
      <c r="A567" s="126" t="s">
        <v>715</v>
      </c>
      <c r="B567" s="126" t="s">
        <v>858</v>
      </c>
      <c r="C567" s="126">
        <v>2</v>
      </c>
      <c r="D567" s="128">
        <v>0.0015874579360772622</v>
      </c>
      <c r="E567" s="128">
        <v>0.6755289938160952</v>
      </c>
      <c r="F567" s="126" t="s">
        <v>701</v>
      </c>
      <c r="G567" s="126" t="b">
        <v>0</v>
      </c>
      <c r="H567" s="126" t="b">
        <v>0</v>
      </c>
      <c r="I567" s="126" t="b">
        <v>0</v>
      </c>
      <c r="J567" s="126" t="b">
        <v>0</v>
      </c>
      <c r="K567" s="126" t="b">
        <v>1</v>
      </c>
      <c r="L567" s="126" t="b">
        <v>0</v>
      </c>
    </row>
    <row r="568" spans="1:12" ht="15">
      <c r="A568" s="126" t="s">
        <v>859</v>
      </c>
      <c r="B568" s="126" t="s">
        <v>715</v>
      </c>
      <c r="C568" s="126">
        <v>2</v>
      </c>
      <c r="D568" s="128">
        <v>0.0015874579360772622</v>
      </c>
      <c r="E568" s="128">
        <v>0.6878794322025245</v>
      </c>
      <c r="F568" s="126" t="s">
        <v>701</v>
      </c>
      <c r="G568" s="126" t="b">
        <v>0</v>
      </c>
      <c r="H568" s="126" t="b">
        <v>0</v>
      </c>
      <c r="I568" s="126" t="b">
        <v>0</v>
      </c>
      <c r="J568" s="126" t="b">
        <v>0</v>
      </c>
      <c r="K568" s="126" t="b">
        <v>0</v>
      </c>
      <c r="L568" s="126" t="b">
        <v>0</v>
      </c>
    </row>
    <row r="569" spans="1:12" ht="15">
      <c r="A569" s="126" t="s">
        <v>722</v>
      </c>
      <c r="B569" s="126" t="s">
        <v>773</v>
      </c>
      <c r="C569" s="126">
        <v>2</v>
      </c>
      <c r="D569" s="128">
        <v>0.0013318061350887432</v>
      </c>
      <c r="E569" s="128">
        <v>1.3369359862067105</v>
      </c>
      <c r="F569" s="126" t="s">
        <v>701</v>
      </c>
      <c r="G569" s="126" t="b">
        <v>0</v>
      </c>
      <c r="H569" s="126" t="b">
        <v>0</v>
      </c>
      <c r="I569" s="126" t="b">
        <v>0</v>
      </c>
      <c r="J569" s="126" t="b">
        <v>0</v>
      </c>
      <c r="K569" s="126" t="b">
        <v>0</v>
      </c>
      <c r="L569" s="126" t="b">
        <v>0</v>
      </c>
    </row>
    <row r="570" spans="1:12" ht="15">
      <c r="A570" s="126" t="s">
        <v>716</v>
      </c>
      <c r="B570" s="126" t="s">
        <v>927</v>
      </c>
      <c r="C570" s="126">
        <v>2</v>
      </c>
      <c r="D570" s="128">
        <v>0.0015874579360772622</v>
      </c>
      <c r="E570" s="128">
        <v>1.176281697331876</v>
      </c>
      <c r="F570" s="126" t="s">
        <v>701</v>
      </c>
      <c r="G570" s="126" t="b">
        <v>0</v>
      </c>
      <c r="H570" s="126" t="b">
        <v>0</v>
      </c>
      <c r="I570" s="126" t="b">
        <v>0</v>
      </c>
      <c r="J570" s="126" t="b">
        <v>0</v>
      </c>
      <c r="K570" s="126" t="b">
        <v>0</v>
      </c>
      <c r="L570" s="126" t="b">
        <v>0</v>
      </c>
    </row>
    <row r="571" spans="1:12" ht="15">
      <c r="A571" s="126" t="s">
        <v>716</v>
      </c>
      <c r="B571" s="126" t="s">
        <v>857</v>
      </c>
      <c r="C571" s="126">
        <v>2</v>
      </c>
      <c r="D571" s="128">
        <v>0.0015874579360772622</v>
      </c>
      <c r="E571" s="128">
        <v>1.0001904382761948</v>
      </c>
      <c r="F571" s="126" t="s">
        <v>701</v>
      </c>
      <c r="G571" s="126" t="b">
        <v>0</v>
      </c>
      <c r="H571" s="126" t="b">
        <v>0</v>
      </c>
      <c r="I571" s="126" t="b">
        <v>0</v>
      </c>
      <c r="J571" s="126" t="b">
        <v>0</v>
      </c>
      <c r="K571" s="126" t="b">
        <v>0</v>
      </c>
      <c r="L571" s="126" t="b">
        <v>0</v>
      </c>
    </row>
    <row r="572" spans="1:12" ht="15">
      <c r="A572" s="126" t="s">
        <v>914</v>
      </c>
      <c r="B572" s="126" t="s">
        <v>915</v>
      </c>
      <c r="C572" s="126">
        <v>2</v>
      </c>
      <c r="D572" s="128">
        <v>0.0013318061350887432</v>
      </c>
      <c r="E572" s="128">
        <v>3.0570952896126675</v>
      </c>
      <c r="F572" s="126" t="s">
        <v>701</v>
      </c>
      <c r="G572" s="126" t="b">
        <v>0</v>
      </c>
      <c r="H572" s="126" t="b">
        <v>0</v>
      </c>
      <c r="I572" s="126" t="b">
        <v>0</v>
      </c>
      <c r="J572" s="126" t="b">
        <v>0</v>
      </c>
      <c r="K572" s="126" t="b">
        <v>0</v>
      </c>
      <c r="L572" s="126" t="b">
        <v>0</v>
      </c>
    </row>
    <row r="573" spans="1:12" ht="15">
      <c r="A573" s="126" t="s">
        <v>915</v>
      </c>
      <c r="B573" s="126" t="s">
        <v>916</v>
      </c>
      <c r="C573" s="126">
        <v>2</v>
      </c>
      <c r="D573" s="128">
        <v>0.0013318061350887432</v>
      </c>
      <c r="E573" s="128">
        <v>3.0570952896126675</v>
      </c>
      <c r="F573" s="126" t="s">
        <v>701</v>
      </c>
      <c r="G573" s="126" t="b">
        <v>0</v>
      </c>
      <c r="H573" s="126" t="b">
        <v>0</v>
      </c>
      <c r="I573" s="126" t="b">
        <v>0</v>
      </c>
      <c r="J573" s="126" t="b">
        <v>0</v>
      </c>
      <c r="K573" s="126" t="b">
        <v>0</v>
      </c>
      <c r="L573" s="126" t="b">
        <v>0</v>
      </c>
    </row>
    <row r="574" spans="1:12" ht="15">
      <c r="A574" s="126" t="s">
        <v>916</v>
      </c>
      <c r="B574" s="126" t="s">
        <v>917</v>
      </c>
      <c r="C574" s="126">
        <v>2</v>
      </c>
      <c r="D574" s="128">
        <v>0.0013318061350887432</v>
      </c>
      <c r="E574" s="128">
        <v>3.0570952896126675</v>
      </c>
      <c r="F574" s="126" t="s">
        <v>701</v>
      </c>
      <c r="G574" s="126" t="b">
        <v>0</v>
      </c>
      <c r="H574" s="126" t="b">
        <v>0</v>
      </c>
      <c r="I574" s="126" t="b">
        <v>0</v>
      </c>
      <c r="J574" s="126" t="b">
        <v>0</v>
      </c>
      <c r="K574" s="126" t="b">
        <v>0</v>
      </c>
      <c r="L574" s="126" t="b">
        <v>0</v>
      </c>
    </row>
    <row r="575" spans="1:12" ht="15">
      <c r="A575" s="126" t="s">
        <v>715</v>
      </c>
      <c r="B575" s="126" t="s">
        <v>821</v>
      </c>
      <c r="C575" s="126">
        <v>2</v>
      </c>
      <c r="D575" s="128">
        <v>0.0013318061350887432</v>
      </c>
      <c r="E575" s="128">
        <v>0.5505902572077953</v>
      </c>
      <c r="F575" s="126" t="s">
        <v>701</v>
      </c>
      <c r="G575" s="126" t="b">
        <v>0</v>
      </c>
      <c r="H575" s="126" t="b">
        <v>0</v>
      </c>
      <c r="I575" s="126" t="b">
        <v>0</v>
      </c>
      <c r="J575" s="126" t="b">
        <v>0</v>
      </c>
      <c r="K575" s="126" t="b">
        <v>0</v>
      </c>
      <c r="L575" s="126" t="b">
        <v>0</v>
      </c>
    </row>
    <row r="576" spans="1:12" ht="15">
      <c r="A576" s="126" t="s">
        <v>822</v>
      </c>
      <c r="B576" s="126" t="s">
        <v>715</v>
      </c>
      <c r="C576" s="126">
        <v>2</v>
      </c>
      <c r="D576" s="128">
        <v>0.0013318061350887432</v>
      </c>
      <c r="E576" s="128">
        <v>0.5629406955942245</v>
      </c>
      <c r="F576" s="126" t="s">
        <v>701</v>
      </c>
      <c r="G576" s="126" t="b">
        <v>0</v>
      </c>
      <c r="H576" s="126" t="b">
        <v>0</v>
      </c>
      <c r="I576" s="126" t="b">
        <v>0</v>
      </c>
      <c r="J576" s="126" t="b">
        <v>0</v>
      </c>
      <c r="K576" s="126" t="b">
        <v>0</v>
      </c>
      <c r="L576" s="126" t="b">
        <v>0</v>
      </c>
    </row>
    <row r="577" spans="1:12" ht="15">
      <c r="A577" s="126" t="s">
        <v>752</v>
      </c>
      <c r="B577" s="126" t="s">
        <v>715</v>
      </c>
      <c r="C577" s="126">
        <v>2</v>
      </c>
      <c r="D577" s="128">
        <v>0.0013318061350887432</v>
      </c>
      <c r="E577" s="128">
        <v>0.3199026469079302</v>
      </c>
      <c r="F577" s="126" t="s">
        <v>701</v>
      </c>
      <c r="G577" s="126" t="b">
        <v>0</v>
      </c>
      <c r="H577" s="126" t="b">
        <v>0</v>
      </c>
      <c r="I577" s="126" t="b">
        <v>0</v>
      </c>
      <c r="J577" s="126" t="b">
        <v>0</v>
      </c>
      <c r="K577" s="126" t="b">
        <v>0</v>
      </c>
      <c r="L577" s="126" t="b">
        <v>0</v>
      </c>
    </row>
    <row r="578" spans="1:12" ht="15">
      <c r="A578" s="126" t="s">
        <v>716</v>
      </c>
      <c r="B578" s="126" t="s">
        <v>752</v>
      </c>
      <c r="C578" s="126">
        <v>2</v>
      </c>
      <c r="D578" s="128">
        <v>0.0013318061350887432</v>
      </c>
      <c r="E578" s="128">
        <v>0.5230691835565322</v>
      </c>
      <c r="F578" s="126" t="s">
        <v>701</v>
      </c>
      <c r="G578" s="126" t="b">
        <v>0</v>
      </c>
      <c r="H578" s="126" t="b">
        <v>0</v>
      </c>
      <c r="I578" s="126" t="b">
        <v>0</v>
      </c>
      <c r="J578" s="126" t="b">
        <v>0</v>
      </c>
      <c r="K578" s="126" t="b">
        <v>0</v>
      </c>
      <c r="L578" s="126" t="b">
        <v>0</v>
      </c>
    </row>
    <row r="579" spans="1:12" ht="15">
      <c r="A579" s="126" t="s">
        <v>716</v>
      </c>
      <c r="B579" s="126" t="s">
        <v>821</v>
      </c>
      <c r="C579" s="126">
        <v>2</v>
      </c>
      <c r="D579" s="128">
        <v>0.0013318061350887432</v>
      </c>
      <c r="E579" s="128">
        <v>0.8752517016678948</v>
      </c>
      <c r="F579" s="126" t="s">
        <v>701</v>
      </c>
      <c r="G579" s="126" t="b">
        <v>0</v>
      </c>
      <c r="H579" s="126" t="b">
        <v>0</v>
      </c>
      <c r="I579" s="126" t="b">
        <v>0</v>
      </c>
      <c r="J579" s="126" t="b">
        <v>0</v>
      </c>
      <c r="K579" s="126" t="b">
        <v>0</v>
      </c>
      <c r="L579" s="126" t="b">
        <v>0</v>
      </c>
    </row>
    <row r="580" spans="1:12" ht="15">
      <c r="A580" s="126" t="s">
        <v>822</v>
      </c>
      <c r="B580" s="126" t="s">
        <v>752</v>
      </c>
      <c r="C580" s="126">
        <v>2</v>
      </c>
      <c r="D580" s="128">
        <v>0.0013318061350887432</v>
      </c>
      <c r="E580" s="128">
        <v>2.1028527801733423</v>
      </c>
      <c r="F580" s="126" t="s">
        <v>701</v>
      </c>
      <c r="G580" s="126" t="b">
        <v>0</v>
      </c>
      <c r="H580" s="126" t="b">
        <v>0</v>
      </c>
      <c r="I580" s="126" t="b">
        <v>0</v>
      </c>
      <c r="J580" s="126" t="b">
        <v>0</v>
      </c>
      <c r="K580" s="126" t="b">
        <v>0</v>
      </c>
      <c r="L580" s="126" t="b">
        <v>0</v>
      </c>
    </row>
    <row r="581" spans="1:12" ht="15">
      <c r="A581" s="126" t="s">
        <v>912</v>
      </c>
      <c r="B581" s="126" t="s">
        <v>854</v>
      </c>
      <c r="C581" s="126">
        <v>2</v>
      </c>
      <c r="D581" s="128">
        <v>0.0013318061350887432</v>
      </c>
      <c r="E581" s="128">
        <v>2.881004030556986</v>
      </c>
      <c r="F581" s="126" t="s">
        <v>701</v>
      </c>
      <c r="G581" s="126" t="b">
        <v>0</v>
      </c>
      <c r="H581" s="126" t="b">
        <v>0</v>
      </c>
      <c r="I581" s="126" t="b">
        <v>0</v>
      </c>
      <c r="J581" s="126" t="b">
        <v>0</v>
      </c>
      <c r="K581" s="126" t="b">
        <v>0</v>
      </c>
      <c r="L581" s="126" t="b">
        <v>0</v>
      </c>
    </row>
    <row r="582" spans="1:12" ht="15">
      <c r="A582" s="126" t="s">
        <v>723</v>
      </c>
      <c r="B582" s="126" t="s">
        <v>770</v>
      </c>
      <c r="C582" s="126">
        <v>2</v>
      </c>
      <c r="D582" s="128">
        <v>0.0013318061350887432</v>
      </c>
      <c r="E582" s="128">
        <v>1.41860603265803</v>
      </c>
      <c r="F582" s="126" t="s">
        <v>701</v>
      </c>
      <c r="G582" s="126" t="b">
        <v>0</v>
      </c>
      <c r="H582" s="126" t="b">
        <v>0</v>
      </c>
      <c r="I582" s="126" t="b">
        <v>0</v>
      </c>
      <c r="J582" s="126" t="b">
        <v>0</v>
      </c>
      <c r="K582" s="126" t="b">
        <v>0</v>
      </c>
      <c r="L582" s="126" t="b">
        <v>0</v>
      </c>
    </row>
    <row r="583" spans="1:12" ht="15">
      <c r="A583" s="126" t="s">
        <v>757</v>
      </c>
      <c r="B583" s="126" t="s">
        <v>719</v>
      </c>
      <c r="C583" s="126">
        <v>2</v>
      </c>
      <c r="D583" s="128">
        <v>0.0015874579360772622</v>
      </c>
      <c r="E583" s="128">
        <v>0.9235563812424499</v>
      </c>
      <c r="F583" s="126" t="s">
        <v>701</v>
      </c>
      <c r="G583" s="126" t="b">
        <v>0</v>
      </c>
      <c r="H583" s="126" t="b">
        <v>0</v>
      </c>
      <c r="I583" s="126" t="b">
        <v>0</v>
      </c>
      <c r="J583" s="126" t="b">
        <v>0</v>
      </c>
      <c r="K583" s="126" t="b">
        <v>0</v>
      </c>
      <c r="L583" s="126" t="b">
        <v>0</v>
      </c>
    </row>
    <row r="584" spans="1:12" ht="15">
      <c r="A584" s="126" t="s">
        <v>719</v>
      </c>
      <c r="B584" s="126" t="s">
        <v>745</v>
      </c>
      <c r="C584" s="126">
        <v>2</v>
      </c>
      <c r="D584" s="128">
        <v>0.0015874579360772622</v>
      </c>
      <c r="E584" s="128">
        <v>0.8078969322215545</v>
      </c>
      <c r="F584" s="126" t="s">
        <v>701</v>
      </c>
      <c r="G584" s="126" t="b">
        <v>0</v>
      </c>
      <c r="H584" s="126" t="b">
        <v>0</v>
      </c>
      <c r="I584" s="126" t="b">
        <v>0</v>
      </c>
      <c r="J584" s="126" t="b">
        <v>0</v>
      </c>
      <c r="K584" s="126" t="b">
        <v>0</v>
      </c>
      <c r="L584" s="126" t="b">
        <v>0</v>
      </c>
    </row>
    <row r="585" spans="1:12" ht="15">
      <c r="A585" s="126" t="s">
        <v>824</v>
      </c>
      <c r="B585" s="126" t="s">
        <v>777</v>
      </c>
      <c r="C585" s="126">
        <v>2</v>
      </c>
      <c r="D585" s="128">
        <v>0.0015874579360772622</v>
      </c>
      <c r="E585" s="128">
        <v>2.2789440392290237</v>
      </c>
      <c r="F585" s="126" t="s">
        <v>701</v>
      </c>
      <c r="G585" s="126" t="b">
        <v>0</v>
      </c>
      <c r="H585" s="126" t="b">
        <v>0</v>
      </c>
      <c r="I585" s="126" t="b">
        <v>0</v>
      </c>
      <c r="J585" s="126" t="b">
        <v>0</v>
      </c>
      <c r="K585" s="126" t="b">
        <v>0</v>
      </c>
      <c r="L585" s="126" t="b">
        <v>0</v>
      </c>
    </row>
    <row r="586" spans="1:12" ht="15">
      <c r="A586" s="126" t="s">
        <v>902</v>
      </c>
      <c r="B586" s="126" t="s">
        <v>903</v>
      </c>
      <c r="C586" s="126">
        <v>2</v>
      </c>
      <c r="D586" s="128">
        <v>0.0015874579360772622</v>
      </c>
      <c r="E586" s="128">
        <v>3.0570952896126675</v>
      </c>
      <c r="F586" s="126" t="s">
        <v>701</v>
      </c>
      <c r="G586" s="126" t="b">
        <v>0</v>
      </c>
      <c r="H586" s="126" t="b">
        <v>0</v>
      </c>
      <c r="I586" s="126" t="b">
        <v>0</v>
      </c>
      <c r="J586" s="126" t="b">
        <v>1</v>
      </c>
      <c r="K586" s="126" t="b">
        <v>0</v>
      </c>
      <c r="L586" s="126" t="b">
        <v>0</v>
      </c>
    </row>
    <row r="587" spans="1:12" ht="15">
      <c r="A587" s="126" t="s">
        <v>903</v>
      </c>
      <c r="B587" s="126" t="s">
        <v>904</v>
      </c>
      <c r="C587" s="126">
        <v>2</v>
      </c>
      <c r="D587" s="128">
        <v>0.0015874579360772622</v>
      </c>
      <c r="E587" s="128">
        <v>3.0570952896126675</v>
      </c>
      <c r="F587" s="126" t="s">
        <v>701</v>
      </c>
      <c r="G587" s="126" t="b">
        <v>1</v>
      </c>
      <c r="H587" s="126" t="b">
        <v>0</v>
      </c>
      <c r="I587" s="126" t="b">
        <v>0</v>
      </c>
      <c r="J587" s="126" t="b">
        <v>0</v>
      </c>
      <c r="K587" s="126" t="b">
        <v>0</v>
      </c>
      <c r="L587" s="126" t="b">
        <v>0</v>
      </c>
    </row>
    <row r="588" spans="1:12" ht="15">
      <c r="A588" s="126" t="s">
        <v>850</v>
      </c>
      <c r="B588" s="126" t="s">
        <v>715</v>
      </c>
      <c r="C588" s="126">
        <v>2</v>
      </c>
      <c r="D588" s="128">
        <v>0.0015874579360772622</v>
      </c>
      <c r="E588" s="128">
        <v>0.8639706912582058</v>
      </c>
      <c r="F588" s="126" t="s">
        <v>701</v>
      </c>
      <c r="G588" s="126" t="b">
        <v>0</v>
      </c>
      <c r="H588" s="126" t="b">
        <v>0</v>
      </c>
      <c r="I588" s="126" t="b">
        <v>0</v>
      </c>
      <c r="J588" s="126" t="b">
        <v>0</v>
      </c>
      <c r="K588" s="126" t="b">
        <v>0</v>
      </c>
      <c r="L588" s="126" t="b">
        <v>0</v>
      </c>
    </row>
    <row r="589" spans="1:12" ht="15">
      <c r="A589" s="126" t="s">
        <v>737</v>
      </c>
      <c r="B589" s="126" t="s">
        <v>753</v>
      </c>
      <c r="C589" s="126">
        <v>2</v>
      </c>
      <c r="D589" s="128">
        <v>0.0015874579360772622</v>
      </c>
      <c r="E589" s="128">
        <v>1.609937258270448</v>
      </c>
      <c r="F589" s="126" t="s">
        <v>701</v>
      </c>
      <c r="G589" s="126" t="b">
        <v>0</v>
      </c>
      <c r="H589" s="126" t="b">
        <v>0</v>
      </c>
      <c r="I589" s="126" t="b">
        <v>0</v>
      </c>
      <c r="J589" s="126" t="b">
        <v>0</v>
      </c>
      <c r="K589" s="126" t="b">
        <v>0</v>
      </c>
      <c r="L589" s="126" t="b">
        <v>0</v>
      </c>
    </row>
    <row r="590" spans="1:12" ht="15">
      <c r="A590" s="126" t="s">
        <v>737</v>
      </c>
      <c r="B590" s="126" t="s">
        <v>774</v>
      </c>
      <c r="C590" s="126">
        <v>2</v>
      </c>
      <c r="D590" s="128">
        <v>0.0015874579360772622</v>
      </c>
      <c r="E590" s="128">
        <v>1.7348759948787482</v>
      </c>
      <c r="F590" s="126" t="s">
        <v>701</v>
      </c>
      <c r="G590" s="126" t="b">
        <v>0</v>
      </c>
      <c r="H590" s="126" t="b">
        <v>0</v>
      </c>
      <c r="I590" s="126" t="b">
        <v>0</v>
      </c>
      <c r="J590" s="126" t="b">
        <v>0</v>
      </c>
      <c r="K590" s="126" t="b">
        <v>0</v>
      </c>
      <c r="L590" s="126" t="b">
        <v>0</v>
      </c>
    </row>
    <row r="591" spans="1:12" ht="15">
      <c r="A591" s="126" t="s">
        <v>775</v>
      </c>
      <c r="B591" s="126" t="s">
        <v>753</v>
      </c>
      <c r="C591" s="126">
        <v>2</v>
      </c>
      <c r="D591" s="128">
        <v>0.0015874579360772622</v>
      </c>
      <c r="E591" s="128">
        <v>2.0570952896126675</v>
      </c>
      <c r="F591" s="126" t="s">
        <v>701</v>
      </c>
      <c r="G591" s="126" t="b">
        <v>0</v>
      </c>
      <c r="H591" s="126" t="b">
        <v>1</v>
      </c>
      <c r="I591" s="126" t="b">
        <v>0</v>
      </c>
      <c r="J591" s="126" t="b">
        <v>0</v>
      </c>
      <c r="K591" s="126" t="b">
        <v>0</v>
      </c>
      <c r="L591" s="126" t="b">
        <v>0</v>
      </c>
    </row>
    <row r="592" spans="1:12" ht="15">
      <c r="A592" s="126" t="s">
        <v>899</v>
      </c>
      <c r="B592" s="126" t="s">
        <v>900</v>
      </c>
      <c r="C592" s="126">
        <v>2</v>
      </c>
      <c r="D592" s="128">
        <v>0.0015874579360772622</v>
      </c>
      <c r="E592" s="128">
        <v>3.0570952896126675</v>
      </c>
      <c r="F592" s="126" t="s">
        <v>701</v>
      </c>
      <c r="G592" s="126" t="b">
        <v>0</v>
      </c>
      <c r="H592" s="126" t="b">
        <v>0</v>
      </c>
      <c r="I592" s="126" t="b">
        <v>0</v>
      </c>
      <c r="J592" s="126" t="b">
        <v>0</v>
      </c>
      <c r="K592" s="126" t="b">
        <v>0</v>
      </c>
      <c r="L592" s="126" t="b">
        <v>0</v>
      </c>
    </row>
    <row r="593" spans="1:12" ht="15">
      <c r="A593" s="126" t="s">
        <v>785</v>
      </c>
      <c r="B593" s="126" t="s">
        <v>719</v>
      </c>
      <c r="C593" s="126">
        <v>2</v>
      </c>
      <c r="D593" s="128">
        <v>0.0015874579360772622</v>
      </c>
      <c r="E593" s="128">
        <v>1.1276763638983747</v>
      </c>
      <c r="F593" s="126" t="s">
        <v>701</v>
      </c>
      <c r="G593" s="126" t="b">
        <v>0</v>
      </c>
      <c r="H593" s="126" t="b">
        <v>0</v>
      </c>
      <c r="I593" s="126" t="b">
        <v>0</v>
      </c>
      <c r="J593" s="126" t="b">
        <v>0</v>
      </c>
      <c r="K593" s="126" t="b">
        <v>0</v>
      </c>
      <c r="L593" s="126" t="b">
        <v>0</v>
      </c>
    </row>
    <row r="594" spans="1:12" ht="15">
      <c r="A594" s="126" t="s">
        <v>716</v>
      </c>
      <c r="B594" s="126" t="s">
        <v>731</v>
      </c>
      <c r="C594" s="126">
        <v>2</v>
      </c>
      <c r="D594" s="128">
        <v>0.0013318061350887432</v>
      </c>
      <c r="E594" s="128">
        <v>0.24686277161758333</v>
      </c>
      <c r="F594" s="126" t="s">
        <v>701</v>
      </c>
      <c r="G594" s="126" t="b">
        <v>0</v>
      </c>
      <c r="H594" s="126" t="b">
        <v>0</v>
      </c>
      <c r="I594" s="126" t="b">
        <v>0</v>
      </c>
      <c r="J594" s="126" t="b">
        <v>0</v>
      </c>
      <c r="K594" s="126" t="b">
        <v>0</v>
      </c>
      <c r="L594" s="126" t="b">
        <v>0</v>
      </c>
    </row>
    <row r="595" spans="1:12" ht="15">
      <c r="A595" s="126" t="s">
        <v>731</v>
      </c>
      <c r="B595" s="126" t="s">
        <v>715</v>
      </c>
      <c r="C595" s="126">
        <v>2</v>
      </c>
      <c r="D595" s="128">
        <v>0.0013318061350887432</v>
      </c>
      <c r="E595" s="128">
        <v>-0.06544823445608693</v>
      </c>
      <c r="F595" s="126" t="s">
        <v>701</v>
      </c>
      <c r="G595" s="126" t="b">
        <v>0</v>
      </c>
      <c r="H595" s="126" t="b">
        <v>0</v>
      </c>
      <c r="I595" s="126" t="b">
        <v>0</v>
      </c>
      <c r="J595" s="126" t="b">
        <v>0</v>
      </c>
      <c r="K595" s="126" t="b">
        <v>0</v>
      </c>
      <c r="L595" s="126" t="b">
        <v>0</v>
      </c>
    </row>
    <row r="596" spans="1:12" ht="15">
      <c r="A596" s="126" t="s">
        <v>847</v>
      </c>
      <c r="B596" s="126" t="s">
        <v>715</v>
      </c>
      <c r="C596" s="126">
        <v>2</v>
      </c>
      <c r="D596" s="128">
        <v>0.0015874579360772622</v>
      </c>
      <c r="E596" s="128">
        <v>0.8639706912582058</v>
      </c>
      <c r="F596" s="126" t="s">
        <v>701</v>
      </c>
      <c r="G596" s="126" t="b">
        <v>0</v>
      </c>
      <c r="H596" s="126" t="b">
        <v>0</v>
      </c>
      <c r="I596" s="126" t="b">
        <v>0</v>
      </c>
      <c r="J596" s="126" t="b">
        <v>0</v>
      </c>
      <c r="K596" s="126" t="b">
        <v>0</v>
      </c>
      <c r="L596" s="126" t="b">
        <v>0</v>
      </c>
    </row>
    <row r="597" spans="1:12" ht="15">
      <c r="A597" s="126" t="s">
        <v>842</v>
      </c>
      <c r="B597" s="126" t="s">
        <v>715</v>
      </c>
      <c r="C597" s="126">
        <v>2</v>
      </c>
      <c r="D597" s="128">
        <v>0.0015874579360772622</v>
      </c>
      <c r="E597" s="128">
        <v>0.8639706912582058</v>
      </c>
      <c r="F597" s="126" t="s">
        <v>701</v>
      </c>
      <c r="G597" s="126" t="b">
        <v>0</v>
      </c>
      <c r="H597" s="126" t="b">
        <v>0</v>
      </c>
      <c r="I597" s="126" t="b">
        <v>0</v>
      </c>
      <c r="J597" s="126" t="b">
        <v>0</v>
      </c>
      <c r="K597" s="126" t="b">
        <v>0</v>
      </c>
      <c r="L597" s="126" t="b">
        <v>0</v>
      </c>
    </row>
    <row r="598" spans="1:12" ht="15">
      <c r="A598" s="126" t="s">
        <v>715</v>
      </c>
      <c r="B598" s="126" t="s">
        <v>795</v>
      </c>
      <c r="C598" s="126">
        <v>2</v>
      </c>
      <c r="D598" s="128">
        <v>0.0015874579360772622</v>
      </c>
      <c r="E598" s="128">
        <v>0.5505902572077953</v>
      </c>
      <c r="F598" s="126" t="s">
        <v>701</v>
      </c>
      <c r="G598" s="126" t="b">
        <v>0</v>
      </c>
      <c r="H598" s="126" t="b">
        <v>0</v>
      </c>
      <c r="I598" s="126" t="b">
        <v>0</v>
      </c>
      <c r="J598" s="126" t="b">
        <v>0</v>
      </c>
      <c r="K598" s="126" t="b">
        <v>0</v>
      </c>
      <c r="L598" s="126" t="b">
        <v>0</v>
      </c>
    </row>
    <row r="599" spans="1:12" ht="15">
      <c r="A599" s="126" t="s">
        <v>795</v>
      </c>
      <c r="B599" s="126" t="s">
        <v>841</v>
      </c>
      <c r="C599" s="126">
        <v>2</v>
      </c>
      <c r="D599" s="128">
        <v>0.0013318061350887432</v>
      </c>
      <c r="E599" s="128">
        <v>2.579974034893005</v>
      </c>
      <c r="F599" s="126" t="s">
        <v>701</v>
      </c>
      <c r="G599" s="126" t="b">
        <v>0</v>
      </c>
      <c r="H599" s="126" t="b">
        <v>0</v>
      </c>
      <c r="I599" s="126" t="b">
        <v>0</v>
      </c>
      <c r="J599" s="126" t="b">
        <v>0</v>
      </c>
      <c r="K599" s="126" t="b">
        <v>0</v>
      </c>
      <c r="L599" s="126" t="b">
        <v>0</v>
      </c>
    </row>
    <row r="600" spans="1:12" ht="15">
      <c r="A600" s="126" t="s">
        <v>717</v>
      </c>
      <c r="B600" s="126" t="s">
        <v>796</v>
      </c>
      <c r="C600" s="126">
        <v>2</v>
      </c>
      <c r="D600" s="128">
        <v>0.0015874579360772622</v>
      </c>
      <c r="E600" s="128">
        <v>1.040061950313887</v>
      </c>
      <c r="F600" s="126" t="s">
        <v>701</v>
      </c>
      <c r="G600" s="126" t="b">
        <v>0</v>
      </c>
      <c r="H600" s="126" t="b">
        <v>0</v>
      </c>
      <c r="I600" s="126" t="b">
        <v>0</v>
      </c>
      <c r="J600" s="126" t="b">
        <v>0</v>
      </c>
      <c r="K600" s="126" t="b">
        <v>0</v>
      </c>
      <c r="L600" s="126" t="b">
        <v>0</v>
      </c>
    </row>
    <row r="601" spans="1:12" ht="15">
      <c r="A601" s="126" t="s">
        <v>796</v>
      </c>
      <c r="B601" s="126" t="s">
        <v>796</v>
      </c>
      <c r="C601" s="126">
        <v>2</v>
      </c>
      <c r="D601" s="128">
        <v>0.0015874579360772622</v>
      </c>
      <c r="E601" s="128">
        <v>2.455035298284705</v>
      </c>
      <c r="F601" s="126" t="s">
        <v>701</v>
      </c>
      <c r="G601" s="126" t="b">
        <v>0</v>
      </c>
      <c r="H601" s="126" t="b">
        <v>0</v>
      </c>
      <c r="I601" s="126" t="b">
        <v>0</v>
      </c>
      <c r="J601" s="126" t="b">
        <v>0</v>
      </c>
      <c r="K601" s="126" t="b">
        <v>0</v>
      </c>
      <c r="L601" s="126" t="b">
        <v>0</v>
      </c>
    </row>
    <row r="602" spans="1:12" ht="15">
      <c r="A602" s="126" t="s">
        <v>768</v>
      </c>
      <c r="B602" s="126" t="s">
        <v>880</v>
      </c>
      <c r="C602" s="126">
        <v>2</v>
      </c>
      <c r="D602" s="128">
        <v>0.0013318061350887432</v>
      </c>
      <c r="E602" s="128">
        <v>2.579974034893005</v>
      </c>
      <c r="F602" s="126" t="s">
        <v>701</v>
      </c>
      <c r="G602" s="126" t="b">
        <v>0</v>
      </c>
      <c r="H602" s="126" t="b">
        <v>0</v>
      </c>
      <c r="I602" s="126" t="b">
        <v>0</v>
      </c>
      <c r="J602" s="126" t="b">
        <v>0</v>
      </c>
      <c r="K602" s="126" t="b">
        <v>0</v>
      </c>
      <c r="L602" s="126" t="b">
        <v>0</v>
      </c>
    </row>
    <row r="603" spans="1:12" ht="15">
      <c r="A603" s="126" t="s">
        <v>880</v>
      </c>
      <c r="B603" s="126" t="s">
        <v>768</v>
      </c>
      <c r="C603" s="126">
        <v>2</v>
      </c>
      <c r="D603" s="128">
        <v>0.0013318061350887432</v>
      </c>
      <c r="E603" s="128">
        <v>2.7560652939486863</v>
      </c>
      <c r="F603" s="126" t="s">
        <v>701</v>
      </c>
      <c r="G603" s="126" t="b">
        <v>0</v>
      </c>
      <c r="H603" s="126" t="b">
        <v>0</v>
      </c>
      <c r="I603" s="126" t="b">
        <v>0</v>
      </c>
      <c r="J603" s="126" t="b">
        <v>0</v>
      </c>
      <c r="K603" s="126" t="b">
        <v>0</v>
      </c>
      <c r="L603" s="126" t="b">
        <v>0</v>
      </c>
    </row>
    <row r="604" spans="1:12" ht="15">
      <c r="A604" s="126" t="s">
        <v>768</v>
      </c>
      <c r="B604" s="126" t="s">
        <v>881</v>
      </c>
      <c r="C604" s="126">
        <v>2</v>
      </c>
      <c r="D604" s="128">
        <v>0.0013318061350887432</v>
      </c>
      <c r="E604" s="128">
        <v>2.579974034893005</v>
      </c>
      <c r="F604" s="126" t="s">
        <v>701</v>
      </c>
      <c r="G604" s="126" t="b">
        <v>0</v>
      </c>
      <c r="H604" s="126" t="b">
        <v>0</v>
      </c>
      <c r="I604" s="126" t="b">
        <v>0</v>
      </c>
      <c r="J604" s="126" t="b">
        <v>0</v>
      </c>
      <c r="K604" s="126" t="b">
        <v>0</v>
      </c>
      <c r="L604" s="126" t="b">
        <v>0</v>
      </c>
    </row>
    <row r="605" spans="1:12" ht="15">
      <c r="A605" s="126" t="s">
        <v>881</v>
      </c>
      <c r="B605" s="126" t="s">
        <v>882</v>
      </c>
      <c r="C605" s="126">
        <v>2</v>
      </c>
      <c r="D605" s="128">
        <v>0.0013318061350887432</v>
      </c>
      <c r="E605" s="128">
        <v>3.0570952896126675</v>
      </c>
      <c r="F605" s="126" t="s">
        <v>701</v>
      </c>
      <c r="G605" s="126" t="b">
        <v>0</v>
      </c>
      <c r="H605" s="126" t="b">
        <v>0</v>
      </c>
      <c r="I605" s="126" t="b">
        <v>0</v>
      </c>
      <c r="J605" s="126" t="b">
        <v>0</v>
      </c>
      <c r="K605" s="126" t="b">
        <v>0</v>
      </c>
      <c r="L605" s="126" t="b">
        <v>0</v>
      </c>
    </row>
    <row r="606" spans="1:12" ht="15">
      <c r="A606" s="126" t="s">
        <v>882</v>
      </c>
      <c r="B606" s="126" t="s">
        <v>768</v>
      </c>
      <c r="C606" s="126">
        <v>2</v>
      </c>
      <c r="D606" s="128">
        <v>0.0013318061350887432</v>
      </c>
      <c r="E606" s="128">
        <v>2.7560652939486863</v>
      </c>
      <c r="F606" s="126" t="s">
        <v>701</v>
      </c>
      <c r="G606" s="126" t="b">
        <v>0</v>
      </c>
      <c r="H606" s="126" t="b">
        <v>0</v>
      </c>
      <c r="I606" s="126" t="b">
        <v>0</v>
      </c>
      <c r="J606" s="126" t="b">
        <v>0</v>
      </c>
      <c r="K606" s="126" t="b">
        <v>0</v>
      </c>
      <c r="L606" s="126" t="b">
        <v>0</v>
      </c>
    </row>
    <row r="607" spans="1:12" ht="15">
      <c r="A607" s="126" t="s">
        <v>768</v>
      </c>
      <c r="B607" s="126" t="s">
        <v>883</v>
      </c>
      <c r="C607" s="126">
        <v>2</v>
      </c>
      <c r="D607" s="128">
        <v>0.0013318061350887432</v>
      </c>
      <c r="E607" s="128">
        <v>2.579974034893005</v>
      </c>
      <c r="F607" s="126" t="s">
        <v>701</v>
      </c>
      <c r="G607" s="126" t="b">
        <v>0</v>
      </c>
      <c r="H607" s="126" t="b">
        <v>0</v>
      </c>
      <c r="I607" s="126" t="b">
        <v>0</v>
      </c>
      <c r="J607" s="126" t="b">
        <v>0</v>
      </c>
      <c r="K607" s="126" t="b">
        <v>0</v>
      </c>
      <c r="L607" s="126" t="b">
        <v>0</v>
      </c>
    </row>
    <row r="608" spans="1:12" ht="15">
      <c r="A608" s="126" t="s">
        <v>883</v>
      </c>
      <c r="B608" s="126" t="s">
        <v>759</v>
      </c>
      <c r="C608" s="126">
        <v>2</v>
      </c>
      <c r="D608" s="128">
        <v>0.0013318061350887432</v>
      </c>
      <c r="E608" s="128">
        <v>2.579974034893005</v>
      </c>
      <c r="F608" s="126" t="s">
        <v>701</v>
      </c>
      <c r="G608" s="126" t="b">
        <v>0</v>
      </c>
      <c r="H608" s="126" t="b">
        <v>0</v>
      </c>
      <c r="I608" s="126" t="b">
        <v>0</v>
      </c>
      <c r="J608" s="126" t="b">
        <v>0</v>
      </c>
      <c r="K608" s="126" t="b">
        <v>0</v>
      </c>
      <c r="L608" s="126" t="b">
        <v>0</v>
      </c>
    </row>
    <row r="609" spans="1:12" ht="15">
      <c r="A609" s="126" t="s">
        <v>759</v>
      </c>
      <c r="B609" s="126" t="s">
        <v>833</v>
      </c>
      <c r="C609" s="126">
        <v>2</v>
      </c>
      <c r="D609" s="128">
        <v>0.0013318061350887432</v>
      </c>
      <c r="E609" s="128">
        <v>2.513027245262392</v>
      </c>
      <c r="F609" s="126" t="s">
        <v>701</v>
      </c>
      <c r="G609" s="126" t="b">
        <v>0</v>
      </c>
      <c r="H609" s="126" t="b">
        <v>0</v>
      </c>
      <c r="I609" s="126" t="b">
        <v>0</v>
      </c>
      <c r="J609" s="126" t="b">
        <v>0</v>
      </c>
      <c r="K609" s="126" t="b">
        <v>0</v>
      </c>
      <c r="L609" s="126" t="b">
        <v>0</v>
      </c>
    </row>
    <row r="610" spans="1:12" ht="15">
      <c r="A610" s="126" t="s">
        <v>749</v>
      </c>
      <c r="B610" s="126" t="s">
        <v>793</v>
      </c>
      <c r="C610" s="126">
        <v>2</v>
      </c>
      <c r="D610" s="128">
        <v>0.0015874579360772622</v>
      </c>
      <c r="E610" s="128">
        <v>2.1028527801733423</v>
      </c>
      <c r="F610" s="126" t="s">
        <v>701</v>
      </c>
      <c r="G610" s="126" t="b">
        <v>0</v>
      </c>
      <c r="H610" s="126" t="b">
        <v>0</v>
      </c>
      <c r="I610" s="126" t="b">
        <v>0</v>
      </c>
      <c r="J610" s="126" t="b">
        <v>1</v>
      </c>
      <c r="K610" s="126" t="b">
        <v>0</v>
      </c>
      <c r="L610" s="126" t="b">
        <v>0</v>
      </c>
    </row>
    <row r="611" spans="1:12" ht="15">
      <c r="A611" s="126" t="s">
        <v>835</v>
      </c>
      <c r="B611" s="126" t="s">
        <v>749</v>
      </c>
      <c r="C611" s="126">
        <v>2</v>
      </c>
      <c r="D611" s="128">
        <v>0.0015874579360772622</v>
      </c>
      <c r="E611" s="128">
        <v>2.2789440392290237</v>
      </c>
      <c r="F611" s="126" t="s">
        <v>701</v>
      </c>
      <c r="G611" s="126" t="b">
        <v>0</v>
      </c>
      <c r="H611" s="126" t="b">
        <v>0</v>
      </c>
      <c r="I611" s="126" t="b">
        <v>0</v>
      </c>
      <c r="J611" s="126" t="b">
        <v>0</v>
      </c>
      <c r="K611" s="126" t="b">
        <v>0</v>
      </c>
      <c r="L611" s="126" t="b">
        <v>0</v>
      </c>
    </row>
    <row r="612" spans="1:12" ht="15">
      <c r="A612" s="126" t="s">
        <v>749</v>
      </c>
      <c r="B612" s="126" t="s">
        <v>836</v>
      </c>
      <c r="C612" s="126">
        <v>2</v>
      </c>
      <c r="D612" s="128">
        <v>0.0015874579360772622</v>
      </c>
      <c r="E612" s="128">
        <v>2.2277915167816422</v>
      </c>
      <c r="F612" s="126" t="s">
        <v>701</v>
      </c>
      <c r="G612" s="126" t="b">
        <v>0</v>
      </c>
      <c r="H612" s="126" t="b">
        <v>0</v>
      </c>
      <c r="I612" s="126" t="b">
        <v>0</v>
      </c>
      <c r="J612" s="126" t="b">
        <v>0</v>
      </c>
      <c r="K612" s="126" t="b">
        <v>0</v>
      </c>
      <c r="L612" s="126" t="b">
        <v>0</v>
      </c>
    </row>
    <row r="613" spans="1:12" ht="15">
      <c r="A613" s="126" t="s">
        <v>836</v>
      </c>
      <c r="B613" s="126" t="s">
        <v>749</v>
      </c>
      <c r="C613" s="126">
        <v>2</v>
      </c>
      <c r="D613" s="128">
        <v>0.0015874579360772622</v>
      </c>
      <c r="E613" s="128">
        <v>2.2789440392290237</v>
      </c>
      <c r="F613" s="126" t="s">
        <v>701</v>
      </c>
      <c r="G613" s="126" t="b">
        <v>0</v>
      </c>
      <c r="H613" s="126" t="b">
        <v>0</v>
      </c>
      <c r="I613" s="126" t="b">
        <v>0</v>
      </c>
      <c r="J613" s="126" t="b">
        <v>0</v>
      </c>
      <c r="K613" s="126" t="b">
        <v>0</v>
      </c>
      <c r="L613" s="126" t="b">
        <v>0</v>
      </c>
    </row>
    <row r="614" spans="1:12" ht="15">
      <c r="A614" s="126" t="s">
        <v>885</v>
      </c>
      <c r="B614" s="126" t="s">
        <v>886</v>
      </c>
      <c r="C614" s="126">
        <v>2</v>
      </c>
      <c r="D614" s="128">
        <v>0.0015874579360772622</v>
      </c>
      <c r="E614" s="128">
        <v>3.0570952896126675</v>
      </c>
      <c r="F614" s="126" t="s">
        <v>701</v>
      </c>
      <c r="G614" s="126" t="b">
        <v>0</v>
      </c>
      <c r="H614" s="126" t="b">
        <v>0</v>
      </c>
      <c r="I614" s="126" t="b">
        <v>0</v>
      </c>
      <c r="J614" s="126" t="b">
        <v>1</v>
      </c>
      <c r="K614" s="126" t="b">
        <v>0</v>
      </c>
      <c r="L614" s="126" t="b">
        <v>0</v>
      </c>
    </row>
    <row r="615" spans="1:12" ht="15">
      <c r="A615" s="126" t="s">
        <v>886</v>
      </c>
      <c r="B615" s="126" t="s">
        <v>838</v>
      </c>
      <c r="C615" s="126">
        <v>2</v>
      </c>
      <c r="D615" s="128">
        <v>0.0015874579360772622</v>
      </c>
      <c r="E615" s="128">
        <v>2.881004030556986</v>
      </c>
      <c r="F615" s="126" t="s">
        <v>701</v>
      </c>
      <c r="G615" s="126" t="b">
        <v>1</v>
      </c>
      <c r="H615" s="126" t="b">
        <v>0</v>
      </c>
      <c r="I615" s="126" t="b">
        <v>0</v>
      </c>
      <c r="J615" s="126" t="b">
        <v>0</v>
      </c>
      <c r="K615" s="126" t="b">
        <v>0</v>
      </c>
      <c r="L615" s="126" t="b">
        <v>0</v>
      </c>
    </row>
    <row r="616" spans="1:12" ht="15">
      <c r="A616" s="126" t="s">
        <v>887</v>
      </c>
      <c r="B616" s="126" t="s">
        <v>839</v>
      </c>
      <c r="C616" s="126">
        <v>2</v>
      </c>
      <c r="D616" s="128">
        <v>0.0015874579360772622</v>
      </c>
      <c r="E616" s="128">
        <v>2.881004030556986</v>
      </c>
      <c r="F616" s="126" t="s">
        <v>701</v>
      </c>
      <c r="G616" s="126" t="b">
        <v>0</v>
      </c>
      <c r="H616" s="126" t="b">
        <v>0</v>
      </c>
      <c r="I616" s="126" t="b">
        <v>0</v>
      </c>
      <c r="J616" s="126" t="b">
        <v>0</v>
      </c>
      <c r="K616" s="126" t="b">
        <v>0</v>
      </c>
      <c r="L616" s="126" t="b">
        <v>0</v>
      </c>
    </row>
    <row r="617" spans="1:12" ht="15">
      <c r="A617" s="126" t="s">
        <v>839</v>
      </c>
      <c r="B617" s="126" t="s">
        <v>888</v>
      </c>
      <c r="C617" s="126">
        <v>2</v>
      </c>
      <c r="D617" s="128">
        <v>0.0015874579360772622</v>
      </c>
      <c r="E617" s="128">
        <v>2.881004030556986</v>
      </c>
      <c r="F617" s="126" t="s">
        <v>701</v>
      </c>
      <c r="G617" s="126" t="b">
        <v>0</v>
      </c>
      <c r="H617" s="126" t="b">
        <v>0</v>
      </c>
      <c r="I617" s="126" t="b">
        <v>0</v>
      </c>
      <c r="J617" s="126" t="b">
        <v>0</v>
      </c>
      <c r="K617" s="126" t="b">
        <v>1</v>
      </c>
      <c r="L617" s="12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A155E3-3FE6-4B71-8AE8-E8E827B97D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2020-06-25T09:41:14Z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